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xujia\GitHub\premfin\data\"/>
    </mc:Choice>
  </mc:AlternateContent>
  <xr:revisionPtr revIDLastSave="0" documentId="8_{DA803487-FF08-4E58-B43B-4CA6ADE926E0}" xr6:coauthVersionLast="46" xr6:coauthVersionMax="46" xr10:uidLastSave="{00000000-0000-0000-0000-000000000000}"/>
  <bookViews>
    <workbookView xWindow="-96" yWindow="-96" windowWidth="23232" windowHeight="12552" tabRatio="739" firstSheet="2" activeTab="2" xr2:uid="{00000000-000D-0000-FFFF-FFFF00000000}"/>
  </bookViews>
  <sheets>
    <sheet name="__snloffice" sheetId="18" state="veryHidden" r:id="rId1"/>
    <sheet name="___snlqueryparms" sheetId="6" state="veryHidden" r:id="rId2"/>
    <sheet name="Instructions" sheetId="5" r:id="rId3"/>
    <sheet name="Financial_Highlights" sheetId="8" r:id="rId4"/>
    <sheet name="Balance_Sheet" sheetId="9" r:id="rId5"/>
    <sheet name="Income_Statement" sheetId="10" r:id="rId6"/>
    <sheet name="Underwriting_Analysis" sheetId="11" r:id="rId7"/>
    <sheet name="Investment_Analysis" sheetId="12" r:id="rId8"/>
    <sheet name="Capital_Adequacy" sheetId="13" r:id="rId9"/>
    <sheet name="Reserve_Analysis" sheetId="14" r:id="rId10"/>
    <sheet name="In_Force_and_Size" sheetId="15" r:id="rId11"/>
    <sheet name="Reinsurance" sheetId="16" r:id="rId12"/>
    <sheet name="Peer_Analysis" sheetId="17" r:id="rId13"/>
    <sheet name="Company_List" sheetId="2" r:id="rId14"/>
  </sheets>
  <externalReferences>
    <externalReference r:id="rId15"/>
  </externalReferences>
  <definedNames>
    <definedName name="CIQANR_4a9579e6c22e4e5ca796fb6197a65443" hidden="1">Income_Statement!$B$164</definedName>
    <definedName name="CIQWBGuid" hidden="1">"9833db04-4dec-489a-a737-b04ee526a464"</definedName>
    <definedName name="Clear_1">Financial_Highlights!$D$10:$H$48,Financial_Highlights!$D$70:$H$74,Financial_Highlights!$D$77:$H$153</definedName>
    <definedName name="Clear_10">Peer_Analysis!$D$11:$N$48,Peer_Analysis!$D$70:$N$74,Peer_Analysis!$D$77:$N$153,Peer_Analysis!$D$158:$N$214</definedName>
    <definedName name="Clear_11">Peer_Analysis!$D$223:$N$223,Peer_Analysis!$D$238:$N$242,Peer_Analysis!$D$246:$N$274,Peer_Analysis!$D$282:$N$288,Peer_Analysis!$D$291:$N$379,Peer_Analysis!$D$386:$N$392,Peer_Analysis!$D$395:$N$405,Peer_Analysis!$D$412:$N$418,Peer_Analysis!$D$421:$N$444,Peer_Analysis!$D$451:$N$457,Peer_Analysis!$D$460:$N$498</definedName>
    <definedName name="Clear_12">Peer_Analysis!$D$502:$N$534,Peer_Analysis!$D$558:$N$562,Peer_Analysis!$D$565:$N$599,Peer_Analysis!$D$608:$N$612,Peer_Analysis!$D$616:$N$740,Peer_Analysis!$D$749:$N$753,Peer_Analysis!$D$756:$N$803,Peer_Analysis!$D$812:$N$816,Peer_Analysis!$D$819:$N$878,Peer_Analysis!$D$882:$N$893</definedName>
    <definedName name="Clear_13">Peer_Analysis!$D$897:$N$1055</definedName>
    <definedName name="Clear_14">Peer_Analysis!$D$1059:$N$1063,Peer_Analysis!$D$1071:$N$1074,Peer_Analysis!$D$1076:$N$1150,Peer_Analysis!$D$1153:$N$1157,Peer_Analysis!$D$1166:$N$1194,Peer_Analysis!$D$1197:$N$1235,Peer_Analysis!$D$1240:$N$1247</definedName>
    <definedName name="Clear_15">Peer_Analysis!$D$1253:$N$1341,Peer_Analysis!#REF!,Peer_Analysis!$W$1238:$AG$1238</definedName>
    <definedName name="Clear_16">Financial_Highlights!$S$164:$S$274</definedName>
    <definedName name="Clear_17">Income_Statement!$T$302:$T$1028</definedName>
    <definedName name="Clear_18">Underwriting_Analysis!$S$409:$S$1079</definedName>
    <definedName name="Clear_19">Reserve_Analysis!$S$206:$S$657</definedName>
    <definedName name="Clear_2">Balance_Sheet!$D$10:$H$70</definedName>
    <definedName name="Clear_20">Peer_Analysis!$Y$77:$AI$87,Peer_Analysis!$Y$90:$AI$100,Peer_Analysis!$Y$291:$AI$301,Peer_Analysis!$Y$304:$AI$314,Peer_Analysis!$Y$317:$AI$327,Peer_Analysis!$Y$330:$AI$340,Peer_Analysis!$Y$343:$AI$353,Peer_Analysis!$Y$356:$AI$366,Peer_Analysis!$Y$369:$AI$379,Peer_Analysis!$Y$395:$AI$405,Peer_Analysis!$Y$421:$AI$431,Peer_Analysis!$Y$434:$AI$444,Peer_Analysis!$Y$460:$AI$470,Peer_Analysis!$Y$756:$AI$766,Peer_Analysis!$Y$819:$AI$829,Peer_Analysis!$Y$832:$AI$842,Peer_Analysis!#REF!,Peer_Analysis!$Y$1076:$AI$1080,Peer_Analysis!$Y$1083:$AI$1094,Peer_Analysis!$Y$1097:$AI$1105,Peer_Analysis!$Y$1108:$AI$1114,Peer_Analysis!$Y$1117:$AI$1123,Peer_Analysis!$Y$1126:$AI$1138,Peer_Analysis!$Y$1153:$AI$1157,Peer_Analysis!$Y$1166:$AI$1201,Peer_Analysis!$W$1238:$AG$1238</definedName>
    <definedName name="Clear_3">Income_Statement!$D$10:$H$10,Income_Statement!$D$18:$H$18,Income_Statement!$D$33:$H$37,Income_Statement!$D$40:$H$69,Income_Statement!$D$77:$H$83,Income_Statement!$D$87:$H$174,Income_Statement!$D$181:$H$187,Income_Statement!$D$190:$H$200,Income_Statement!$D$207:$H$213,Income_Statement!$D$217:$H$239,Income_Statement!$D$246:$H$252,Income_Statement!$D$255:$H$293</definedName>
    <definedName name="Clear_4">Underwriting_Analysis!$D$10:$H$45,Underwriting_Analysis!$D$69:$H$73,Underwriting_Analysis!$D$76:$H$110,Underwriting_Analysis!$D$119:$H$123,Underwriting_Analysis!$D$126:$H$251,Underwriting_Analysis!$D$260:$H$264,Underwriting_Analysis!$D$267:$H$314,Underwriting_Analysis!$D$323:$H$327,Underwriting_Analysis!$D$330:$H$389,Underwriting_Analysis!$D$393:$H$404,Underwriting_Analysis!$D$410:$H$410</definedName>
    <definedName name="Clear_5">Investment_Analysis!$D$10:$H$113</definedName>
    <definedName name="Clear_6">Capital_Adequacy!$D$10:$H$66</definedName>
    <definedName name="Clear_7">Reserve_Analysis!$D$10:$H$17,Reserve_Analysis!$D$25:$H$28,Reserve_Analysis!$D$30:$H$104,Reserve_Analysis!$D$107:$H$111,Reserve_Analysis!$D$120:$H$148,Reserve_Analysis!$D$151:$H$189,Reserve_Analysis!$D$194:$H$201,Reserve_Analysis!$D$207:$H$207</definedName>
    <definedName name="Clear_8">In_Force_and_Size!$D$10:$H$46</definedName>
    <definedName name="Clear_9">Reinsurance!$D$10:$H$66</definedName>
    <definedName name="Co_List">OFFSET(Company_List!$B$13,5,0,Company_List!$C$13,Company_List!$D$13)</definedName>
    <definedName name="Copy_Peer1">Instructions!$AA$76</definedName>
    <definedName name="Copy_Peer2">Instructions!$W$76</definedName>
    <definedName name="Copy_PeerNote">Instructions!$T$61</definedName>
    <definedName name="Copy_Peers">Instructions!$AD$80:$AD$89</definedName>
    <definedName name="Curr_Label">Instructions!$T$87</definedName>
    <definedName name="Entity_1">Instructions!$AD$68</definedName>
    <definedName name="Entity_10">Instructions!$AD$77</definedName>
    <definedName name="Entity_2">Instructions!$AD$69</definedName>
    <definedName name="Entity_3">Instructions!$AD$70</definedName>
    <definedName name="Entity_4">Instructions!$AD$71</definedName>
    <definedName name="Entity_5">Instructions!$AD$72</definedName>
    <definedName name="Entity_6">Instructions!$AD$73</definedName>
    <definedName name="Entity_7">Instructions!$AD$74</definedName>
    <definedName name="Entity_8">Instructions!$AD$75</definedName>
    <definedName name="Entity_9">Instructions!$AD$76</definedName>
    <definedName name="Entity_C1">Instructions!$AE$68</definedName>
    <definedName name="Entity_C10">Instructions!$AE$77</definedName>
    <definedName name="Entity_C2">Instructions!$AE$69</definedName>
    <definedName name="Entity_C3">Instructions!$AE$70</definedName>
    <definedName name="Entity_C4">Instructions!$AE$71</definedName>
    <definedName name="Entity_C5">Instructions!$AE$72</definedName>
    <definedName name="Entity_C6">Instructions!$AE$73</definedName>
    <definedName name="Entity_C7">Instructions!$AE$74</definedName>
    <definedName name="Entity_C8">Instructions!$AE$75</definedName>
    <definedName name="Entity_C9">Instructions!$AE$76</definedName>
    <definedName name="Entity_Code">Instructions!$AE$67</definedName>
    <definedName name="Entity_Name">Instructions!$AD$67</definedName>
    <definedName name="Fields_Life">Instructions!$T$77:$T$82</definedName>
    <definedName name="FocusCo_Bus.Focus">Instructions!$Y$69</definedName>
    <definedName name="FocusCo_Name">Instructions!$X$69</definedName>
    <definedName name="FocusCo_Region">Instructions!$Z$69</definedName>
    <definedName name="Ind_Code">Instructions!$T$74</definedName>
    <definedName name="Ind_data">Instructions!$U$74</definedName>
    <definedName name="Ind_Field">Instructions!$U$71</definedName>
    <definedName name="Ind_Table">Instructions!$T$71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1" hidden="1">43859.7865046296</definedName>
    <definedName name="IQ_NAMES_REVISION_DATE_" localSheetId="4" hidden="1">43859.7865046296</definedName>
    <definedName name="IQ_NAMES_REVISION_DATE_" localSheetId="8" hidden="1">43859.7865046296</definedName>
    <definedName name="IQ_NAMES_REVISION_DATE_" localSheetId="3" hidden="1">43859.7865046296</definedName>
    <definedName name="IQ_NAMES_REVISION_DATE_" localSheetId="10" hidden="1">43859.7865046296</definedName>
    <definedName name="IQ_NAMES_REVISION_DATE_" localSheetId="5" hidden="1">43859.7865046296</definedName>
    <definedName name="IQ_NAMES_REVISION_DATE_" localSheetId="7" hidden="1">43859.7865046296</definedName>
    <definedName name="IQ_NAMES_REVISION_DATE_" localSheetId="11" hidden="1">43859.7865046296</definedName>
    <definedName name="IQ_NAMES_REVISION_DATE_" localSheetId="9" hidden="1">43859.7865046296</definedName>
    <definedName name="IQ_NAMES_REVISION_DATE_" localSheetId="6" hidden="1">43859.7865046296</definedName>
    <definedName name="IQ_NAMES_REVISION_DATE_" hidden="1">43859.7865046296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ey_Fields">Company_List!$D$15:$I$15</definedName>
    <definedName name="L_1">Company_List!$I$15</definedName>
    <definedName name="Label_1">Company_List!$I$14</definedName>
    <definedName name="Parms_Copy">Instructions!$AG$72:$AH$72</definedName>
    <definedName name="Parms_Paste">___snlqueryparms!$D$1:$E$1</definedName>
    <definedName name="Paste_Peer1">OFFSET(Instructions!$AA$72,5,0,Instructions!$Y$72,1)</definedName>
    <definedName name="Paste_Peer2">OFFSET(Instructions!$W$72,5,0,Instructions!$Y$72,1)</definedName>
    <definedName name="Paste_PeerNote">Instructions!$T$60</definedName>
    <definedName name="Paste_Peers">Instructions!$AD$68:$AD$77</definedName>
    <definedName name="Period">Instructions!$I$20</definedName>
    <definedName name="_xlnm.Print_Area" localSheetId="4">Balance_Sheet!$A$1:$H$72</definedName>
    <definedName name="_xlnm.Print_Area" localSheetId="8">Capital_Adequacy!$A$1:$H$67</definedName>
    <definedName name="_xlnm.Print_Area" localSheetId="3">Financial_Highlights!$A$1:$H$153</definedName>
    <definedName name="_xlnm.Print_Area" localSheetId="10">In_Force_and_Size!$A$1:$H$47</definedName>
    <definedName name="_xlnm.Print_Area" localSheetId="5">Income_Statement!$A$1:$H$292</definedName>
    <definedName name="_xlnm.Print_Area" localSheetId="7">Investment_Analysis!$A$1:$H$114</definedName>
    <definedName name="_xlnm.Print_Area" localSheetId="11">Reinsurance!$A$1:$H$67</definedName>
    <definedName name="_xlnm.Print_Area" localSheetId="9">Reserve_Analysis!$A$1:$H$215</definedName>
    <definedName name="_xlnm.Print_Area" localSheetId="6">Underwriting_Analysis!$A$1:$H$402</definedName>
    <definedName name="_xlnm.Print_Titles" localSheetId="3">Financial_Highlights!$9:$9</definedName>
    <definedName name="_xlnm.Print_Titles" localSheetId="5">Income_Statement!$9:$9</definedName>
    <definedName name="_xlnm.Print_Titles" localSheetId="7">Investment_Analysis!$9:$9</definedName>
    <definedName name="_xlnm.Print_Titles" localSheetId="12">Peer_Analysis!$8:$9</definedName>
    <definedName name="_xlnm.Print_Titles" localSheetId="9">Reserve_Analysis!$9:$9</definedName>
    <definedName name="Query">Company_List!$B$13</definedName>
    <definedName name="Query_Peers">Instructions!$X$72</definedName>
    <definedName name="Query_Peers_Clear">OFFSET(Instructions!$W$72,5,0,Instructions!$Y$72,Instructions!$Z$72)</definedName>
    <definedName name="Query_Peers_KF">Instructions!$Z$74</definedName>
    <definedName name="Rep_Level">Instructions!$AD$92</definedName>
    <definedName name="Sector_Bus.Foc_KF">Instructions!$AJ$67</definedName>
    <definedName name="Sector_DPW_KF">Instructions!$AK$67</definedName>
    <definedName name="Sector_DPW_Label">Instructions!$AL$67</definedName>
    <definedName name="Sector_Ind_Code">Instructions!$AH$67</definedName>
    <definedName name="Sector_Name">Instructions!$AG$67</definedName>
    <definedName name="Sector_Parm_Code">Instructions!$AI$67</definedName>
    <definedName name="Selected_Field">Instructions!$T$76</definedName>
    <definedName name="Selected_Field_Check">Instructions!$AA$69</definedName>
    <definedName name="Selected_Field_KF">Instructions!$U$76</definedName>
    <definedName name="snl__0049565C_F6D8_49B8_A4EA_1DDFE1CB357E_" localSheetId="10" hidden="1">In_Force_and_Size!$B$6,In_Force_and_Size!$D$10:$H$46</definedName>
    <definedName name="snl__00B26EA7_4557_432F_B6EC_F22886382073_" localSheetId="5" hidden="1">Income_Statement!$B$254,Income_Statement!$D$255:$H$265</definedName>
    <definedName name="snl__014AE4A9_F28A_4B2A_A1F6_74DC4A6B80A0_" localSheetId="12" hidden="1">Peer_Analysis!$U$75,Peer_Analysis!$Y$77:$AI$100</definedName>
    <definedName name="snl__01637D25_593A_4450_BCE4_6968E099C5ED_" localSheetId="10" hidden="1">In_Force_and_Size!$B$6,In_Force_and_Size!$D$10:$H$46</definedName>
    <definedName name="snl__018B22A9_8880_465E_9248_14716A8E19D2_" localSheetId="6" hidden="1">Underwriting_Analysis!$B$6,Underwriting_Analysis!$D$10:$H$404</definedName>
    <definedName name="snl__01DAAF8F_B07D_4DDC_9506_2262C2E54F5E_" localSheetId="3" hidden="1">Financial_Highlights!$N$162,Financial_Highlights!$S$164:$S$274</definedName>
    <definedName name="snl__022787B9_4650_4690_B54F_6C5639DDA371_" localSheetId="11" hidden="1">Reinsurance!$B$6,Reinsurance!$D$10:$H$66</definedName>
    <definedName name="snl__025814A3_C1D4_4504_AA70_31B07B7DF77B_" localSheetId="11" hidden="1">Reinsurance!$B$6,Reinsurance!$D$10:$H$66</definedName>
    <definedName name="snl__0286870B_AEBE_43E2_9E5E_96D4DF731EF7_" localSheetId="5" hidden="1">Income_Statement!$B$215,Income_Statement!$D$217:$H$239</definedName>
    <definedName name="snl__02DF36A2_0EB9_4934_9702_C80817DFDBF1_" localSheetId="12" hidden="1">Peer_Analysis!$U$75,Peer_Analysis!$Y$77:$AI$87</definedName>
    <definedName name="snl__02FFA3C0_EE25_4BC3_8C3B_83F4BD617232_" localSheetId="8" hidden="1">Capital_Adequacy!$B$6,Capital_Adequacy!$D$10:$H$66</definedName>
    <definedName name="snl__0376989F_3CF5_4C38_A690_A56DAF4958F4_" localSheetId="12" hidden="1">Peer_Analysis!$U$1074,Peer_Analysis!$Y$1076:$AI$1138</definedName>
    <definedName name="snl__0390E2D8_BCE6_4385_9245_8F4BB8B98687_" localSheetId="6" hidden="1">Underwriting_Analysis!$B$6,Underwriting_Analysis!$D$10:$H$404</definedName>
    <definedName name="snl__0398945B_EE04_4FE1_AA97_70A6CA4E684F_" localSheetId="5" hidden="1">Income_Statement!$O$300,Income_Statement!$T$302:$T$599</definedName>
    <definedName name="snl__03AD8F18_5C59_4B08_BCDA_419D4ADD319C_" localSheetId="12" hidden="1">Peer_Analysis!$U$877,Peer_Analysis!#REF!</definedName>
    <definedName name="snl__03B3D3F3_EDCC_493E_AEF7_AC3233A6DB01_" localSheetId="12" hidden="1">Peer_Analysis!$B$5,Peer_Analysis!$D$11:$N$1341</definedName>
    <definedName name="snl__03B9590D_9B00_4714_99A6_63C2EEFD31AE_" localSheetId="12" hidden="1">Peer_Analysis!$U$393,Peer_Analysis!$Y$395:$AI$405</definedName>
    <definedName name="snl__041326D2_A256_47DC_B469_2EA440A300CA_" localSheetId="3" hidden="1">Financial_Highlights!$B$6,Financial_Highlights!$D$10:$H$153</definedName>
    <definedName name="snl__048AD03E_0367_49B4_B274_DC1B51102F0A_" localSheetId="9" hidden="1">Reserve_Analysis!$B$204,Reserve_Analysis!$D$207:$H$207</definedName>
    <definedName name="snl__048C758D_7225_480C_B6A6_36BA35A37598_" localSheetId="5" hidden="1">Income_Statement!$B$6,Income_Statement!$D$10:$H$293</definedName>
    <definedName name="snl__04AFDA0F_1EFB_48CF_91E8_72F1A6693717_" localSheetId="9" hidden="1">Reserve_Analysis!$B$6,Reserve_Analysis!$D$10:$H$201</definedName>
    <definedName name="snl__05113CF6_4BEF_4F39_9F6B_340CE87D3FF8_" localSheetId="12" hidden="1">Peer_Analysis!$U$1074,Peer_Analysis!$Y$1076:$AI$1138</definedName>
    <definedName name="snl__05332BC6_2F55_48A6_838F_9440F2C066B5_" localSheetId="12" hidden="1">Peer_Analysis!$U$1235,Peer_Analysis!$W$1238:$AG$1238</definedName>
    <definedName name="snl__0553F658_C564_4FB0_B820_350BFD1C7A0F_" localSheetId="5" hidden="1">Income_Statement!#REF!,Income_Statement!$D$190:$H$200</definedName>
    <definedName name="snl__05693E1B_E706_4AAE_9820_8742E283F65A_" localSheetId="6" hidden="1">Underwriting_Analysis!$N$407,Underwriting_Analysis!$S$409:$S$1079</definedName>
    <definedName name="snl__058F16FD_AC63_4A3A_830C_E30F9EA79630_" localSheetId="12" hidden="1">Peer_Analysis!$U$289,Peer_Analysis!$Y$291:$AI$379</definedName>
    <definedName name="snl__05A37CEF_8E8F_4CD6_8FA0_F2E652F7D98F_" localSheetId="11" hidden="1">Reinsurance!$B$6,Reinsurance!$D$10:$H$66</definedName>
    <definedName name="snl__05CBF400_AADD_4623_9509_FC29E3B9FE3A_" localSheetId="12" hidden="1">Peer_Analysis!$U$1235,Peer_Analysis!$W$1238:$AG$1238</definedName>
    <definedName name="snl__05D2DD7E_FFF6_42EA_9989_E38C95765999_" localSheetId="4" hidden="1">Balance_Sheet!$B$6,Balance_Sheet!$D$10:$H$71</definedName>
    <definedName name="snl__065E5DE9_71A7_4910_8613_3F3AB3F7F6DB_" localSheetId="12" hidden="1">Peer_Analysis!$U$1150,Peer_Analysis!$Y$1153:$AI$1201</definedName>
    <definedName name="snl__07021B6B_69D6_4695_87FF_6073CFDD1078_" localSheetId="10" hidden="1">In_Force_and_Size!$B$6,In_Force_and_Size!$D$10:$H$46</definedName>
    <definedName name="snl__0708C0C5_4001_4DC3_A03A_B6CF0D6C4F65_" localSheetId="9" hidden="1">Reserve_Analysis!$N$204,Reserve_Analysis!$S$206:$S$429</definedName>
    <definedName name="snl__07BF9313_A4E2_4BB5_8E36_5E9885094D9B_" localSheetId="9" hidden="1">Reserve_Analysis!$B$6,Reserve_Analysis!$D$10:$H$203</definedName>
    <definedName name="snl__07DBC775_4095_4E05_8EE8_D9EED50A57FC_" localSheetId="12" hidden="1">Peer_Analysis!$U$817,Peer_Analysis!$Y$819:$AI$842</definedName>
    <definedName name="snl__07F3DADB_7B2B_467C_8E68_957D4F3C8549_" localSheetId="6" hidden="1">Underwriting_Analysis!$N$407,Underwriting_Analysis!$S$409:$S$1079</definedName>
    <definedName name="snl__0865659A_9A13_4884_BD78_767782EE4D25_" localSheetId="12" hidden="1">Peer_Analysis!$B$5,Peer_Analysis!$D$11:$N$1341</definedName>
    <definedName name="snl__088D4A58_48A5_4F43_A7AF_C4B528640DA2_" localSheetId="9" hidden="1">Reserve_Analysis!$N$204,Reserve_Analysis!$S$206:$S$436</definedName>
    <definedName name="snl__08B06597_CD94_414F_ABBA_5059D8F580D8_" localSheetId="4" hidden="1">Balance_Sheet!$B$6,Balance_Sheet!$D$10:$H$70</definedName>
    <definedName name="snl__095426EB_4AD7_4264_82CA_6CD85736876D_" localSheetId="5" hidden="1">Income_Statement!$B$6,Income_Statement!$D$10:$H$293</definedName>
    <definedName name="snl__095ADD70_5BC0_467B_B9E0_F90E8A64C426_" localSheetId="11" hidden="1">Reinsurance!$B$6,Reinsurance!$D$10:$H$66</definedName>
    <definedName name="snl__095F11A1_F910_4DAF_B5D9_97705C8F1DCE_" localSheetId="6" hidden="1">Underwriting_Analysis!$N$407,Underwriting_Analysis!$S$409:$S$1079</definedName>
    <definedName name="snl__0A2CA570_AD28_426F_9D6E_F88404728086_" localSheetId="12" hidden="1">Peer_Analysis!$U$289,Peer_Analysis!$Y$291:$AI$379</definedName>
    <definedName name="snl__0A4038EC_E786_4418_AD04_8F1609FC3BF9_" localSheetId="12" hidden="1">Peer_Analysis!$U$1150,Peer_Analysis!$Y$1153:$AI$1201</definedName>
    <definedName name="snl__0A8B4E78_8C0C_4B5E_AD61_9C68C012973D_" localSheetId="6" hidden="1">Underwriting_Analysis!$B$6,Underwriting_Analysis!$D$10:$H$404</definedName>
    <definedName name="snl__0ABC86B1_9E81_4AAB_A2E8_7DB67C19D552_" localSheetId="12" hidden="1">Peer_Analysis!$U$393,Peer_Analysis!$Y$395:$AI$405</definedName>
    <definedName name="snl__0B9ECF4E_7F6E_4024_83F5_631E67142C57_" localSheetId="12" hidden="1">Peer_Analysis!$U$75,Peer_Analysis!$Y$77:$AI$100</definedName>
    <definedName name="snl__0BE71C1F_8D61_4D1F_A4F3_24086EECE834_" localSheetId="5" hidden="1">Income_Statement!$O$300,Income_Statement!$T$302:$T$1028</definedName>
    <definedName name="snl__0C1B257A_8803_447D_AD6B_0E7625D38D93_" localSheetId="7" hidden="1">Investment_Analysis!$B$6,Investment_Analysis!$D$10:$H$113</definedName>
    <definedName name="snl__0C3164BF_037B_4A75_9026_9C7EE0CB4A46_" localSheetId="12" hidden="1">Peer_Analysis!$U$754,Peer_Analysis!$Y$756:$AI$766</definedName>
    <definedName name="snl__0C366834_8C2F_480C_B947_72B6FB2359CD_" localSheetId="9" hidden="1">Reserve_Analysis!$N$204,Reserve_Analysis!$S$206:$S$464</definedName>
    <definedName name="snl__0CCA1E34_F436_4976_9298_155C06EE6AB8_" localSheetId="10" hidden="1">In_Force_and_Size!$B$6,In_Force_and_Size!$D$10:$H$46</definedName>
    <definedName name="snl__0D039CC7_81D6_4475_9D5D_4CF3B6BA8CD5_" localSheetId="9" hidden="1">Reserve_Analysis!$N$204,Reserve_Analysis!$S$206:$S$443</definedName>
    <definedName name="snl__0E204F4B_73B0_4317_BDBD_51A5EBE54827_" localSheetId="7" hidden="1">Investment_Analysis!$B$6,Investment_Analysis!$D$10:$H$113</definedName>
    <definedName name="snl__0E602FE2_1ADC_4F43_A513_718B2C8A8701_" localSheetId="6" hidden="1">Underwriting_Analysis!$N$407,Underwriting_Analysis!$S$409:$S$1079</definedName>
    <definedName name="snl__0ED5476B_E377_4153_84F7_2EE03EAD62D8_" localSheetId="6" hidden="1">Underwriting_Analysis!$B$407,Underwriting_Analysis!$D$410:$H$410</definedName>
    <definedName name="snl__0F0DA80E_A4B0_42BB_BCA6_3943A9F2E168_" localSheetId="9" hidden="1">Reserve_Analysis!$B$204,Reserve_Analysis!$D$207:$H$207</definedName>
    <definedName name="snl__0F5D7240_E90E_4E38_B50A_90CA42E1CFDC_" localSheetId="9" hidden="1">Reserve_Analysis!$N$204,Reserve_Analysis!$S$206:$S$450</definedName>
    <definedName name="snl__0FC2D68B_96C5_4E7B_8427_A94705CB61F0_" localSheetId="6" hidden="1">Underwriting_Analysis!$B$407,Underwriting_Analysis!$D$410:$H$410</definedName>
    <definedName name="snl__1138AF19_D876_4F56_B831_D886CE6D534D_" localSheetId="12" hidden="1">Peer_Analysis!$U$754,Peer_Analysis!$Y$756:$AI$766</definedName>
    <definedName name="snl__116FB427_AD3B_4B38_B8CF_06E052042208_" localSheetId="2" hidden="1">Instructions!$W$66,Instructions!$X$69:$AA$69</definedName>
    <definedName name="snl__117CEAA4_9828_4B30_9341_0FEFFFCAB555_" localSheetId="2" hidden="1">Instructions!$W$66,Instructions!$X$69:$AA$69</definedName>
    <definedName name="snl__12287DA0_9FF0_402D_9A76_118B1CC6C3E6_" localSheetId="12" hidden="1">Peer_Analysis!$U$419,Peer_Analysis!$Y$421:$AI$444</definedName>
    <definedName name="snl__123B1683_836A_479B_9E53_E026EDFF4F6A_" localSheetId="9" hidden="1">Reserve_Analysis!$N$204,Reserve_Analysis!$S$206:$S$422</definedName>
    <definedName name="snl__126BBE03_58AD_4DAD_8BC1_FEAA60EE0B4D_" localSheetId="9" hidden="1">Reserve_Analysis!$B$204,Reserve_Analysis!$D$207:$H$207</definedName>
    <definedName name="snl__1277BE78_7AC8_451E_8AD8_1C9D884B25C3_" localSheetId="12" hidden="1">Peer_Analysis!$U$1235,Peer_Analysis!$W$1238:$AG$1238</definedName>
    <definedName name="snl__12893F3D_9692_4C0D_B335_494DA74601BF_" localSheetId="11" hidden="1">Reinsurance!$B$6,Reinsurance!$D$10:$H$66</definedName>
    <definedName name="snl__12A46967_81C4_4B4A_8FC4_2FB1A7721456_" localSheetId="12" hidden="1">Peer_Analysis!$U$817,Peer_Analysis!$Y$819:$AI$842</definedName>
    <definedName name="snl__1357BED1_3D51_4D94_8C5B_06318597F0C2_" localSheetId="8" hidden="1">Capital_Adequacy!$B$6,Capital_Adequacy!$D$10:$H$66</definedName>
    <definedName name="snl__138434F0_2CD8_4758_881E_151F11BFECBE_" localSheetId="12" hidden="1">Peer_Analysis!$U$393,Peer_Analysis!$Y$395:$AI$405</definedName>
    <definedName name="snl__14752272_3648_4E0E_94C6_46FD5441D2C2_" localSheetId="12" hidden="1">Peer_Analysis!$U$1074,Peer_Analysis!$Y$1076:$AI$1138</definedName>
    <definedName name="snl__14A291E8_AF97_43B3_98FA_90B1823438C1_" localSheetId="4" hidden="1">Balance_Sheet!$B$6,Balance_Sheet!$D$10:$H$71</definedName>
    <definedName name="snl__15C26454_46B7_43FF_8BC9_281501537899_" localSheetId="12" hidden="1">Peer_Analysis!$U$419,Peer_Analysis!$Y$421:$AI$444</definedName>
    <definedName name="snl__15F8CBD9_9526_45F5_94D2_E2995261045D_" localSheetId="12" hidden="1">Peer_Analysis!$B$5,Peer_Analysis!$D$11:$N$1341</definedName>
    <definedName name="snl__165DC508_B3A1_441E_A938_1865973744E7_" localSheetId="10" hidden="1">In_Force_and_Size!$B$6,In_Force_and_Size!$D$10:$H$46</definedName>
    <definedName name="snl__184E82BA_E41B_43A4_ABD9_8875EE38D68C_" localSheetId="7" hidden="1">Investment_Analysis!$B$6,Investment_Analysis!$D$10:$H$113</definedName>
    <definedName name="snl__1861BEB1_E15B_4914_80A0_7D612CF9C2AA_" localSheetId="2" hidden="1">Instructions!$W$66,Instructions!$X$69:$AA$69</definedName>
    <definedName name="snl__18D9D6ED_86FB_4D79_AC66_AA67C4BF5024_" localSheetId="11" hidden="1">Reinsurance!$B$6,Reinsurance!$D$10:$H$66</definedName>
    <definedName name="snl__18E4689A_99A9_4038_ABF1_C19A22192C6A_" localSheetId="12" hidden="1">Peer_Analysis!$U$1235,Peer_Analysis!$W$1238:$AG$1238</definedName>
    <definedName name="snl__191C0841_9D98_469D_98CE_B79CD2FD0581_" localSheetId="4" hidden="1">Balance_Sheet!$B$6,Balance_Sheet!$D$10:$H$70</definedName>
    <definedName name="snl__1986E809_71B6_4250_8015_F36522B9F2FF_" localSheetId="12" hidden="1">Peer_Analysis!$U$817,Peer_Analysis!$Y$819:$AI$842</definedName>
    <definedName name="snl__19E58E67_654A_4129_89DF_F8FDE0516317_" localSheetId="4" hidden="1">Balance_Sheet!$B$6,Balance_Sheet!$D$10:$H$70</definedName>
    <definedName name="snl__1A93A041_D432_465E_A499_2552DE151112_" localSheetId="6" hidden="1">Underwriting_Analysis!$B$6,Underwriting_Analysis!$D$10:$H$404</definedName>
    <definedName name="snl__1AF8C71C_2079_4A34_8A23_65A758DB7247_" localSheetId="6" hidden="1">Underwriting_Analysis!$B$6,Underwriting_Analysis!$D$10:$H$404</definedName>
    <definedName name="snl__1B345195_9BDD_4DED_9B42_CB1E0837E188_" localSheetId="12" hidden="1">Peer_Analysis!$U$1235,Peer_Analysis!$W$1238:$AG$1238</definedName>
    <definedName name="snl__1BCE3EC3_C309_44BE_A3E1_93804D3B21BE_" localSheetId="7" hidden="1">Investment_Analysis!$B$6,Investment_Analysis!$D$10:$H$113</definedName>
    <definedName name="snl__1C42A3E8_7897_48D9_95DB_39CB5515A098_" localSheetId="12" hidden="1">Peer_Analysis!$B$5,Peer_Analysis!$D$11:$N$1341</definedName>
    <definedName name="snl__1CFB8A6E_E808_42C6_941A_640DA23D83EB_" localSheetId="12" hidden="1">Peer_Analysis!$U$289,Peer_Analysis!$Y$291:$AI$379</definedName>
    <definedName name="snl__1D187937_51FA_4259_8D35_87C881DF890F_" localSheetId="12" hidden="1">Peer_Analysis!$U$289,Peer_Analysis!$Y$291:$AI$379</definedName>
    <definedName name="snl__1D49C71C_2AB9_403F_95C0_EBA26987AC40_" localSheetId="11" hidden="1">Reinsurance!$B$6,Reinsurance!$D$10:$H$66</definedName>
    <definedName name="snl__1DA8358F_F216_46EA_8D6F_1D174C05FE2D_" localSheetId="6" hidden="1">Underwriting_Analysis!$N$407,Underwriting_Analysis!$S$409:$S$1079</definedName>
    <definedName name="snl__1DCCD677_307B_4568_BE90_6DCDB53ED4BA_" localSheetId="4" hidden="1">Balance_Sheet!$B$6,Balance_Sheet!$D$10:$H$70</definedName>
    <definedName name="snl__1E90F621_5AB9_40C9_A77B_8D87DD600A81_" localSheetId="6" hidden="1">Underwriting_Analysis!$B$407,Underwriting_Analysis!$D$410:$H$410</definedName>
    <definedName name="snl__1E9DE756_4E96_40E0_9358_8024D614EA3D_" localSheetId="6" hidden="1">Underwriting_Analysis!$B$6,Underwriting_Analysis!$D$10:$H$404</definedName>
    <definedName name="snl__1EC8B5E0_DAF9_4742_9B1F_9C8783D46B98_" localSheetId="4" hidden="1">Balance_Sheet!$B$6,Balance_Sheet!$D$10:$H$70</definedName>
    <definedName name="snl__1ED57450_41D2_4124_9423_3FDBCE49E719_" localSheetId="12" hidden="1">Peer_Analysis!$U$419,Peer_Analysis!$Y$421:$AI$444</definedName>
    <definedName name="snl__1EF2B238_883C_4506_BE83_7440F3FD63C8_" localSheetId="7" hidden="1">Investment_Analysis!$B$6,Investment_Analysis!$D$10:$H$113</definedName>
    <definedName name="snl__1F275CE8_DCF5_43DD_AD6A_999057229BBA_" localSheetId="5" hidden="1">Income_Statement!$O$300,Income_Statement!$T$302:$T$1028</definedName>
    <definedName name="snl__1F66261D_92C5_4CED_8F0D_CC4B739B1AD0_" localSheetId="9" hidden="1">Reserve_Analysis!$B$204,Reserve_Analysis!$D$207:$H$207</definedName>
    <definedName name="snl__1F9338DE_F9DB_488F_8CC0_080C798ADEE1_" localSheetId="4" hidden="1">Balance_Sheet!$B$6,Balance_Sheet!$D$10:$H$71</definedName>
    <definedName name="snl__1FFE2832_DC54_4F1E_8BA7_6BB4BED3DC8A_" localSheetId="10" hidden="1">In_Force_and_Size!$B$6,In_Force_and_Size!$D$10:$H$46</definedName>
    <definedName name="snl__200F2B58_CAA9_4C0A_9A4F_83F23F66F1A3_" localSheetId="9" hidden="1">Reserve_Analysis!$B$6,Reserve_Analysis!$D$10:$H$201</definedName>
    <definedName name="snl__21183F76_96A7_47BA_BD24_F722E3645992_" localSheetId="10" hidden="1">In_Force_and_Size!$B$6,In_Force_and_Size!$D$10:$H$46</definedName>
    <definedName name="snl__21980942_A7EF_478C_B297_AB5CA0F85951_" localSheetId="12" hidden="1">Peer_Analysis!$U$1235,Peer_Analysis!$W$1238:$AG$1238</definedName>
    <definedName name="snl__21A0CF3C_D001_42F0_A012_9D703F8CE1EC_" localSheetId="4" hidden="1">Balance_Sheet!$B$6,Balance_Sheet!$D$10:$H$71</definedName>
    <definedName name="snl__21D580A9_7B95_4C6D_AB8F_D584054FD6CE_" localSheetId="9" hidden="1">Reserve_Analysis!$N$204,Reserve_Analysis!$S$206:$S$680</definedName>
    <definedName name="snl__2210F2FE_1AFE_4654_A157_19406CF62D8B_" localSheetId="3" hidden="1">Financial_Highlights!$B$6,Financial_Highlights!$D$10:$H$153</definedName>
    <definedName name="snl__2229446E_8231_4D15_9A39_F8A46B7E3E9C_" localSheetId="8" hidden="1">Capital_Adequacy!$B$6,Capital_Adequacy!$D$10:$H$66</definedName>
    <definedName name="snl__22375B21_B5AB_429F_8288_FB673D86FDAF_" localSheetId="12" hidden="1">Peer_Analysis!$U$75,Peer_Analysis!$Y$77:$AI$100</definedName>
    <definedName name="snl__22DBB731_291A_4B22_9B6B_054A2EA7BCF8_" localSheetId="4" hidden="1">Balance_Sheet!$B$6,Balance_Sheet!$D$10:$H$71</definedName>
    <definedName name="snl__2449EDAC_F195_46F0_80D5_061874CF8B61_" localSheetId="12" hidden="1">Peer_Analysis!$U$1150,Peer_Analysis!$Y$1153:$AI$1201</definedName>
    <definedName name="snl__25643C10_8F7F_41AB_877B_CA32D7755962_" localSheetId="5" hidden="1">Income_Statement!$O$300,Income_Statement!$T$302:$T$1028</definedName>
    <definedName name="snl__25A5D0B7_D5B2_4430_8733_DEFFFA41C10B_" localSheetId="11" hidden="1">Reinsurance!$B$6,Reinsurance!$D$10:$H$66</definedName>
    <definedName name="snl__266E86C6_9D0D_4049_AC85_5FC9B01DC3B8_" localSheetId="11" hidden="1">Reinsurance!$B$6,Reinsurance!$D$10:$H$66</definedName>
    <definedName name="snl__26DC0704_770E_405B_86D9_6024CE317A49_" localSheetId="12" hidden="1">Peer_Analysis!$U$817,Peer_Analysis!$Y$819:$AI$842</definedName>
    <definedName name="snl__26ECF60A_6234_490F_BC4A_468B59C7D39D_" localSheetId="9" hidden="1">Reserve_Analysis!$N$204,Reserve_Analysis!$S$206:$S$471</definedName>
    <definedName name="snl__26F14B4D_5FAF_447C_9D29_EF92B47B34EE_" localSheetId="6" hidden="1">Underwriting_Analysis!$B$407,Underwriting_Analysis!$D$410:$H$410</definedName>
    <definedName name="snl__27414C7A_04A7_4C8A_88B2_FA7F103FF368_" localSheetId="12" hidden="1">Peer_Analysis!$U$75,Peer_Analysis!$Y$77:$AI$100</definedName>
    <definedName name="snl__288A5AE5_A9B6_4F9B_83EE_EB57B530F4D5_" localSheetId="7" hidden="1">Investment_Analysis!$B$6,Investment_Analysis!$D$10:$H$108</definedName>
    <definedName name="snl__2A47C0E3_6C9D_42B0_A1D9_A37B919D24A5_" localSheetId="12" hidden="1">Peer_Analysis!$U$817,Peer_Analysis!$Y$819:$AI$842</definedName>
    <definedName name="snl__2B198468_A18F_4628_931A_078FB5B59AAB_" localSheetId="5" hidden="1">Income_Statement!$B$6,Income_Statement!$D$10:$H$293</definedName>
    <definedName name="snl__2B1E00C7_B468_417C_BC8F_A7B57BA719D6_" localSheetId="12" hidden="1">Peer_Analysis!$U$1150,Peer_Analysis!$Y$1153:$AI$1201</definedName>
    <definedName name="snl__2B9B8188_8816_4181_8210_82121E32117B_" localSheetId="8" hidden="1">Capital_Adequacy!$B$6,Capital_Adequacy!$D$10:$H$66</definedName>
    <definedName name="snl__2BE42DA3_25E9_4137_B71D_70E8C0B4E6B4_" localSheetId="12" hidden="1">Peer_Analysis!$B$5,Peer_Analysis!$D$11:$N$1341</definedName>
    <definedName name="snl__2C0F75F9_FCC5_4E61_8D4D_96D056BAA5EC_" localSheetId="11" hidden="1">Reinsurance!$B$6,Reinsurance!$D$10:$H$66</definedName>
    <definedName name="snl__2C848F35_9B73_4FEF_8B07_6BDC1C7EBA37_" localSheetId="12" hidden="1">Peer_Analysis!$B$5,Peer_Analysis!$D$11:$N$1341</definedName>
    <definedName name="snl__2CA31D97_F4DB_4344_BBD2_D9139D045C01_" localSheetId="11" hidden="1">Reinsurance!$B$6,Reinsurance!$D$10:$H$66</definedName>
    <definedName name="snl__2CADC181_AEA2_4B9C_A025_7FA4B82E5AB4_" localSheetId="12" hidden="1">Peer_Analysis!$U$419,Peer_Analysis!$Y$421:$AI$444</definedName>
    <definedName name="snl__2CDF2EE6_9145_4662_94C3_D3FA97C49BAD_" localSheetId="12" hidden="1">Peer_Analysis!$U$75,Peer_Analysis!$Y$77:$AI$100</definedName>
    <definedName name="snl__2CEC451A_1754_4759_AB0F_E160E85CD1AA_" localSheetId="12" hidden="1">Peer_Analysis!$U$1150,Peer_Analysis!$Y$1153:$AI$1201</definedName>
    <definedName name="snl__2D02A731_084D_4B61_9C77_676EEDF55B01_" localSheetId="4" hidden="1">Balance_Sheet!$B$6,Balance_Sheet!$D$10:$H$71</definedName>
    <definedName name="snl__2D5EEC2E_238B_4FFA_868D_3DF107ADB612_" localSheetId="8" hidden="1">Capital_Adequacy!$B$6,Capital_Adequacy!$D$10:$H$66</definedName>
    <definedName name="snl__2E2C0CBC_25A7_44CB_A15B_890B66323C76_" localSheetId="12" hidden="1">Peer_Analysis!$U$1074,Peer_Analysis!$Y$1076:$AI$1138</definedName>
    <definedName name="snl__2E6ECC86_E56E_4984_B8EF_7DC561C0F3E3_" localSheetId="12" hidden="1">Peer_Analysis!$U$393,Peer_Analysis!$Y$395:$AI$405</definedName>
    <definedName name="snl__2E897A68_0123_41B5_9ADD_B58A0D9B2B15_" localSheetId="10" hidden="1">In_Force_and_Size!$B$6,In_Force_and_Size!$D$10:$H$46</definedName>
    <definedName name="snl__2FDDEF3C_DA87_4F6C_BE40_BF381BFB2EB1_" localSheetId="12" hidden="1">Peer_Analysis!$U$393,Peer_Analysis!$Y$395:$AI$405</definedName>
    <definedName name="snl__300D9C48_ED2A_4593_914B_E57ABA06F0D0_" localSheetId="12" hidden="1">Peer_Analysis!$U$419,Peer_Analysis!$Y$421:$AI$444</definedName>
    <definedName name="snl__30197393_2ECC_490F_8745_E57B3D1B5A09_" localSheetId="12" hidden="1">Peer_Analysis!$U$458,Peer_Analysis!$Y$460:$AI$470</definedName>
    <definedName name="snl__301CFF2F_FA77_416B_96BF_556275F9FB30_" localSheetId="11" hidden="1">Reinsurance!$B$6,Reinsurance!$D$10:$H$66</definedName>
    <definedName name="snl__3044119F_CC77_418D_ADAB_1C2CA99898AC_" localSheetId="12" hidden="1">Peer_Analysis!$B$5,Peer_Analysis!$D$11:$N$1251</definedName>
    <definedName name="snl__3065B87E_E064_440C_BD58_7EFAFCD363E4_" localSheetId="9" hidden="1">Reserve_Analysis!$B$6,Reserve_Analysis!$D$10:$H$201</definedName>
    <definedName name="snl__307A21A5_7901_4C6E_B273_A1EEAC9A8A50_" localSheetId="4" hidden="1">Balance_Sheet!$B$6,Balance_Sheet!$D$10:$H$71</definedName>
    <definedName name="snl__31D1077B_EE82_40C7_9EDE_96D72BF69470_" localSheetId="5" hidden="1">Income_Statement!$B$6,Income_Statement!$D$10:$H$293</definedName>
    <definedName name="snl__31EB0C84_3A8C_4D89_A1E1_63E0496F89BF_" localSheetId="12" hidden="1">Peer_Analysis!$U$1235,Peer_Analysis!$W$1238:$AG$1238</definedName>
    <definedName name="snl__31EEE09A_B3C8_4328_902F_E127DF88E70C_" localSheetId="12" hidden="1">Peer_Analysis!$U$458,Peer_Analysis!$Y$460:$AI$470</definedName>
    <definedName name="snl__3209EE43_492D_4374_B8EF_385834315EA5_" localSheetId="5" hidden="1">Income_Statement!$B$6,Income_Statement!$D$10:$H$293</definedName>
    <definedName name="snl__3244104D_90AB_46EC_9F6E_62CF2CE3CCE4_" localSheetId="5" hidden="1">Income_Statement!$O$300,Income_Statement!$T$302:$T$1028</definedName>
    <definedName name="snl__3285086A_1E5F_48CF_BF60_E38FE31F19EC_" localSheetId="12" hidden="1">Peer_Analysis!$U$393,Peer_Analysis!$Y$395:$AI$405</definedName>
    <definedName name="snl__329A810B_81C7_4412_A1AD_F36777D7B51A_" localSheetId="5" hidden="1">Income_Statement!$O$300,Income_Statement!$T$302:$T$1028</definedName>
    <definedName name="snl__32E7230F_C748_407C_891C_A09332D4ED01_" localSheetId="12" hidden="1">Peer_Analysis!$U$817,Peer_Analysis!$Y$819:$AI$842</definedName>
    <definedName name="snl__33452414_EA3A_4D7F_9206_556C7D359E8D_" localSheetId="12" hidden="1">Peer_Analysis!$U$393,Peer_Analysis!$Y$395:$AI$405</definedName>
    <definedName name="snl__344B748A_F311_4D76_A9B5_98BAC3410B25_" localSheetId="5" hidden="1">Income_Statement!$B$6,Income_Statement!$D$10:$H$293</definedName>
    <definedName name="snl__35624B95_6225_4ADD_823D_62D3637E41A4_" localSheetId="12" hidden="1">Peer_Analysis!$B$5,Peer_Analysis!$D$11:$N$1341</definedName>
    <definedName name="snl__35E1475F_0720_470A_9C1F_B1D7C793BB05_" localSheetId="12" hidden="1">Peer_Analysis!$U$393,Peer_Analysis!$Y$395:$AI$405</definedName>
    <definedName name="snl__3614D5E0_F0C2_4B03_9C35_C19296042F35_" localSheetId="10" hidden="1">In_Force_and_Size!$B$6,In_Force_and_Size!$D$10:$H$46</definedName>
    <definedName name="snl__369C3803_C9F4_4FCA_9054_FBAB6F65B6B8_" localSheetId="12" hidden="1">Peer_Analysis!$U$754,Peer_Analysis!$Y$756:$AI$766</definedName>
    <definedName name="snl__38AE03A8_B8DC_4163_A2FE_5BD8629EF26E_" localSheetId="11" hidden="1">Reinsurance!$B$6,Reinsurance!$D$10:$H$66</definedName>
    <definedName name="snl__38B56D7C_5D28_4906_A29D_AEF5C0CA80BF_" localSheetId="12" hidden="1">Peer_Analysis!$U$419,Peer_Analysis!$Y$421:$AI$444</definedName>
    <definedName name="snl__38DB133C_E1CF_4F2E_A1B5_1AD7DA537E32_" localSheetId="12" hidden="1">Peer_Analysis!$U$289,Peer_Analysis!$Y$291:$AI$379</definedName>
    <definedName name="snl__392EF9E4_2C45_4A49_94BA_998373E4B2AE_" localSheetId="12" hidden="1">Peer_Analysis!$U$458,Peer_Analysis!$Y$460:$AI$470</definedName>
    <definedName name="snl__39349FE0_837D_498C_9EFA_E12D90CDB0F4_" localSheetId="12" hidden="1">Peer_Analysis!$U$1074,Peer_Analysis!$Y$1076:$AI$1138</definedName>
    <definedName name="snl__397BEB9A_06CB_4775_9AC4_B87DDC6BC3B7_" localSheetId="9" hidden="1">Reserve_Analysis!$N$204,Reserve_Analysis!$S$206:$S$680</definedName>
    <definedName name="snl__39EB40C6_9FFF_4C85_8441_7877AF516C3B_" localSheetId="11" hidden="1">Reinsurance!$B$6,Reinsurance!$D$10:$H$66</definedName>
    <definedName name="snl__39FF5699_C70D_46F0_BA80_9134AD45C47C_" localSheetId="10" hidden="1">In_Force_and_Size!$B$6,In_Force_and_Size!$D$10:$H$46</definedName>
    <definedName name="snl__3A526AF7_B2C3_409F_876E_557954087812_" localSheetId="12" hidden="1">Peer_Analysis!$U$289,Peer_Analysis!$Y$291:$AI$379</definedName>
    <definedName name="snl__3C18E840_E6EC_4D40_9D01_369D0A05DF82_" localSheetId="9" hidden="1">Reserve_Analysis!$B$6,Reserve_Analysis!$D$10:$H$201</definedName>
    <definedName name="snl__3C19E4A9_9D87_4068_B5F3_F3CD8C5E9646_" localSheetId="12" hidden="1">Peer_Analysis!$U$754,Peer_Analysis!$Y$756:$AI$766</definedName>
    <definedName name="snl__3C22C788_391A_41D7_8471_23A8A4BCA7F4_" localSheetId="12" hidden="1">Peer_Analysis!$U$458,Peer_Analysis!$Y$460:$AI$470</definedName>
    <definedName name="snl__3C95A5F4_DD2F_4446_8492_5CBBDB35C18A_" localSheetId="4" hidden="1">Balance_Sheet!$B$6,Balance_Sheet!$D$10:$H$71</definedName>
    <definedName name="snl__3CA6AB0F_FDC6_4F7B_B21C_4ABB085CD3DE_" localSheetId="12" hidden="1">Peer_Analysis!$U$1074,Peer_Analysis!$Y$1076:$AI$1138</definedName>
    <definedName name="snl__3CC53157_7EEE_4AE4_80AA_3578A647AD8D_" localSheetId="12" hidden="1">Peer_Analysis!$U$817,Peer_Analysis!$Y$819:$AI$842</definedName>
    <definedName name="snl__3D0738CA_47BE_4D2B_8D58_7AC21BCA5795_" localSheetId="3" hidden="1">Financial_Highlights!$N$162,Financial_Highlights!$S$164:$S$274</definedName>
    <definedName name="snl__3DB5D7CB_ABAD_44AE_85B3_ACA5E2935E44_" localSheetId="6" hidden="1">Underwriting_Analysis!$B$6,Underwriting_Analysis!$D$10:$H$404</definedName>
    <definedName name="snl__3EFB5013_BDD8_4B57_B91E_647A515014AC_" localSheetId="7" hidden="1">Investment_Analysis!$B$6,Investment_Analysis!$D$10:$H$113</definedName>
    <definedName name="snl__3F4E713F_0A0F_4F6F_A6AD_5C9F629CA228_" localSheetId="6" hidden="1">Underwriting_Analysis!$B$6,Underwriting_Analysis!$D$10:$F$404</definedName>
    <definedName name="snl__3F582E96_B168_4A7A_ABC5_DE3867BD1D12_" localSheetId="11" hidden="1">Reinsurance!$B$6,Reinsurance!$D$10:$H$66</definedName>
    <definedName name="snl__3F8096A8_C7F7_4E27_8AA2_6C1FA101D45D_" localSheetId="5" hidden="1">Income_Statement!$B$6,Income_Statement!$D$10:$H$293</definedName>
    <definedName name="snl__3FA95729_466A_4211_9FF4_9DD748FCBC2A_" localSheetId="12" hidden="1">Peer_Analysis!$U$289,Peer_Analysis!$Y$291:$AI$379</definedName>
    <definedName name="snl__40657BCD_5BDA_42B3_BCBA_A3398BE0EAF1_" localSheetId="9" hidden="1">Reserve_Analysis!$B$6,Reserve_Analysis!$D$10:$H$201</definedName>
    <definedName name="snl__41079A79_DDC8_49C0_ACDD_855D7FDBD453_" localSheetId="10" hidden="1">In_Force_and_Size!$B$6,In_Force_and_Size!$D$10:$H$46</definedName>
    <definedName name="snl__4130AEAF_130F_4B51_A846_A1F80CAA379A_" localSheetId="11" hidden="1">Reinsurance!$B$6,Reinsurance!$D$10:$H$66</definedName>
    <definedName name="snl__422D0D7D_EAE8_44A6_9607_46C65BC19374_" localSheetId="11" hidden="1">Reinsurance!$B$6,Reinsurance!$D$10:$H$66</definedName>
    <definedName name="snl__4366958D_FCDE_4972_8B85_C8FFE89D34ED_" localSheetId="10" hidden="1">In_Force_and_Size!$B$6,In_Force_and_Size!$D$10:$H$46</definedName>
    <definedName name="snl__444D65A9_13BE_4097_8300_765CA1775984_" localSheetId="6" hidden="1">Underwriting_Analysis!$N$407,Underwriting_Analysis!$S$409:$S$1079</definedName>
    <definedName name="snl__44981453_F604_4177_842F_CAC0BEEEB95E_" localSheetId="4" hidden="1">Balance_Sheet!$B$6,Balance_Sheet!$D$10:$H$71</definedName>
    <definedName name="snl__4521EEB6_60EF_48D7_821A_053D6CDC9C1E_" localSheetId="9" hidden="1">Reserve_Analysis!$N$204,Reserve_Analysis!$S$206:$S$680</definedName>
    <definedName name="snl__45B0DDE0_7570_4740_95CD_FA621B52250F_" localSheetId="2" hidden="1">Instructions!$W$66,Instructions!$X$69:$AA$69</definedName>
    <definedName name="snl__4639B242_58C0_4C31_AEA7_9A99725A5011_" localSheetId="12" hidden="1">Peer_Analysis!$U$289,Peer_Analysis!$Y$291:$AI$379</definedName>
    <definedName name="snl__46A45854_628A_4611_9D56_8EF9C6E5B66D_" localSheetId="12" hidden="1">Peer_Analysis!$U$877,Peer_Analysis!#REF!</definedName>
    <definedName name="snl__47F6AD1C_E5D0_41F5_BC15_6A32B3C28738_" localSheetId="12" hidden="1">Peer_Analysis!$U$754,Peer_Analysis!$Y$756:$AI$766</definedName>
    <definedName name="snl__48A83717_A044_47AB_BA0B_3A772B837627_" localSheetId="5" hidden="1">Income_Statement!$B$6,Income_Statement!$D$10:$H$293</definedName>
    <definedName name="snl__490F64E1_F746_49E4_9199_964B38F3348D_" localSheetId="4" hidden="1">Balance_Sheet!$B$6,Balance_Sheet!$D$10:$H$70</definedName>
    <definedName name="snl__494A7155_9071_4EC3_9E5E_42A855410FAC_" localSheetId="10" hidden="1">In_Force_and_Size!$B$6,In_Force_and_Size!$D$10:$H$46</definedName>
    <definedName name="snl__49528228_3C32_4604_BD66_63887B9107D5_" localSheetId="12" hidden="1">Peer_Analysis!$U$458,Peer_Analysis!$Y$460:$AI$470</definedName>
    <definedName name="snl__4A717F6C_F654_4496_BDA6_5106A5B0B9E9_" localSheetId="12" hidden="1">Peer_Analysis!$U$1074,Peer_Analysis!$Y$1076:$AI$1138</definedName>
    <definedName name="snl__4A933C0A_B9D2_4A8D_9B86_4563FA8D1BF7_" localSheetId="12" hidden="1">Peer_Analysis!$U$75,Peer_Analysis!$Y$77:$AI$100</definedName>
    <definedName name="snl__4A9B5F77_23A0_4BDB_9A6E_79D051F55745_" localSheetId="12" hidden="1">Peer_Analysis!$U$1074,Peer_Analysis!$Y$1076:$AI$1138</definedName>
    <definedName name="snl__4AA5EE85_16BE_45D0_830F_7964F6A4462D_" localSheetId="12" hidden="1">Peer_Analysis!$U$1235,Peer_Analysis!$W$1238:$AG$1238</definedName>
    <definedName name="snl__4AC88945_AC75_4126_8AA7_5B968FFE6029_" localSheetId="7" hidden="1">Investment_Analysis!$B$6,Investment_Analysis!$D$10:$H$113</definedName>
    <definedName name="snl__4B3C801C_BF52_49AB_BB45_687332974F72_" localSheetId="10" hidden="1">In_Force_and_Size!$B$6,In_Force_and_Size!$D$10:$H$46</definedName>
    <definedName name="snl__4BA936A3_2D0D_41E0_B9C5_F4B7D006DCB4_" localSheetId="4" hidden="1">Balance_Sheet!$B$6,Balance_Sheet!$D$10:$H$70</definedName>
    <definedName name="snl__4C027BB4_AB04_4833_94A5_6F65B77B03FC_" localSheetId="10" hidden="1">In_Force_and_Size!$B$6,In_Force_and_Size!$D$10:$H$46</definedName>
    <definedName name="snl__4C7090BB_305C_4779_B7F0_268701E69676_" localSheetId="7" hidden="1">Investment_Analysis!$B$6,Investment_Analysis!$D$10:$H$108</definedName>
    <definedName name="snl__4CDF39C9_9E1B_46C3_AC5D_34084BF72194_" localSheetId="12" hidden="1">Peer_Analysis!$B$5,Peer_Analysis!$D$11:$N$1341</definedName>
    <definedName name="snl__4DEE56B1_991C_4BCE_9A6B_99ABC52A8F7F_" localSheetId="9" hidden="1">Reserve_Analysis!$N$204,Reserve_Analysis!$S$206:$S$515</definedName>
    <definedName name="snl__4E060CF9_D3B8_4487_8005_67B33A7A3AAC_" localSheetId="10" hidden="1">In_Force_and_Size!$B$6,In_Force_and_Size!$D$10:$H$46</definedName>
    <definedName name="snl__4E424E5F_DF5F_44E7_B885_3575A9C56DF7_" localSheetId="8" hidden="1">Capital_Adequacy!$B$6,Capital_Adequacy!$D$10:$H$66</definedName>
    <definedName name="snl__4E5E020B_78A1_4293_8B11_14E6F1A4B3F2_" localSheetId="12" hidden="1">Peer_Analysis!$U$419,Peer_Analysis!$Y$421:$AI$444</definedName>
    <definedName name="snl__4EA26B5E_5C8E_4E92_B2D9_B3068C4D3699_" localSheetId="7" hidden="1">Investment_Analysis!$B$6,Investment_Analysis!$D$10:$H$113</definedName>
    <definedName name="snl__4F1F7A53_3922_4BDF_B159_B7365624C9AA_" localSheetId="8" hidden="1">Capital_Adequacy!$B$6,Capital_Adequacy!$D$10:$H$66</definedName>
    <definedName name="snl__5011D390_3A89_4030_B546_CE7CBD265D2F_" localSheetId="10" hidden="1">In_Force_and_Size!$B$6,In_Force_and_Size!$D$10:$H$46</definedName>
    <definedName name="snl__5059FF2B_C84D_4C31_A421_F9049FAF6F2B_" localSheetId="7" hidden="1">Investment_Analysis!$B$6,Investment_Analysis!$D$10:$H$113</definedName>
    <definedName name="snl__506EAE0E_D01A_446E_9975_9F369D281C7C_" localSheetId="12" hidden="1">Peer_Analysis!$U$1074,Peer_Analysis!$Y$1076:$AI$1138</definedName>
    <definedName name="snl__50B92D55_D535_4259_B654_F142B3DFAA56_" localSheetId="9" hidden="1">Reserve_Analysis!$B$6,Reserve_Analysis!$D$10:$H$201</definedName>
    <definedName name="snl__50F2B4D1_B2F3_4FB4_A6F3_C953E345D829_" localSheetId="12" hidden="1">Peer_Analysis!$U$393,Peer_Analysis!$Y$395:$AI$405</definedName>
    <definedName name="snl__5154B904_9D5B_432E_97C6_A0AA86188003_" localSheetId="12" hidden="1">Peer_Analysis!$U$419,Peer_Analysis!$Y$421:$AI$444</definedName>
    <definedName name="snl__51553694_AE82_446C_9885_FC47624BE327_" localSheetId="9" hidden="1">Reserve_Analysis!$N$204,Reserve_Analysis!$S$8:$S$203</definedName>
    <definedName name="snl__51B21598_7292_409F_A257_757CB47C2AE6_" localSheetId="12" hidden="1">Peer_Analysis!$U$419,Peer_Analysis!$Y$421:$AI$444</definedName>
    <definedName name="snl__51DB6F76_3287_4504_A6FC_80E2EA3C11FA_" localSheetId="7" hidden="1">Investment_Analysis!$B$6,Investment_Analysis!$D$10:$H$108</definedName>
    <definedName name="snl__523A2EB3_8742_47FD_BEC8_0F6BDE0950CA_" localSheetId="7" hidden="1">Investment_Analysis!$B$6,Investment_Analysis!$D$10:$H$108</definedName>
    <definedName name="snl__5279ADA0_D545_4F65_8A98_D96F8920822B_" localSheetId="9" hidden="1">Reserve_Analysis!$N$204,Reserve_Analysis!$S$206:$S$508</definedName>
    <definedName name="snl__5374EF64_1A0B_4258_8624_EC91258D84E3_" localSheetId="9" hidden="1">Reserve_Analysis!$N$204,Reserve_Analysis!$S$206:$S$680</definedName>
    <definedName name="snl__53962E58_77D2_4222_B40C_A94E36364DA0_" localSheetId="6" hidden="1">Underwriting_Analysis!$B$6,Underwriting_Analysis!$D$10:$H$404</definedName>
    <definedName name="snl__53D009DB_2FE5_4DE6_93D4_DDD78473408E_" localSheetId="9" hidden="1">Reserve_Analysis!$B$204,Reserve_Analysis!$D$207:$H$207</definedName>
    <definedName name="snl__548713FD_C4AD_4748_B391_BE247C41C936_" localSheetId="4" hidden="1">Balance_Sheet!$B$6,Balance_Sheet!$D$10:$H$71</definedName>
    <definedName name="snl__5556C7AC_3130_4D4C_9E31_F511FA3ED665_" localSheetId="5" hidden="1">Income_Statement!$B$6,Income_Statement!$D$10:$H$293</definedName>
    <definedName name="snl__55651FC1_CBDA_49D5_8870_73D190DA22F8_" localSheetId="4" hidden="1">Balance_Sheet!$B$6,Balance_Sheet!$D$10:$H$70</definedName>
    <definedName name="snl__5570B73D_0E41_4395_85E2_5F1932BB85BC_" localSheetId="11" hidden="1">Reinsurance!$B$6,Reinsurance!$D$10:$H$66</definedName>
    <definedName name="snl__5634B9C7_2E54_499C_B768_12FDA55079A7_" localSheetId="7" hidden="1">Investment_Analysis!$B$6,Investment_Analysis!$D$10:$H$113</definedName>
    <definedName name="snl__56921F1A_11CB_4643_9A87_CD31AC1736CD_" localSheetId="6" hidden="1">Underwriting_Analysis!$B$6,Underwriting_Analysis!$D$10:$H$404</definedName>
    <definedName name="snl__582550A8_B0E0_4A52_B3D0_6F5D793F184F_" localSheetId="8" hidden="1">Capital_Adequacy!$B$6,Capital_Adequacy!$D$10:$H$66</definedName>
    <definedName name="snl__5831A3F8_1413_474B_9513_6729AACC2606_" localSheetId="9" hidden="1">Reserve_Analysis!$N$204,Reserve_Analysis!$S$206:$S$680</definedName>
    <definedName name="snl__587630D3_7AC0_4247_887D_B13DDCE1AF5B_" localSheetId="12" hidden="1">Peer_Analysis!$U$419,Peer_Analysis!$Y$421:$AI$444</definedName>
    <definedName name="snl__58CE97BF_73B3_45DE_A36E_008F70E42D29_" localSheetId="12" hidden="1">Peer_Analysis!$U$1074,Peer_Analysis!$Y$1076:$AI$1138</definedName>
    <definedName name="snl__58F8720A_F9E0_498B_9C6C_2A94E86B899C_" localSheetId="2" hidden="1">Instructions!$W$66,Instructions!$X$69:$AA$69</definedName>
    <definedName name="snl__58FBC811_F040_436E_A62F_ED86DE243992_" localSheetId="12" hidden="1">Peer_Analysis!$U$458,Peer_Analysis!$Y$460:$AI$470</definedName>
    <definedName name="snl__591AD6E1_81A1_4AE5_A9AE_EE4CB75673D1_" localSheetId="4" hidden="1">Balance_Sheet!$B$6,Balance_Sheet!$D$10:$H$70</definedName>
    <definedName name="snl__5B2EA9CB_C8F5_44C1_8E71_2467DC2EA35B_" localSheetId="7" hidden="1">Investment_Analysis!$B$6,Investment_Analysis!$D$10:$H$113</definedName>
    <definedName name="snl__5BB49400_8092_4942_BB70_616D921DC267_" localSheetId="12" hidden="1">Peer_Analysis!$U$458,Peer_Analysis!$Y$460:$AI$470</definedName>
    <definedName name="snl__5BD54223_B6CD_4DAE_9081_19B3B74FAC71_" localSheetId="9" hidden="1">Reserve_Analysis!$B$6,Reserve_Analysis!$D$10:$H$201</definedName>
    <definedName name="snl__5C08AD46_ECC6_47B6_B959_ED554C4146AE_" localSheetId="12" hidden="1">Peer_Analysis!$U$877,Peer_Analysis!#REF!</definedName>
    <definedName name="snl__5C540992_9183_49E8_AF52_32234526633B_" localSheetId="8" hidden="1">Capital_Adequacy!$B$6,Capital_Adequacy!$D$10:$H$66</definedName>
    <definedName name="snl__5CA7A597_1309_4894_8B65_71EEBD5E3C4A_" localSheetId="10" hidden="1">In_Force_and_Size!$B$6,In_Force_and_Size!$D$10:$H$46</definedName>
    <definedName name="snl__5CB7A704_FA1F_4E29_B57A_C7753365AFC2_" localSheetId="12" hidden="1">Peer_Analysis!$U$289,Peer_Analysis!$Y$291:$AI$379</definedName>
    <definedName name="snl__5CD558AF_9DA5_4A32_AD29_7C95137D4F7B_" localSheetId="9" hidden="1">Reserve_Analysis!$B$6,Reserve_Analysis!$D$10:$H$201</definedName>
    <definedName name="snl__5D0B73C8_82C0_4A08_9050_E1411964EBC5_" localSheetId="11" hidden="1">Reinsurance!$B$6,Reinsurance!$D$10:$H$66</definedName>
    <definedName name="snl__5E58541E_907F_49E8_8A75_9AB811E19834_" localSheetId="4" hidden="1">Balance_Sheet!$B$6,Balance_Sheet!$D$10:$H$70</definedName>
    <definedName name="snl__5F0CF7E0_AE00_4E35_B05C_F32B39177324_" localSheetId="12" hidden="1">Peer_Analysis!$U$754,Peer_Analysis!$Y$756:$AI$766</definedName>
    <definedName name="snl__5F1F52F2_F479_40DB_9A5C_4067840D4DCB_" localSheetId="9" hidden="1">Reserve_Analysis!$N$204,Reserve_Analysis!$S$206:$S$680</definedName>
    <definedName name="snl__5F7E38C9_0151_4161_836C_480EA39A9273_" localSheetId="8" hidden="1">Capital_Adequacy!$B$6,Capital_Adequacy!$D$10:$H$66</definedName>
    <definedName name="snl__5FE4F6F0_06E4_4E40_A702_E93E6251B39F_" localSheetId="12" hidden="1">Peer_Analysis!$U$75,Peer_Analysis!$Y$77:$AI$100</definedName>
    <definedName name="snl__5FEA615B_3F49_41C6_93D8_DBF199B3AC02_" localSheetId="7" hidden="1">Investment_Analysis!$B$6,Investment_Analysis!$D$10:$H$113</definedName>
    <definedName name="snl__601D7635_8814_4ECF_B234_1D8AF894DA88_" localSheetId="8" hidden="1">Capital_Adequacy!$B$6,Capital_Adequacy!$D$10:$H$66</definedName>
    <definedName name="snl__602ED9D7_80B4_4767_896C_FD5D11101DA0_" localSheetId="12" hidden="1">Peer_Analysis!$U$1150,Peer_Analysis!$Y$1153:$AI$1201</definedName>
    <definedName name="snl__60685E88_5181_449F_B70D_2D59F99C1AB4_" localSheetId="10" hidden="1">In_Force_and_Size!$B$6,In_Force_and_Size!$D$10:$H$46</definedName>
    <definedName name="snl__606DDF09_CA73_4024_9FE1_794D23198ABD_" localSheetId="3" hidden="1">Financial_Highlights!$B$6,Financial_Highlights!$D$10:$H$153</definedName>
    <definedName name="snl__619E3513_04F9_4D5E_8CC9_9FE68A7BB5C5_" localSheetId="12" hidden="1">Peer_Analysis!$U$458,Peer_Analysis!$Y$460:$AI$470</definedName>
    <definedName name="snl__61D950C6_5FB5_47C2_889A_B0AA5E219DA9_" localSheetId="4" hidden="1">Balance_Sheet!$B$6,Balance_Sheet!$D$10:$H$71</definedName>
    <definedName name="snl__62309FF8_4FA4_42D2_9E41_715BAA5626D4_" localSheetId="6" hidden="1">Underwriting_Analysis!$B$6,Underwriting_Analysis!$D$10:$H$404</definedName>
    <definedName name="snl__6263350B_49F1_4D6C_874F_FE547967E4F4_" localSheetId="12" hidden="1">Peer_Analysis!$U$1235,Peer_Analysis!$W$1238:$AG$1238</definedName>
    <definedName name="snl__6336942F_EB92_47EB_9ACF_C2819BBE098B_" localSheetId="12" hidden="1">Peer_Analysis!$U$1150,Peer_Analysis!$Y$1153:$AI$1201</definedName>
    <definedName name="snl__635F1D7B_499A_4616_A9A9_E4036DF71772_" localSheetId="8" hidden="1">Capital_Adequacy!$B$6,Capital_Adequacy!$D$10:$H$66</definedName>
    <definedName name="snl__638A5785_2BAA_4516_89F5_823976E921EC_" localSheetId="6" hidden="1">Underwriting_Analysis!$N$407,Underwriting_Analysis!$S$409:$S$1079</definedName>
    <definedName name="snl__6461E0D3_A14B_4A49_8F6F_CD467FA09183_" localSheetId="5" hidden="1">Income_Statement!$O$300,Income_Statement!$T$302:$T$1028</definedName>
    <definedName name="snl__6462196C_E5D2_46AD_A35A_28758CAB8060_" localSheetId="6" hidden="1">Underwriting_Analysis!$N$407,Underwriting_Analysis!$S$409:$S$1079</definedName>
    <definedName name="snl__646B6C05_634A_4894_B841_59ADCAA10E0C_" localSheetId="11" hidden="1">Reinsurance!$B$6,Reinsurance!$D$10:$H$66</definedName>
    <definedName name="snl__64B2C5B4_6A44_4400_87EA_3662155E6EE9_" localSheetId="12" hidden="1">Peer_Analysis!$U$1074,Peer_Analysis!$Y$1076:$AI$1138</definedName>
    <definedName name="snl__64FD1EC1_B36D_4A95_B047_18BC5478056E_" localSheetId="4" hidden="1">Balance_Sheet!$B$6,Balance_Sheet!$D$10:$H$70</definedName>
    <definedName name="snl__650D29D2_2FAC_49DE_A411_522F03CDAF31_" localSheetId="5" hidden="1">Income_Statement!$O$300,Income_Statement!$T$302:$T$1028</definedName>
    <definedName name="snl__65586496_59DF_47C4_8BE1_29D7B3ACD887_" localSheetId="7" hidden="1">Investment_Analysis!$B$6,Investment_Analysis!$D$10:$H$113</definedName>
    <definedName name="snl__656B0057_A03C_4A62_B68C_5AB2CE28CEB7_" localSheetId="7" hidden="1">Investment_Analysis!$B$6,Investment_Analysis!$D$10:$H$108</definedName>
    <definedName name="snl__65EA89F6_3603_4A46_B188_5BDB7E86E7D2_" localSheetId="10" hidden="1">In_Force_and_Size!$B$6,In_Force_and_Size!$D$10:$H$46</definedName>
    <definedName name="snl__66EBBCEE_A4AA_4B30_A343_3F154085EF1D_" localSheetId="11" hidden="1">Reinsurance!$B$6,Reinsurance!$D$10:$H$66</definedName>
    <definedName name="snl__671F54DA_5D24_45EC_8F04_898FEA8F1C8D_" localSheetId="9" hidden="1">Reserve_Analysis!$N$204,Reserve_Analysis!$S$206:$S$457</definedName>
    <definedName name="snl__6721CABB_DE27_4C39_BC33_3041288CAA02_" localSheetId="7" hidden="1">Investment_Analysis!$B$6,Investment_Analysis!$D$10:$H$113</definedName>
    <definedName name="snl__6823227E_8C22_4756_BE7B_FD1929A59CAA_" localSheetId="8" hidden="1">Capital_Adequacy!$B$6,Capital_Adequacy!$D$10:$H$66</definedName>
    <definedName name="snl__68835121_C9B1_4BE4_987E_55B77C773A9C_" localSheetId="10" hidden="1">In_Force_and_Size!$B$6,In_Force_and_Size!$D$10:$H$46</definedName>
    <definedName name="snl__6896985F_341D_4A03_AD38_546AB9796120_" localSheetId="12" hidden="1">Peer_Analysis!$U$393,Peer_Analysis!$Y$395:$AI$405</definedName>
    <definedName name="snl__692AFC2B_5C4F_4F16_9A9C_5BF858FD8C71_" localSheetId="9" hidden="1">Reserve_Analysis!$B$204,Reserve_Analysis!$D$207:$H$207</definedName>
    <definedName name="snl__69C17D35_5608_4B82_BD29_1E1A35B1A836_" localSheetId="12" hidden="1">Peer_Analysis!$U$877,Peer_Analysis!#REF!</definedName>
    <definedName name="snl__69D4ABA5_6156_4643_9889_3828736DD0DA_" localSheetId="12" hidden="1">Peer_Analysis!$U$419,Peer_Analysis!$Y$421:$AI$444</definedName>
    <definedName name="snl__6A251AD6_55A0_4736_80C8_1CE78E2116F7_" localSheetId="8" hidden="1">Capital_Adequacy!$B$6,Capital_Adequacy!$D$10:$H$66</definedName>
    <definedName name="snl__6A3154F4_B11D_47A6_8519_6BD2BAF17B28_" localSheetId="12" hidden="1">Peer_Analysis!$U$458,Peer_Analysis!$Y$460:$AI$470</definedName>
    <definedName name="snl__6A4286D4_9979_4956_82F0_91C1F11BE308_" localSheetId="9" hidden="1">Reserve_Analysis!$B$204,Reserve_Analysis!$D$207:$H$207</definedName>
    <definedName name="snl__6A5D7065_BA4D_4BCE_8F3D_D4664CF9191F_" localSheetId="8" hidden="1">Capital_Adequacy!$B$6,Capital_Adequacy!$D$10:$H$66</definedName>
    <definedName name="snl__6AF7AE3B_06F1_4961_A8D5_6DAEA85E996E_" localSheetId="9" hidden="1">Reserve_Analysis!$N$204,Reserve_Analysis!$S$206:$S$680</definedName>
    <definedName name="snl__6B05AFBC_0B97_432E_A499_B4B69C16819F_" localSheetId="12" hidden="1">Peer_Analysis!$U$393,Peer_Analysis!$Y$395:$AI$405</definedName>
    <definedName name="snl__6BD9FD3C_5F7D_455C_B90C_495A7AB6D1A5_" localSheetId="4" hidden="1">Balance_Sheet!$B$6,Balance_Sheet!$D$10:$H$70</definedName>
    <definedName name="snl__6C81763B_0C4F_42C0_B91B_F770FEB7C81A_" localSheetId="5" hidden="1">Income_Statement!$B$6,Income_Statement!$D$10:$H$293</definedName>
    <definedName name="snl__6D0B0322_D1F5_4894_80FD_E69EB9AB8F1A_" localSheetId="12" hidden="1">Peer_Analysis!$U$75,Peer_Analysis!$Y$77:$AI$100</definedName>
    <definedName name="snl__6D26C491_56DE_4BB8_A39E_984D0FB82FF8_" localSheetId="2" hidden="1">Instructions!$W$66,Instructions!$X$69:$AA$69</definedName>
    <definedName name="snl__6DFF3B38_C172_4146_AE41_C7668DBDCC7C_" localSheetId="4" hidden="1">Balance_Sheet!$B$6,Balance_Sheet!$D$10:$H$70</definedName>
    <definedName name="snl__6E5DC93B_4FE3_46DD_ADD8_258FF4F8EBE6_" localSheetId="7" hidden="1">Investment_Analysis!$B$6,Investment_Analysis!$D$10:$H$108</definedName>
    <definedName name="snl__6F163206_F9C9_4BE5_B2AB_F6151E2181E3_" localSheetId="9" hidden="1">Reserve_Analysis!$B$6,Reserve_Analysis!$D$10:$H$201</definedName>
    <definedName name="snl__702F137A_DD24_4947_BC86_C59211C3DDEA_" localSheetId="12" hidden="1">Peer_Analysis!$U$817,Peer_Analysis!$Y$819:$AI$842</definedName>
    <definedName name="snl__709565B7_AB86_4FED_BBB2_7B4DE6E99F7C_" localSheetId="11" hidden="1">Reinsurance!$B$6,Reinsurance!$D$10:$H$66</definedName>
    <definedName name="snl__710D94E8_8E62_4327_AAB6_0D5987568B5D_" localSheetId="12" hidden="1">Peer_Analysis!$U$289,Peer_Analysis!$Y$291:$AI$379</definedName>
    <definedName name="snl__725BEBF2_CC3D_4CFF_8EB0_8BD1D555BF18_" localSheetId="12" hidden="1">Peer_Analysis!$U$1150,Peer_Analysis!$Y$1153:$AI$1201</definedName>
    <definedName name="snl__7277C2BC_6AE3_480D_B2C9_4B926ED3ED04_" localSheetId="12" hidden="1">Peer_Analysis!$U$1235,Peer_Analysis!$W$1238:$AG$1238</definedName>
    <definedName name="snl__733D9877_EFF2_4103_82CD_1A7E8BFEA4AA_" localSheetId="9" hidden="1">Reserve_Analysis!$N$204,Reserve_Analysis!$S$206:$S$680</definedName>
    <definedName name="snl__73DFC6A7_4615_44E5_B2D2_DE24F8772CBA_" localSheetId="10" hidden="1">In_Force_and_Size!$B$6,In_Force_and_Size!$D$10:$H$46</definedName>
    <definedName name="snl__74897B78_EA31_473D_BF6D_2A0932397735_" localSheetId="12" hidden="1">Peer_Analysis!$B$5,Peer_Analysis!$D$11:$N$1341</definedName>
    <definedName name="snl__74AD2BE0_83DD_4D62_A6C4_D3C1B079C46E_" localSheetId="12" hidden="1">Peer_Analysis!$U$75,Peer_Analysis!$Y$77:$AI$100</definedName>
    <definedName name="snl__75CF251C_BF6C_475B_A7E3_D22D1047A992_" localSheetId="5" hidden="1">Income_Statement!$O$300,Income_Statement!$T$302:$T$1028</definedName>
    <definedName name="snl__7601E0AB_CD90_49F1_B6E0_A7D6A347BFCC_" localSheetId="12" hidden="1">Peer_Analysis!$U$877,Peer_Analysis!#REF!</definedName>
    <definedName name="snl__775EA1AD_02C9_492A_8997_C4127877F039_" localSheetId="9" hidden="1">Reserve_Analysis!$N$204,Reserve_Analysis!$S$206:$S$489</definedName>
    <definedName name="snl__7770FD03_24AE_48EA_A6A6_2EE6CD60FAD3_" localSheetId="12" hidden="1">Peer_Analysis!$U$419,Peer_Analysis!$Y$421:$AI$444</definedName>
    <definedName name="snl__779B2EAE_3DAC_431A_A95D_6E7825290A2D_" localSheetId="12" hidden="1">Peer_Analysis!$U$1074,Peer_Analysis!$Y$1076:$AI$1138</definedName>
    <definedName name="snl__77C346B0_8B68_4CD6_9677_2CC8F311EDAA_" localSheetId="9" hidden="1">Reserve_Analysis!$B$6,Reserve_Analysis!$D$10:$H$201</definedName>
    <definedName name="snl__77CCAF8D_76D7_430D_95F7_4EECE327598F_" localSheetId="12" hidden="1">Peer_Analysis!$U$289,Peer_Analysis!$Y$291:$AI$379</definedName>
    <definedName name="snl__77D6D1D4_D924_4A49_8107_7C3E167D8CCD_" localSheetId="8" hidden="1">Capital_Adequacy!$B$6,Capital_Adequacy!$D$10:$H$66</definedName>
    <definedName name="snl__78AF3EBD_D392_4250_ACBB_87CE7BEC71EE_" localSheetId="5" hidden="1">Income_Statement!$O$300,Income_Statement!$T$302:$T$1028</definedName>
    <definedName name="snl__78B4167D_AD90_4676_9C8C_B75399EB8BD6_" localSheetId="12" hidden="1">Peer_Analysis!$U$458,Peer_Analysis!$Y$460:$AI$470</definedName>
    <definedName name="snl__78D5DDD7_7C06_4071_83D9_394B7D68BB22_" localSheetId="4" hidden="1">Balance_Sheet!$B$6,Balance_Sheet!$D$10:$H$70</definedName>
    <definedName name="snl__79DE9D9F_1591_4FB3_BE00_54CF94F731ED_" localSheetId="12" hidden="1">Peer_Analysis!$U$75,Peer_Analysis!$Y$77:$AI$100</definedName>
    <definedName name="snl__7A05450C_6138_477C_AB00_1DC79C87C722_" localSheetId="8" hidden="1">Capital_Adequacy!$B$6,Capital_Adequacy!$D$10:$H$66</definedName>
    <definedName name="snl__7B29FE7B_585F_4790_B702_18387C539237_" localSheetId="12" hidden="1">Peer_Analysis!$U$1074,Peer_Analysis!$Y$1076:$AI$1138</definedName>
    <definedName name="snl__7C50F318_5BE3_48DC_9247_786AC6D0E1E5_" localSheetId="6" hidden="1">Underwriting_Analysis!$N$407,Underwriting_Analysis!$S$409:$S$1079</definedName>
    <definedName name="snl__7C581DFD_5287_4DCD_BE81_19065EBA54CF_" localSheetId="6" hidden="1">Underwriting_Analysis!$B$407,Underwriting_Analysis!$D$410:$H$410</definedName>
    <definedName name="snl__7C90F450_8E90_4E14_AA9D_E95D0B0660CA_" localSheetId="9" hidden="1">Reserve_Analysis!$B$6,Reserve_Analysis!$D$10:$H$201</definedName>
    <definedName name="snl__7D0C84D8_926C_42F6_940C_41DF4B17ED5A_" localSheetId="12" hidden="1">Peer_Analysis!$U$1235,Peer_Analysis!$W$1238:$AG$1238</definedName>
    <definedName name="snl__7D320C61_C95D_4381_9C8A_134913A96281_" localSheetId="12" hidden="1">Peer_Analysis!$U$754,Peer_Analysis!$Y$756:$AI$792</definedName>
    <definedName name="snl__7D6BC884_CF38_4C3D_B9DD_B1170EE3E63E_" localSheetId="3" hidden="1">Financial_Highlights!$N$162,Financial_Highlights!$S$164:$S$218</definedName>
    <definedName name="snl__7DA83B3B_E039_4811_9AE8_F820AFFEF9E4_" localSheetId="12" hidden="1">Peer_Analysis!$U$754,Peer_Analysis!$Y$756:$AI$766</definedName>
    <definedName name="snl__7E11A32E_D7FA_473D_AE2C_E4936982A638_" localSheetId="8" hidden="1">Capital_Adequacy!$B$6,Capital_Adequacy!$D$10:$H$66</definedName>
    <definedName name="snl__7E22A29C_D360_4781_A40C_03BA4767FD87_" localSheetId="6" hidden="1">Underwriting_Analysis!$B$6,Underwriting_Analysis!$D$10:$H$404</definedName>
    <definedName name="snl__7F00546B_9BE1_4E1C_B8C1_62B324D8344E_" localSheetId="5" hidden="1">Income_Statement!$O$300,Income_Statement!$T$302:$T$592</definedName>
    <definedName name="snl__805C266F_56DD_4D5D_A9BB_DB6775A4EF7C_" localSheetId="12" hidden="1">Peer_Analysis!$U$1235,Peer_Analysis!$W$1238:$AG$1238</definedName>
    <definedName name="snl__81578B03_E1F2_437C_8D70_47A3F761A6E9_" localSheetId="4" hidden="1">Balance_Sheet!$B$6,Balance_Sheet!$D$10:$H$70</definedName>
    <definedName name="snl__815BA0D8_8317_4902_AB44_233AF3D504C1_" localSheetId="8" hidden="1">Capital_Adequacy!$B$6,Capital_Adequacy!$D$10:$H$66</definedName>
    <definedName name="snl__817AD287_39C0_42C8_89E6_E4846F549B3A_" localSheetId="12" hidden="1">Peer_Analysis!$U$419,Peer_Analysis!$Y$421:$AI$444</definedName>
    <definedName name="snl__8192E15C_AB97_470A_AEE6_EFC9AA34F0E7_" localSheetId="4" hidden="1">Balance_Sheet!$B$6,Balance_Sheet!$D$10:$H$70</definedName>
    <definedName name="snl__81B39C75_EEDF_4AD0_B4DC_CBB9644A7D25_" localSheetId="12" hidden="1">Peer_Analysis!$U$458,Peer_Analysis!$Y$460:$AI$470</definedName>
    <definedName name="snl__82899B18_C456_4481_B6B2_B3F9365E6DF0_" localSheetId="4" hidden="1">Balance_Sheet!$B$6,Balance_Sheet!$D$10:$H$71</definedName>
    <definedName name="snl__8301E3DC_363B_41F6_A1AE_587AE1249A07_" localSheetId="8" hidden="1">Capital_Adequacy!$B$6,Capital_Adequacy!$D$10:$H$66</definedName>
    <definedName name="snl__831CEFF8_4550_4DC5_86A2_58701F8539A8_" localSheetId="6" hidden="1">Underwriting_Analysis!$B$6,Underwriting_Analysis!$D$10:$H$404</definedName>
    <definedName name="snl__844A3F60_F351_4488_9C07_0DBD3A1FB55E_" localSheetId="7" hidden="1">Investment_Analysis!$B$6,Investment_Analysis!$D$10:$H$113</definedName>
    <definedName name="snl__848BD569_8C3E_4F4D_A546_8EBEED7202A6_" localSheetId="8" hidden="1">Capital_Adequacy!$B$6,Capital_Adequacy!$D$10:$H$66</definedName>
    <definedName name="snl__84E82FB2_A03B_447F_80A8_C5F4CC687777_" localSheetId="10" hidden="1">In_Force_and_Size!$B$6,In_Force_and_Size!$D$10:$H$46</definedName>
    <definedName name="snl__85FF7E6F_3BB6_4268_8C10_814A056B5F62_" localSheetId="9" hidden="1">Reserve_Analysis!$B$204,Reserve_Analysis!$D$207:$H$207</definedName>
    <definedName name="snl__86D6F34F_6FEB_4CF5_836C_0BED1AB796FE_" localSheetId="10" hidden="1">In_Force_and_Size!$B$6,In_Force_and_Size!$D$10:$H$46</definedName>
    <definedName name="snl__871A4F1F_E712_4ACB_BC3D_896B32EB1CB9_" localSheetId="10" hidden="1">In_Force_and_Size!$B$6,In_Force_and_Size!$D$10:$H$46</definedName>
    <definedName name="snl__8725232F_BD3C_40CD_BCC9_EF078A3E28FA_" localSheetId="12" hidden="1">Peer_Analysis!$U$1074,Peer_Analysis!$Y$1076:$AI$1138</definedName>
    <definedName name="snl__8736FB06_766F_4607_9BD3_A87FA0E0FB28_" localSheetId="10" hidden="1">In_Force_and_Size!$B$6,In_Force_and_Size!$D$10:$H$46</definedName>
    <definedName name="snl__879B400A_017D_4BAF_AF00_4564BDC2B556_" localSheetId="8" hidden="1">Capital_Adequacy!$B$6,Capital_Adequacy!$D$10:$H$66</definedName>
    <definedName name="snl__879D2BC1_5D78_4E3C_970C_C192FCF5F3A6_" localSheetId="4" hidden="1">Balance_Sheet!$B$6,Balance_Sheet!$D$10:$H$71</definedName>
    <definedName name="snl__8857D3DD_F1EE_4EB3_B41F_61609AA1772E_" localSheetId="9" hidden="1">Reserve_Analysis!$N$204,Reserve_Analysis!$S$8:$S$203</definedName>
    <definedName name="snl__8861BD70_1BF9_4653_A724_437E7971627D_" localSheetId="12" hidden="1">Peer_Analysis!$U$817,Peer_Analysis!$Y$819:$AI$842</definedName>
    <definedName name="snl__886ECDFC_1703_4447_BDEB_45EA860A43CA_" localSheetId="4" hidden="1">Balance_Sheet!$B$6,Balance_Sheet!$D$10:$H$70</definedName>
    <definedName name="snl__887DD8B2_917E_4349_85A1_937A28C1ED7C_" localSheetId="12" hidden="1">Peer_Analysis!$U$1150,Peer_Analysis!$Y$1153:$AI$1201</definedName>
    <definedName name="snl__89F46DD2_7680_44DC_B3A3_6B783DA9BECA_" localSheetId="4" hidden="1">Balance_Sheet!$B$6,Balance_Sheet!$D$10:$H$71</definedName>
    <definedName name="snl__8B06E7A6_F802_4726_AD0C_6AD29F067240_" localSheetId="3" hidden="1">Financial_Highlights!$N$162,Financial_Highlights!$S$164:$S$274</definedName>
    <definedName name="snl__8B6E7A2A_666B_4D16_8654_F389B5FC2343_" localSheetId="12" hidden="1">Peer_Analysis!$U$458,Peer_Analysis!$Y$460:$AI$470</definedName>
    <definedName name="snl__8C126F38_66DD_4148_AE62_8BF170F98201_" localSheetId="11" hidden="1">Reinsurance!$B$6,Reinsurance!$D$10:$H$66</definedName>
    <definedName name="snl__8C95F714_B064_4E07_B2A4_8704CB59377B_" localSheetId="12" hidden="1">Peer_Analysis!$U$1235,Peer_Analysis!$W$1238:$AG$1238</definedName>
    <definedName name="snl__8DAC9F48_0CAD_456C_AFFD_73295A47834E_" localSheetId="12" hidden="1">Peer_Analysis!$U$817,Peer_Analysis!$Y$819:$AI$842</definedName>
    <definedName name="snl__8DE8C0ED_C2AE_488C_9337_3D3155C0CCA3_" localSheetId="5" hidden="1">Income_Statement!$O$300,Income_Statement!$T$302:$T$1028</definedName>
    <definedName name="snl__8E134914_FA9C_4766_9BC5_3719E0828297_" localSheetId="8" hidden="1">Capital_Adequacy!$B$6,Capital_Adequacy!$D$10:$H$66</definedName>
    <definedName name="snl__8F3705FD_83F2_48ED_8B6E_87205DFB2849_" localSheetId="5" hidden="1">Income_Statement!$O$300,Income_Statement!$T$302:$T$412</definedName>
    <definedName name="snl__8F67EFBA_4578_45D0_8DA8_B14B6FB19F5E_" localSheetId="11" hidden="1">Reinsurance!$B$6,Reinsurance!$D$10:$H$66</definedName>
    <definedName name="snl__903FA8DF_0844_411E_95B1_6CB1B17A46DE_" localSheetId="9" hidden="1">Reserve_Analysis!$B$204,Reserve_Analysis!$D$207:$H$207</definedName>
    <definedName name="snl__91A25520_E3F6_4538_AD8B_395DB557CB46_" localSheetId="11" hidden="1">Reinsurance!$B$6,Reinsurance!$D$10:$H$66</definedName>
    <definedName name="snl__92A55CD2_D8C2_4AB0_8843_B4A2840EE666_" localSheetId="6" hidden="1">Underwriting_Analysis!$B$6,Underwriting_Analysis!$D$10:$H$404</definedName>
    <definedName name="snl__92BEB875_E9CC_4D63_B458_F1E560A59934_" localSheetId="7" hidden="1">Investment_Analysis!$B$6,Investment_Analysis!$D$10:$H$108</definedName>
    <definedName name="snl__936FB994_35AB_4DBC_A43A_94B19CB27088_" localSheetId="12" hidden="1">Peer_Analysis!$U$458,Peer_Analysis!$Y$460:$AI$470</definedName>
    <definedName name="snl__93ADA4E1_8EA3_4279_9F05_EBE41E3FD102_" localSheetId="12" hidden="1">Peer_Analysis!$U$877,Peer_Analysis!#REF!</definedName>
    <definedName name="snl__93EDEFB3_D3FB_49C9_8F36_E25748DB7D3E_" localSheetId="4" hidden="1">Balance_Sheet!$B$6,Balance_Sheet!$D$10:$H$71</definedName>
    <definedName name="snl__946F9339_1D85_48AA_8C64_9F7B65F3B720_" localSheetId="6" hidden="1">Underwriting_Analysis!$N$407,Underwriting_Analysis!$S$409:$S$1079</definedName>
    <definedName name="snl__94C28EBA_357B_4503_88D7_E6621C1729AF_" localSheetId="12" hidden="1">Peer_Analysis!$U$289,Peer_Analysis!$Y$291:$AI$379</definedName>
    <definedName name="snl__94D27E29_C0F7_4C37_8476_4382D1AA18DC_" localSheetId="12" hidden="1">Peer_Analysis!$U$754,Peer_Analysis!$Y$756:$AI$766</definedName>
    <definedName name="snl__94E01DCE_FD28_49EF_90BF_FE6EA59ABF0E_" localSheetId="5" hidden="1">Income_Statement!$O$300,Income_Statement!$T$302:$T$1028</definedName>
    <definedName name="snl__94E89EE6_0753_41A2_8EE5_23918FE9645A_" localSheetId="12" hidden="1">Peer_Analysis!$U$393,Peer_Analysis!$Y$395:$AI$405</definedName>
    <definedName name="snl__955462A3_6291_46DC_861B_742836BB4FA1_" localSheetId="12" hidden="1">Peer_Analysis!$U$1235,Peer_Analysis!$W$1238:$AG$1238</definedName>
    <definedName name="snl__95724757_6599_4D37_9346_A8E579ABB46B_" localSheetId="12" hidden="1">Peer_Analysis!$U$75,Peer_Analysis!$Y$77:$AI$100</definedName>
    <definedName name="snl__958E9527_B857_453D_B86F_8E339B93EFF0_" localSheetId="9" hidden="1">Reserve_Analysis!$N$204,Reserve_Analysis!$S$206:$S$680</definedName>
    <definedName name="snl__95CA8604_1787_486E_964E_DE01C93F93E4_" localSheetId="12" hidden="1">Peer_Analysis!$U$754,Peer_Analysis!$Y$756:$AI$766</definedName>
    <definedName name="snl__95F4633E_7414_4938_8916_CCF4C82EF5A4_" localSheetId="4" hidden="1">Balance_Sheet!$B$6,Balance_Sheet!$D$10:$H$71</definedName>
    <definedName name="snl__961143D6_6634_4D0C_994C_8D90DE6D89B7_" localSheetId="12" hidden="1">Peer_Analysis!$B$5,Peer_Analysis!$D$11:$N$1341</definedName>
    <definedName name="snl__97198737_89DD_4B18_B6A9_09E8EA7BECCE_" localSheetId="12" hidden="1">Peer_Analysis!$U$817,Peer_Analysis!$Y$819:$AI$842</definedName>
    <definedName name="snl__972C9D10_822A_4BB0_AA8A_178025008982_" localSheetId="4" hidden="1">Balance_Sheet!$B$6,Balance_Sheet!$D$10:$H$70</definedName>
    <definedName name="snl__9849AFD3_51D7_46D4_A991_6C6872830A19_" localSheetId="12" hidden="1">Peer_Analysis!$U$817,Peer_Analysis!$Y$819:$AI$842</definedName>
    <definedName name="snl__98F222AF_FA1F_4530_9D20_E0E1CFC55522_" localSheetId="5" hidden="1">Income_Statement!$O$300,Income_Statement!$T$302:$T$1028</definedName>
    <definedName name="snl__99484DB0_0025_4B87_BACD_0D24DF9F4B88_" localSheetId="8" hidden="1">Capital_Adequacy!$B$6,Capital_Adequacy!$D$10:$H$66</definedName>
    <definedName name="snl__994F4025_BAF6_4A81_A32D_228851842D13_" localSheetId="12" hidden="1">Peer_Analysis!$U$1150,Peer_Analysis!$Y$1153:$AI$1201</definedName>
    <definedName name="snl__9A0D6E75_B71D_4F41_A949_081611AF79B5_" localSheetId="6" hidden="1">Underwriting_Analysis!$B$6,Underwriting_Analysis!$D$10:$H$404</definedName>
    <definedName name="snl__9A12588F_E683_4961_AAC7_88CC5E7F955D_" localSheetId="8" hidden="1">Capital_Adequacy!$B$6,Capital_Adequacy!$D$10:$H$66</definedName>
    <definedName name="snl__9A74FB13_5807_4F7D_9AB2_7F2FB3461E77_" localSheetId="12" hidden="1">Peer_Analysis!$U$458,Peer_Analysis!$Y$460:$AI$470</definedName>
    <definedName name="snl__9A92727A_BBBC_4DFF_8CF6_8020D239F91C_" localSheetId="9" hidden="1">Reserve_Analysis!$N$204,Reserve_Analysis!$S$8:$S$203</definedName>
    <definedName name="snl__9ADF8662_FF24_4AC8_87A9_82DFD4FAEFF2_" localSheetId="12" hidden="1">Peer_Analysis!$U$1150,Peer_Analysis!$Y$1153:$AI$1201</definedName>
    <definedName name="snl__9B0C6FBB_3F42_4167_9172_568D7D31A374_" localSheetId="7" hidden="1">Investment_Analysis!$B$6,Investment_Analysis!$D$10:$H$108</definedName>
    <definedName name="snl__9B9B3D61_59CE_4FB9_99AA_90CD8BDB10F0_" localSheetId="8" hidden="1">Capital_Adequacy!$B$6,Capital_Adequacy!$D$10:$H$66</definedName>
    <definedName name="snl__9BC6A53A_C0C9_47FA_B09B_EDD667D68808_" localSheetId="12" hidden="1">Peer_Analysis!$U$289,Peer_Analysis!$Y$291:$AI$379</definedName>
    <definedName name="snl__9C3C7E1C_8BAC_4B24_89D1_32327F6878F5_" localSheetId="6" hidden="1">Underwriting_Analysis!$B$6,Underwriting_Analysis!$D$10:$H$404</definedName>
    <definedName name="snl__9CB6CA2C_8CB0_4FFC_BECA_7F9D1B2613F9_" localSheetId="12" hidden="1">Peer_Analysis!$B$5,Peer_Analysis!$D$11:$N$1341</definedName>
    <definedName name="snl__9CC8FDD9_B211_4B6B_9E23_91D9016AC64A_" localSheetId="11" hidden="1">Reinsurance!$B$6,Reinsurance!$D$10:$H$66</definedName>
    <definedName name="snl__9CF2E92A_7FCD_4790_B47C_37368DB551C2_" localSheetId="12" hidden="1">Peer_Analysis!$U$289,Peer_Analysis!$Y$291:$AI$379</definedName>
    <definedName name="snl__9D38C396_148B_4E59_8F2B_E0D9232275C2_" localSheetId="8" hidden="1">Capital_Adequacy!$B$6,Capital_Adequacy!$D$10:$H$66</definedName>
    <definedName name="snl__9D6F84BA_A520_416E_9F91_EB2A9ADEED86_" localSheetId="5" hidden="1">Income_Statement!$B$6,Income_Statement!$D$10:$H$293</definedName>
    <definedName name="snl__9DBE7C5D_54A7_48B9_86BF_CD2595F1C249_" localSheetId="8" hidden="1">Capital_Adequacy!$B$6,Capital_Adequacy!$D$10:$H$66</definedName>
    <definedName name="snl__9DC258F9_1E07_412E_B7C9_DD6C44FB2DB7_" localSheetId="7" hidden="1">Investment_Analysis!$B$6,Investment_Analysis!$D$10:$H$113</definedName>
    <definedName name="snl__9EB0C8BD_CA2A_4467_9F99_D9AA0A9E1676_" localSheetId="8" hidden="1">Capital_Adequacy!$B$6,Capital_Adequacy!$D$10:$H$66</definedName>
    <definedName name="snl__9EC46713_6E4F_45E4_AAD6_246208683969_" localSheetId="12" hidden="1">Peer_Analysis!$U$1074,Peer_Analysis!$Y$1076:$AI$1138</definedName>
    <definedName name="snl__9F70B4E4_7AAB_4EE8_B7BA_262543A10BFD_" localSheetId="5" hidden="1">Income_Statement!$O$300,Income_Statement!$T$302:$T$1028</definedName>
    <definedName name="snl__9F950710_5A5B_405A_88EA_D37DD2EB57AC_" localSheetId="11" hidden="1">Reinsurance!$B$6,Reinsurance!$D$10:$H$66</definedName>
    <definedName name="snl__9FA54EA9_B291_4C2D_8532_BE4667627469_" localSheetId="12" hidden="1">Peer_Analysis!$U$817,Peer_Analysis!$Y$819:$AI$842</definedName>
    <definedName name="snl__A06A8E09_7836_44EF_BA27_9EF3040CD510_" localSheetId="6" hidden="1">Underwriting_Analysis!$N$407,Underwriting_Analysis!$S$409:$S$1079</definedName>
    <definedName name="snl__A086AAB7_9C02_4723_8D9D_404ABB085315_" localSheetId="6" hidden="1">Underwriting_Analysis!$N$407,Underwriting_Analysis!$S$409:$S$1079</definedName>
    <definedName name="snl__A1B3422D_A2CC_4DAE_BA35_8A7B230F8667_" localSheetId="10" hidden="1">In_Force_and_Size!$B$6,In_Force_and_Size!$D$10:$H$46</definedName>
    <definedName name="snl__A1ED4E19_8478_4FF9_BBDB_00153BC8993D_" localSheetId="8" hidden="1">Capital_Adequacy!$B$6,Capital_Adequacy!$D$10:$H$66</definedName>
    <definedName name="snl__A28B97A7_42A2_420F_A38C_15EA1F53B58A_" localSheetId="10" hidden="1">In_Force_and_Size!$B$6,In_Force_and_Size!$D$10:$H$46</definedName>
    <definedName name="snl__A2D2C494_FD12_4BA4_A18E_78A63007B940_" localSheetId="8" hidden="1">Capital_Adequacy!$B$6,Capital_Adequacy!$D$10:$H$66</definedName>
    <definedName name="snl__A308617B_F289_4368_9EEB_E39492337E4E_" localSheetId="12" hidden="1">Peer_Analysis!$U$1235,Peer_Analysis!$W$1238:$AG$1238</definedName>
    <definedName name="snl__A315F918_0C86_497F_B959_0B2CB0B02BE9_" localSheetId="11" hidden="1">Reinsurance!$B$6,Reinsurance!$D$10:$H$66</definedName>
    <definedName name="snl__A32E71DE_2D9F_426F_812C_913776DF62D7_" localSheetId="12" hidden="1">Peer_Analysis!$U$393,Peer_Analysis!$Y$395:$AI$405</definedName>
    <definedName name="snl__A3FDAA21_0EAE_41C4_8179_D1A4316447B8_" localSheetId="12" hidden="1">Peer_Analysis!$U$1150,Peer_Analysis!$Y$1153:$AI$1201</definedName>
    <definedName name="snl__A4318AE8_1AC5_4C69_9474_7B7E25BF023B_" localSheetId="9" hidden="1">Reserve_Analysis!$N$204,Reserve_Analysis!$S$206:$S$680</definedName>
    <definedName name="snl__A446B00A_6033_4382_8B8D_8E86825AA902_" localSheetId="12" hidden="1">Peer_Analysis!$U$393,Peer_Analysis!$Y$395:$AI$405</definedName>
    <definedName name="snl__A45AC47C_8D91_4C80_8E11_C430DF83B229_" localSheetId="9" hidden="1">Reserve_Analysis!$N$204,Reserve_Analysis!$S$8:$S$203</definedName>
    <definedName name="snl__A4D04D5A_9FCD_479F_B5C4_E2019BA6D659_" localSheetId="7" hidden="1">Investment_Analysis!$B$6,Investment_Analysis!$D$10:$H$113</definedName>
    <definedName name="snl__A626EEC0_FF6D_4252_857D_0693D17DEABB_" localSheetId="10" hidden="1">In_Force_and_Size!$B$6,In_Force_and_Size!$D$10:$H$46</definedName>
    <definedName name="snl__A70464C0_C7B9_4CC7_91EF_4F97BA1312E0_" localSheetId="4" hidden="1">Balance_Sheet!$B$6,Balance_Sheet!$D$10:$H$71</definedName>
    <definedName name="snl__A7106C7D_4DBB_4E0F_8B61_D7616C92291C_" localSheetId="6" hidden="1">Underwriting_Analysis!$N$407,Underwriting_Analysis!$S$409:$S$1079</definedName>
    <definedName name="snl__A79A8D3A_DDFE_4479_8D51_1EEADD23DC0F_" localSheetId="3" hidden="1">Financial_Highlights!$B$6,Financial_Highlights!$D$10:$H$153</definedName>
    <definedName name="snl__A8BF4B72_23DB_464F_BA48_3308E8F9497A_" localSheetId="12" hidden="1">Peer_Analysis!$U$458,Peer_Analysis!$Y$460:$AI$470</definedName>
    <definedName name="snl__A95E0B77_CF62_480C_A924_FA77CABA760A_" localSheetId="12" hidden="1">Peer_Analysis!$U$458,Peer_Analysis!$Y$460:$AI$470</definedName>
    <definedName name="snl__A96F646F_08C0_455B_8781_E732F2AE7AA7_" localSheetId="9" hidden="1">Reserve_Analysis!$B$204,Reserve_Analysis!$D$207:$H$207</definedName>
    <definedName name="snl__A97C2FA7_EF3B_4ED3_A81B_2BE6F474F26C_" localSheetId="12" hidden="1">Peer_Analysis!$B$5,Peer_Analysis!$D$11:$N$1341</definedName>
    <definedName name="snl__A997D9D3_E81D_439B_84E9_DD08426770EC_" localSheetId="6" hidden="1">Underwriting_Analysis!$B$6,Underwriting_Analysis!$D$10:$H$404</definedName>
    <definedName name="snl__AA7D7CB8_A959_4FE9_98BC_229BFB77FEF9_" localSheetId="5" hidden="1">Income_Statement!$B$6,Income_Statement!$D$10:$H$293</definedName>
    <definedName name="snl__AA98AE41_0C2A_4530_BDC7_73EC5C1E767A_" localSheetId="9" hidden="1">Reserve_Analysis!$B$204,Reserve_Analysis!$D$207:$H$207</definedName>
    <definedName name="snl__AACF744F_A7C3_4E43_8835_3F120885520C_" localSheetId="9" hidden="1">Reserve_Analysis!$B$204,Reserve_Analysis!$D$207:$H$207</definedName>
    <definedName name="snl__AAEF208B_7C18_446C_81EB_690A18EC075F_" localSheetId="4" hidden="1">Balance_Sheet!$B$6,Balance_Sheet!$D$10:$H$71</definedName>
    <definedName name="snl__ABD53808_DC0F_4FC6_98B0_D23A13FADC80_" localSheetId="12" hidden="1">Peer_Analysis!$U$393,Peer_Analysis!$Y$395:$AI$405</definedName>
    <definedName name="snl__AC00EDF0_C36E_4441_8E35_AFEADE817239_" localSheetId="8" hidden="1">Capital_Adequacy!$B$6,Capital_Adequacy!$D$10:$H$66</definedName>
    <definedName name="snl__AC569737_425A_4680_825D_5DD139B30B35_" localSheetId="11" hidden="1">Reinsurance!$B$6,Reinsurance!$D$10:$H$66</definedName>
    <definedName name="snl__AC696222_B868_407A_A372_F038FF3C13F8_" localSheetId="9" hidden="1">Reserve_Analysis!$B$6,Reserve_Analysis!$D$10:$H$201</definedName>
    <definedName name="snl__AC6D1CBB_2B19_49F7_B31F_1AE840301AB5_" localSheetId="12" hidden="1">Peer_Analysis!$U$458,Peer_Analysis!$Y$460:$AI$470</definedName>
    <definedName name="snl__AC7CA814_3588_42E6_B584_18F9E83014F7_" localSheetId="11" hidden="1">Reinsurance!$B$6,Reinsurance!$D$10:$H$66</definedName>
    <definedName name="snl__ACD0537D_B532_4D42_8563_844081691394_" localSheetId="9" hidden="1">Reserve_Analysis!$N$204,Reserve_Analysis!$S$206:$S$680</definedName>
    <definedName name="snl__ADAFA965_52D6_40C8_AC24_9B4FCCEFAB31_" localSheetId="9" hidden="1">Reserve_Analysis!$N$204,Reserve_Analysis!$S$206:$S$680</definedName>
    <definedName name="snl__ADBA38F9_8CB4_4BFE_97AB_CC85A50A43E2_" localSheetId="7" hidden="1">Investment_Analysis!$B$6,Investment_Analysis!$D$10:$H$113</definedName>
    <definedName name="snl__ADE319AA_4039_4A0F_B150_9F4DE60B5AD9_" localSheetId="7" hidden="1">Investment_Analysis!$B$6,Investment_Analysis!$D$10:$H$108</definedName>
    <definedName name="snl__AE7506E2_A4BC_4E2A_838E_DA4412F3F9A5_" localSheetId="12" hidden="1">Peer_Analysis!$U$1150,Peer_Analysis!$Y$1153:$AI$1201</definedName>
    <definedName name="snl__AFBD931E_5EF6_4EF0_9EAA_7215630B2949_" localSheetId="3" hidden="1">Financial_Highlights!$N$162,Financial_Highlights!$S$164:$S$274</definedName>
    <definedName name="snl__B1921454_EDE6_4E4A_A25E_98586CC8606C_" localSheetId="8" hidden="1">Capital_Adequacy!$B$6,Capital_Adequacy!$D$10:$H$66</definedName>
    <definedName name="snl__B2578D17_CCF8_4A41_B670_BE6E0EAE7415_" localSheetId="12" hidden="1">Peer_Analysis!$U$1235,Peer_Analysis!$W$1238:$AG$1238</definedName>
    <definedName name="snl__B25B7DBD_14F6_416D_AE62_EF7E20A35DA8_" localSheetId="8" hidden="1">Capital_Adequacy!$B$6,Capital_Adequacy!$D$10:$H$66</definedName>
    <definedName name="snl__B2D8B289_3E75_4FD4_96F5_A70A26EFD314_" localSheetId="12" hidden="1">Peer_Analysis!$U$419,Peer_Analysis!$Y$421:$AI$444</definedName>
    <definedName name="snl__B3BF6827_C55E_4B08_AE92_5249B903D5AF_" localSheetId="6" hidden="1">Underwriting_Analysis!$N$407,Underwriting_Analysis!$S$409:$S$1079</definedName>
    <definedName name="snl__B52194B8_71FB_4192_8F81_09FAB933BF3F_" localSheetId="11" hidden="1">Reinsurance!$B$6,Reinsurance!$D$10:$H$66</definedName>
    <definedName name="snl__B625527D_E519_430E_AE85_4ED4A706314E_" localSheetId="4" hidden="1">Balance_Sheet!$B$6,Balance_Sheet!$D$10:$H$71</definedName>
    <definedName name="snl__B65364E3_DF55_405C_95B4_7F3417F18856_" localSheetId="12" hidden="1">Peer_Analysis!$U$754,Peer_Analysis!$Y$756:$AI$766</definedName>
    <definedName name="snl__B6D1404B_A8A5_4999_8B3B_AB05BB9A5020_" localSheetId="7" hidden="1">Investment_Analysis!$B$6,Investment_Analysis!$D$10:$H$108</definedName>
    <definedName name="snl__B71D4C58_B456_48C3_A71A_CAF5851FA69B_" localSheetId="10" hidden="1">In_Force_and_Size!$B$6,In_Force_and_Size!$D$10:$H$46</definedName>
    <definedName name="snl__B7656DF4_CDD3_45BB_87A7_AAB692EF003B_" localSheetId="10" hidden="1">In_Force_and_Size!$B$6,In_Force_and_Size!$D$10:$H$46</definedName>
    <definedName name="snl__B77C0DFB_783E_4061_9251_02F8EE2C6E71_" localSheetId="10" hidden="1">In_Force_and_Size!$B$6,In_Force_and_Size!$D$10:$H$46</definedName>
    <definedName name="snl__B848BB85_A204_4538_A4E9_873CACB36CDC_" localSheetId="2" hidden="1">Instructions!$W$66,Instructions!$X$69:$AA$69</definedName>
    <definedName name="snl__B84FBC81_837E_426F_9026_3527B4690C96_" localSheetId="12" hidden="1">Peer_Analysis!$U$393,Peer_Analysis!$Y$395:$AI$405</definedName>
    <definedName name="snl__B8A16D6C_3E57_420C_92E9_1CC4A30EDD45_" localSheetId="3" hidden="1">Financial_Highlights!$N$162,Financial_Highlights!$S$164:$S$274</definedName>
    <definedName name="snl__B8C5B200_CAA4_4BDB_8567_564195C4461E_" localSheetId="12" hidden="1">Peer_Analysis!$U$289,Peer_Analysis!$Y$291:$AI$379</definedName>
    <definedName name="snl__B972FC2C_66E8_4E5F_A720_A0E992776C42_" localSheetId="5" hidden="1">Income_Statement!$O$300,Income_Statement!$T$302:$T$1028</definedName>
    <definedName name="snl__B9A821E5_0CA8_4352_8DF1_021C2CE4EEE5_" localSheetId="12" hidden="1">Peer_Analysis!$U$75,Peer_Analysis!$Y$77:$AI$100</definedName>
    <definedName name="snl__B9DD6E30_0FF3_40DE_914F_F4543F6C9C53_" localSheetId="12" hidden="1">Peer_Analysis!$U$1150,Peer_Analysis!$Y$1153:$AI$1201</definedName>
    <definedName name="snl__B9E6E089_1ABA_47B1_BF00_142DC1F79209_" localSheetId="12" hidden="1">Peer_Analysis!$U$393,Peer_Analysis!$Y$395:$AI$405</definedName>
    <definedName name="snl__BA1220CF_13E0_4CF7_A0C6_C4404EA1FACC_" localSheetId="12" hidden="1">Peer_Analysis!$U$75,Peer_Analysis!$Y$77:$AI$100</definedName>
    <definedName name="snl__BA5C63A5_0F9E_4714_A072_C0FDAF67161B_" localSheetId="12" hidden="1">Peer_Analysis!$U$419,Peer_Analysis!$Y$421:$AI$444</definedName>
    <definedName name="snl__BAF4126D_CEEA_4D09_9D5C_4B07E3E9F922_" localSheetId="12" hidden="1">Peer_Analysis!$U$289,Peer_Analysis!$Y$291:$AI$379</definedName>
    <definedName name="snl__BB3C9C61_3B34_4B9F_99BA_5DA11C1D2BCE_" localSheetId="12" hidden="1">Peer_Analysis!$B$5,Peer_Analysis!$D$11:$N$1341</definedName>
    <definedName name="snl__BB89FA81_3713_413D_83FE_07372DF255D0_" localSheetId="12" hidden="1">Peer_Analysis!$U$1074,Peer_Analysis!$Y$1076:$AI$1138</definedName>
    <definedName name="snl__BC712D0A_1EF8_4E39_BDA8_4C3031F5CAC0_" localSheetId="12" hidden="1">Peer_Analysis!$U$75,Peer_Analysis!$Y$77:$AI$100</definedName>
    <definedName name="snl__BD37596D_141B_441A_B0A4_694EC3FDBE5C_" localSheetId="4" hidden="1">Balance_Sheet!$B$6,Balance_Sheet!$D$10:$H$70</definedName>
    <definedName name="snl__BD641F81_1888_4DE3_AD72_CA411B8179BD_" localSheetId="9" hidden="1">Reserve_Analysis!$N$204,Reserve_Analysis!$S$206:$S$482</definedName>
    <definedName name="snl__BDD78230_1511_4D52_895F_E09ED6129BA0_" localSheetId="12" hidden="1">Peer_Analysis!$U$754,Peer_Analysis!$Y$756:$AI$766</definedName>
    <definedName name="snl__BE12DF0C_D72C_4EE6_85BC_FDAE3A680A31_" localSheetId="12" hidden="1">Peer_Analysis!$U$1235,Peer_Analysis!$W$1238:$AG$1238</definedName>
    <definedName name="snl__BE6CE33E_E33B_4B14_B0F3_57F42D8E2B61_" localSheetId="10" hidden="1">In_Force_and_Size!$B$6,In_Force_and_Size!$D$10:$H$46</definedName>
    <definedName name="snl__BFAC0224_C918_4DA4_9E23_2A8F89BA56E8_" localSheetId="12" hidden="1">Peer_Analysis!$U$1235,Peer_Analysis!$W$1238:$AG$1238</definedName>
    <definedName name="snl__C09DB523_EA92_43F8_9852_AA425077CC78_" localSheetId="9" hidden="1">Reserve_Analysis!$B$6,Reserve_Analysis!$D$10:$H$201</definedName>
    <definedName name="snl__C0BD658E_2096_4085_9605_28F4AFBA1B1F_" localSheetId="5" hidden="1">Income_Statement!$B$6,Income_Statement!$D$10:$H$293</definedName>
    <definedName name="snl__C18C0719_2040_49F6_908A_0B249EDAD61F_" localSheetId="10" hidden="1">In_Force_and_Size!$B$6,In_Force_and_Size!$D$10:$H$46</definedName>
    <definedName name="snl__C1C4F9B3_5B37_4D61_86D2_8AB29C9C92D0_" localSheetId="12" hidden="1">Peer_Analysis!$U$75,Peer_Analysis!$Y$77:$AI$100</definedName>
    <definedName name="snl__C227EAE1_C639_4CF1_AD41_8BA850799605_" localSheetId="10" hidden="1">In_Force_and_Size!$B$6,In_Force_and_Size!$D$10:$H$46</definedName>
    <definedName name="snl__C2353224_270D_49BA_99B0_76C11B54AC4E_" localSheetId="7" hidden="1">Investment_Analysis!$B$6,Investment_Analysis!$D$10:$H$108</definedName>
    <definedName name="snl__C24CFD4A_94C1_422D_AB69_09C4EED46A98_" localSheetId="12" hidden="1">Peer_Analysis!$U$419,Peer_Analysis!$Y$421:$AI$444</definedName>
    <definedName name="snl__C29A3BA4_F767_45FE_AEF8_FF3AFA5D7A11_" localSheetId="7" hidden="1">Investment_Analysis!$B$6,Investment_Analysis!$D$10:$H$113</definedName>
    <definedName name="snl__C2F849D1_4F68_4D24_B9BE_0419850627F8_" localSheetId="12" hidden="1">Peer_Analysis!$U$1150,Peer_Analysis!$Y$1153:$AI$1201</definedName>
    <definedName name="snl__C34C9F69_7876_481D_8246_FE91D7D3F8E9_" localSheetId="6" hidden="1">Underwriting_Analysis!$N$407,Underwriting_Analysis!$S$409:$S$1079</definedName>
    <definedName name="snl__C39BE25C_6C98_4BE2_8C49_045C8873F675_" localSheetId="7" hidden="1">Investment_Analysis!$B$6,Investment_Analysis!$D$10:$H$113</definedName>
    <definedName name="snl__C3D8EF5C_F059_4537_A5BD_042154CB4FEC_" localSheetId="11" hidden="1">Reinsurance!$B$6,Reinsurance!$D$10:$H$66</definedName>
    <definedName name="snl__C432573B_ADA0_4C3C_8383_27E282FF209A_" localSheetId="2" hidden="1">Instructions!$W$66,Instructions!$X$69:$AA$69</definedName>
    <definedName name="snl__C43C300F_A016_4889_A318_A6674C4B2DFD_" localSheetId="11" hidden="1">Reinsurance!$B$6,Reinsurance!$D$10:$H$66</definedName>
    <definedName name="snl__C5059CC9_6906_4193_9D65_141909B2B860_" localSheetId="12" hidden="1">Peer_Analysis!$U$1074,Peer_Analysis!$Y$1076:$AI$1138</definedName>
    <definedName name="snl__C54F89F8_AD28_4B10_B5C5_AD94957C4570_" localSheetId="8" hidden="1">Capital_Adequacy!$B$6,Capital_Adequacy!$D$10:$H$66</definedName>
    <definedName name="snl__C54F8F31_6C85_4893_8D83_E1E4729C8AC6_" localSheetId="4" hidden="1">Balance_Sheet!$B$6,Balance_Sheet!$D$10:$H$70</definedName>
    <definedName name="snl__C61A393C_1331_41FE_8851_65A3D2F14DB5_" localSheetId="9" hidden="1">Reserve_Analysis!$N$204,Reserve_Analysis!$S$206:$S$680</definedName>
    <definedName name="snl__C6DB075D_A968_42A8_BC26_28DC6E377D03_" localSheetId="9" hidden="1">Reserve_Analysis!$B$6,Reserve_Analysis!$D$10:$H$201</definedName>
    <definedName name="snl__C6E45C0F_27DC_45C4_9280_2B012583D906_" localSheetId="6" hidden="1">Underwriting_Analysis!$N$407,Underwriting_Analysis!$S$409:$S$1079</definedName>
    <definedName name="snl__C878CC04_6242_4D6E_9ABD_3BCCA7251FAC_" localSheetId="8" hidden="1">Capital_Adequacy!$B$6,Capital_Adequacy!$D$10:$H$66</definedName>
    <definedName name="snl__C87C8E4F_ADB0_4F49_933D_B5066BAC6442_" localSheetId="12" hidden="1">Peer_Analysis!$U$754,Peer_Analysis!$Y$756:$AI$766</definedName>
    <definedName name="snl__C8AE4DA0_2FF9_47F0_80F1_D015304EE282_" localSheetId="11" hidden="1">Reinsurance!$B$6,Reinsurance!$D$10:$H$66</definedName>
    <definedName name="snl__C8BE6C89_6FDC_4C84_B792_C498442DEF90_" localSheetId="7" hidden="1">Investment_Analysis!$B$6,Investment_Analysis!$D$10:$H$113</definedName>
    <definedName name="snl__C949CAFC_DAC8_4A53_B5E0_8AB9CC8B777A_" localSheetId="10" hidden="1">In_Force_and_Size!$B$6,In_Force_and_Size!$D$10:$H$46</definedName>
    <definedName name="snl__C95E8FCB_7010_4F2A_AA72_00F1FB9564A0_" localSheetId="11" hidden="1">Reinsurance!$B$6,Reinsurance!$D$10:$H$66</definedName>
    <definedName name="snl__C9F68256_1FD6_4A94_B7F2_1922D759BCE4_" localSheetId="10" hidden="1">In_Force_and_Size!$B$6,In_Force_and_Size!$D$10:$H$46</definedName>
    <definedName name="snl__CA047DA6_690A_487D_BB52_D298A8410294_" localSheetId="12" hidden="1">Peer_Analysis!$U$458,Peer_Analysis!$Y$460:$AI$470</definedName>
    <definedName name="snl__CAE529B1_589F_432C_BD86_86D3C7FC2BD7_" localSheetId="10" hidden="1">In_Force_and_Size!$B$6,In_Force_and_Size!$D$10:$H$46</definedName>
    <definedName name="snl__CB09502D_7855_4A11_8410_C98D16E52F8F_" localSheetId="12" hidden="1">Peer_Analysis!$U$75,Peer_Analysis!$Y$77:$AI$100</definedName>
    <definedName name="snl__CB43C7EC_87B7_4086_B997_41DB442A428A_" localSheetId="12" hidden="1">Peer_Analysis!$U$419,Peer_Analysis!$Y$421:$AI$444</definedName>
    <definedName name="snl__CB6B4784_31A1_41CD_AEDE_12B571768819_" localSheetId="12" hidden="1">Peer_Analysis!$U$817,Peer_Analysis!$Y$819:$AI$842</definedName>
    <definedName name="snl__CC2776C5_3F00_464F_802E_CAB49E8B003D_" localSheetId="12" hidden="1">Peer_Analysis!$U$754,Peer_Analysis!$Y$756:$AI$766</definedName>
    <definedName name="snl__CC6E18DA_DF85_48A7_B8F2_CED26CCD89DC_" localSheetId="10" hidden="1">In_Force_and_Size!$B$6,In_Force_and_Size!$D$10:$H$46</definedName>
    <definedName name="snl__CC73D499_AE92_48A7_9ADD_952B39BC7DA0_" localSheetId="4" hidden="1">Balance_Sheet!$B$6,Balance_Sheet!$D$10:$H$71</definedName>
    <definedName name="snl__CCED39DE_1693_4222_8F86_D0DB4DA4EE2A_" localSheetId="6" hidden="1">Underwriting_Analysis!$N$407,Underwriting_Analysis!$S$409:$S$1079</definedName>
    <definedName name="snl__CD23B68C_93C3_443A_9391_1BAC1D2AEE99_" localSheetId="5" hidden="1">Income_Statement!$B$6,Income_Statement!$D$10:$F$293</definedName>
    <definedName name="snl__CDBF060E_A645_47DA_807C_A3B4C2EF1C41_" localSheetId="12" hidden="1">Peer_Analysis!$U$458,Peer_Analysis!$Y$460:$AI$470</definedName>
    <definedName name="snl__CE02B999_6317_4C6C_B82B_1F15C276BF5E_" localSheetId="12" hidden="1">Peer_Analysis!$U$754,Peer_Analysis!$Y$756:$AI$766</definedName>
    <definedName name="snl__CE19E5A1_7AF1_4859_ACFC_555E720519FF_" localSheetId="12" hidden="1">Peer_Analysis!$U$817,Peer_Analysis!$Y$819:$AI$842</definedName>
    <definedName name="snl__CE38DAF9_7800_4103_94ED_DD295A5ABB21_" localSheetId="12" hidden="1">Peer_Analysis!$U$754,Peer_Analysis!$Y$756:$AI$766</definedName>
    <definedName name="snl__CE79CA9F_43D3_4D89_9EA1_74561A5BD29E_" localSheetId="5" hidden="1">Income_Statement!$O$300,Income_Statement!$T$302:$T$1028</definedName>
    <definedName name="snl__CF5E4DE4_BA18_454C_8DE3_E9BCDBC6911C_" localSheetId="10" hidden="1">In_Force_and_Size!$B$6,In_Force_and_Size!$D$10:$H$46</definedName>
    <definedName name="snl__CFFE4128_7539_4991_9833_CBC3A41E9DD7_" localSheetId="7" hidden="1">Investment_Analysis!$B$6,Investment_Analysis!$D$10:$H$113</definedName>
    <definedName name="snl__D02BC412_ECEC_4185_A7F9_912C631B7A95_" localSheetId="5" hidden="1">Income_Statement!$O$300,Income_Statement!$T$302:$T$1028</definedName>
    <definedName name="snl__D032ACDE_543D_45A3_AF99_6475FFF23198_" localSheetId="12" hidden="1">Peer_Analysis!$U$289,Peer_Analysis!$Y$291:$AI$379</definedName>
    <definedName name="snl__D0590B27_4326_4B4C_8D75_4A5DE8733C59_" localSheetId="11" hidden="1">Reinsurance!$B$6,Reinsurance!$D$10:$H$66</definedName>
    <definedName name="snl__D06BFCD9_2E8F_4049_A107_BBA087E4019D_" localSheetId="11" hidden="1">Reinsurance!$B$6,Reinsurance!$D$10:$H$66</definedName>
    <definedName name="snl__D136C487_970C_47DC_900B_CA29CB09D35D_" localSheetId="3" hidden="1">Financial_Highlights!$B$6,Financial_Highlights!$D$10:$H$153</definedName>
    <definedName name="snl__D1DEA898_05FE_4F3C_8399_DD563E51B84C_" localSheetId="5" hidden="1">Income_Statement!$O$300,Income_Statement!$T$302:$T$1028</definedName>
    <definedName name="snl__D2A95131_B3CF_4B69_B779_5B7304C9F6CF_" localSheetId="6" hidden="1">Underwriting_Analysis!$N$407,Underwriting_Analysis!$S$409:$S$1079</definedName>
    <definedName name="snl__D3568D14_3A3A_43EE_B3ED_E8C6324E89CC_" localSheetId="6" hidden="1">Underwriting_Analysis!$B$6,Underwriting_Analysis!$D$10:$H$404</definedName>
    <definedName name="snl__D36739D8_DE68_4613_A81A_94FF0529D212_" localSheetId="9" hidden="1">Reserve_Analysis!$B$204,Reserve_Analysis!$D$207:$H$207</definedName>
    <definedName name="snl__D3A0942D_8B93_44B2_BC81_20A3AD3CD3C7_" localSheetId="4" hidden="1">Balance_Sheet!$B$6,Balance_Sheet!$D$10:$H$70</definedName>
    <definedName name="snl__D44D0AFC_3D3C_4472_9ABA_15012A00C88E_" localSheetId="8" hidden="1">Capital_Adequacy!$B$6,Capital_Adequacy!$D$10:$H$66</definedName>
    <definedName name="snl__D4510649_EFE6_4703_A1AA_0A3C02C7FD2B_" localSheetId="12" hidden="1">Peer_Analysis!$U$393,Peer_Analysis!$Y$395:$AI$405</definedName>
    <definedName name="snl__D500BA9F_E932_4DA1_BC10_BD089FEBDBAA_" localSheetId="9" hidden="1">Reserve_Analysis!$N$204,Reserve_Analysis!$S$206:$S$680</definedName>
    <definedName name="snl__D5353441_03D8_437D_800F_4B5E51A2A6A3_" localSheetId="10" hidden="1">In_Force_and_Size!$B$6,In_Force_and_Size!$D$10:$H$46</definedName>
    <definedName name="snl__D5617115_0FDE_4821_8ECF_A20EF1115642_" localSheetId="6" hidden="1">Underwriting_Analysis!$N$407,Underwriting_Analysis!$S$409:$S$1079</definedName>
    <definedName name="snl__D6350D87_DD0E_4206_B561_6BB913A89216_" localSheetId="8" hidden="1">Capital_Adequacy!$B$6,Capital_Adequacy!$D$10:$H$66</definedName>
    <definedName name="snl__D6BDE725_5E0E_4EA0_BE0B_704896993107_" localSheetId="12" hidden="1">Peer_Analysis!$U$419,Peer_Analysis!$Y$421:$AI$444</definedName>
    <definedName name="snl__D842E78F_BD0E_4420_9337_B0E75DD1FFF8_" localSheetId="10" hidden="1">In_Force_and_Size!$B$6,In_Force_and_Size!$D$10:$H$46</definedName>
    <definedName name="snl__D94698F6_C830_400C_8974_EEADD75EE32B_" localSheetId="9" hidden="1">Reserve_Analysis!$B$204,Reserve_Analysis!$D$207:$H$207</definedName>
    <definedName name="snl__D96D3DBE_CD12_49CF_AAB1_23517031C813_" localSheetId="12" hidden="1">Peer_Analysis!$B$5,Peer_Analysis!$D$11:$N$1341</definedName>
    <definedName name="snl__D9ECD3CE_066F_4ADA_87BE_86327E172E74_" localSheetId="7" hidden="1">Investment_Analysis!$B$6,Investment_Analysis!$D$10:$H$113</definedName>
    <definedName name="snl__DA265270_44DA_4460_8AC6_C71A2C606ADA_" localSheetId="11" hidden="1">Reinsurance!$B$6,Reinsurance!$D$10:$H$66</definedName>
    <definedName name="snl__DACBDEDA_3994_4606_BF6E_F8DB64A589AD_" localSheetId="9" hidden="1">Reserve_Analysis!$B$204,Reserve_Analysis!$D$207:$H$207</definedName>
    <definedName name="snl__DAD8717E_70D8_4A3C_BF1F_2793E97FE7C5_" localSheetId="12" hidden="1">Peer_Analysis!$U$817,Peer_Analysis!$Y$819:$AI$842</definedName>
    <definedName name="snl__DB195A72_D24A_4709_A44F_54EC3BA2F928_" localSheetId="7" hidden="1">Investment_Analysis!$B$6,Investment_Analysis!$D$10:$H$113</definedName>
    <definedName name="snl__DB60B5C7_27FD_4599_8F1A_1EF71AE6A42E_" localSheetId="11" hidden="1">Reinsurance!$B$6,Reinsurance!$D$10:$H$66</definedName>
    <definedName name="snl__DB8D6B72_55B0_49C2_B93D_C7FC8BF78E0E_" localSheetId="12" hidden="1">Peer_Analysis!$U$1235,Peer_Analysis!$W$1238:$AG$1238</definedName>
    <definedName name="snl__DB9D31FC_56E7_4F91_96E6_354F95416AB1_" localSheetId="12" hidden="1">Peer_Analysis!$U$1150,Peer_Analysis!$Y$1153:$AI$1201</definedName>
    <definedName name="snl__DBABA49F_C820_494E_BB33_AD1F53ED90C9_" localSheetId="11" hidden="1">Reinsurance!$B$6,Reinsurance!$D$10:$H$66</definedName>
    <definedName name="snl__DBED3E8D_CBA1_4351_9A11_0C72695BA900_" localSheetId="8" hidden="1">Capital_Adequacy!$B$6,Capital_Adequacy!$D$10:$H$66</definedName>
    <definedName name="snl__DC2FD325_F066_4625_9C83_712475B0573C_" localSheetId="12" hidden="1">Peer_Analysis!$U$289,Peer_Analysis!$Y$291:$AI$379</definedName>
    <definedName name="snl__DC3D846B_788F_450C_9E80_0DDF7FAF15DA_" localSheetId="6" hidden="1">Underwriting_Analysis!$N$407,Underwriting_Analysis!$S$409:$S$1079</definedName>
    <definedName name="snl__DC4DA588_2C0F_4E37_9C5B_0BDAE51E791D_" localSheetId="8" hidden="1">Capital_Adequacy!$B$6,Capital_Adequacy!$D$10:$H$66</definedName>
    <definedName name="snl__DC906BB2_D835_4E26_920A_8F5EC6AA7806_" localSheetId="8" hidden="1">Capital_Adequacy!$B$6,Capital_Adequacy!$D$10:$H$66</definedName>
    <definedName name="snl__DCC7FDAE_8D39_4D49_A237_3B9B3B744660_" localSheetId="4" hidden="1">Balance_Sheet!$B$6,Balance_Sheet!$D$10:$H$71</definedName>
    <definedName name="snl__DD1E3D2F_4FB0_4EC4_BF49_012B1C403E5C_" localSheetId="8" hidden="1">Capital_Adequacy!$B$6,Capital_Adequacy!$D$10:$H$66</definedName>
    <definedName name="snl__DD57BF26_3020_4AED_8E19_410CEE04BF2C_" localSheetId="8" hidden="1">Capital_Adequacy!$B$6,Capital_Adequacy!$D$10:$H$66</definedName>
    <definedName name="snl__DD6297E7_9FD0_47BF_8A06_EC0E693C77FF_" localSheetId="6" hidden="1">Underwriting_Analysis!$N$407,Underwriting_Analysis!$S$409:$S$1079</definedName>
    <definedName name="snl__DE0FECDC_57DC_4E96_B35B_8AE05E099E3D_" localSheetId="12" hidden="1">Peer_Analysis!$B$5,Peer_Analysis!$D$11:$N$1341</definedName>
    <definedName name="snl__DE4DA502_B4AE_4A8F_AC14_BF10E9F12775_" localSheetId="9" hidden="1">Reserve_Analysis!$N$204,Reserve_Analysis!$S$206:$S$680</definedName>
    <definedName name="snl__DF4BC08A_5004_459A_A423_C1A972C03483_" localSheetId="10" hidden="1">In_Force_and_Size!$B$6,In_Force_and_Size!$D$10:$H$46</definedName>
    <definedName name="snl__E09509F0_02B6_452D_86FC_F658CFACE458_" localSheetId="7" hidden="1">Investment_Analysis!$B$6,Investment_Analysis!$D$10:$H$108</definedName>
    <definedName name="snl__E0A7E7BC_4760_4FCF_A406_3989BDA29465_" localSheetId="9" hidden="1">Reserve_Analysis!$B$6,Reserve_Analysis!$D$10:$H$201</definedName>
    <definedName name="snl__E0BCE9A3_3C95_428A_AEAA_423CFF6C4CFB_" localSheetId="12" hidden="1">Peer_Analysis!$U$1235,Peer_Analysis!$W$1238:$AG$1238</definedName>
    <definedName name="snl__E0DAA0C0_4789_4E24_81FB_0B115D583932_" localSheetId="12" hidden="1">Peer_Analysis!$U$75,Peer_Analysis!$Y$77:$AI$100</definedName>
    <definedName name="snl__E12DE213_3F7E_4F6C_988D_C77AA8145E9C_" localSheetId="12" hidden="1">Peer_Analysis!$B$5,Peer_Analysis!$D$11:$N$1341</definedName>
    <definedName name="snl__E14459E0_4F03_4704_A08C_3DC23341EFC8_" localSheetId="12" hidden="1">Peer_Analysis!$U$817,Peer_Analysis!$Y$819:$AI$842</definedName>
    <definedName name="snl__E172097A_11BE_49EC_B02A_8552F8E3E684_" localSheetId="5" hidden="1">Income_Statement!$B$6,Income_Statement!$D$10:$H$293</definedName>
    <definedName name="snl__E1D4181C_47E8_434D_9976_652B634E6EB4_" localSheetId="5" hidden="1">Income_Statement!$O$300,Income_Statement!$T$302:$T$1028</definedName>
    <definedName name="snl__E20715F2_FA85_4CDD_8AA9_C61BB0E34351_" localSheetId="12" hidden="1">Peer_Analysis!$U$419,Peer_Analysis!$Y$421:$AI$444</definedName>
    <definedName name="snl__E2618760_E9DD_4F24_8DB9_43EB0FA375DF_" localSheetId="9" hidden="1">Reserve_Analysis!$B$6,Reserve_Analysis!$D$10:$H$201</definedName>
    <definedName name="snl__E275C009_353C_421E_8945_3475EFE0000F_" localSheetId="11" hidden="1">Reinsurance!$B$6,Reinsurance!$D$10:$H$66</definedName>
    <definedName name="snl__E44C67E0_7160_4CBD_85F4_EA6320961C73_" localSheetId="6" hidden="1">Underwriting_Analysis!$B$6,Underwriting_Analysis!$D$10:$H$404</definedName>
    <definedName name="snl__E4C697DD_B26B_4743_A6BD_D03E42A3FFD8_" localSheetId="9" hidden="1">Reserve_Analysis!$B$204,Reserve_Analysis!$D$207:$H$207</definedName>
    <definedName name="snl__E4C6DB83_C030_407C_88CE_D99B4F25CE62_" localSheetId="11" hidden="1">Reinsurance!$B$6,Reinsurance!$D$10:$H$66</definedName>
    <definedName name="snl__E51E74CF_7A83_45E3_9D7D_DA163C9C0847_" localSheetId="9" hidden="1">Reserve_Analysis!$B$6,Reserve_Analysis!$D$10:$H$201</definedName>
    <definedName name="snl__E5A3AD54_DAA3_46D1_8662_1CF9657DD3CD_" localSheetId="7" hidden="1">Investment_Analysis!$B$6,Investment_Analysis!$D$10:$H$108</definedName>
    <definedName name="snl__E62FD31E_BA9D_484C_ABD9_D02704391D85_" localSheetId="9" hidden="1">Reserve_Analysis!$B$204,Reserve_Analysis!$D$207:$H$207</definedName>
    <definedName name="snl__E69C559F_E081_44E2_B84B_7AFE57AFC8BF_" localSheetId="7" hidden="1">Investment_Analysis!$B$6,Investment_Analysis!$D$10:$H$108</definedName>
    <definedName name="snl__E6A12BA8_3939_452C_B15E_7234CF422188_" localSheetId="12" hidden="1">Peer_Analysis!$U$419,Peer_Analysis!$Y$421:$AI$444</definedName>
    <definedName name="snl__E6AD8399_0D0F_4A55_BCED_B793AF1C718F_" localSheetId="12" hidden="1">Peer_Analysis!$U$75,Peer_Analysis!$Y$77:$AI$100</definedName>
    <definedName name="snl__E8223115_74E7_4A39_BA06_8D5E362D81BC_" localSheetId="12" hidden="1">Peer_Analysis!$U$1074,Peer_Analysis!$Y$1076:$AI$1138</definedName>
    <definedName name="snl__E87733FF_EA28_4441_B346_F4C62D26D3DF_" localSheetId="4" hidden="1">Balance_Sheet!$B$6,Balance_Sheet!$D$10:$H$70</definedName>
    <definedName name="snl__E8CB21EF_CA43_4763_A02E_20F6A911E46B_" localSheetId="6" hidden="1">Underwriting_Analysis!$N$407,Underwriting_Analysis!$S$409:$S$1079</definedName>
    <definedName name="snl__E911E410_FBCD_4B40_B5B4_388D29278B02_" localSheetId="11" hidden="1">Reinsurance!$B$6,Reinsurance!$D$10:$H$66</definedName>
    <definedName name="snl__E971A397_5357_4106_B6DF_5E02B645BB1E_" localSheetId="10" hidden="1">In_Force_and_Size!$B$6,In_Force_and_Size!$D$10:$H$46</definedName>
    <definedName name="snl__E97F59B7_EE83_47C3_B090_3A0BBF1506AB_" localSheetId="11" hidden="1">Reinsurance!$B$6,Reinsurance!$D$10:$H$66</definedName>
    <definedName name="snl__E98ABFCB_6034_40D6_97E3_277EF60F3CB1_" localSheetId="4" hidden="1">Balance_Sheet!$B$6,Balance_Sheet!$D$10:$H$71</definedName>
    <definedName name="snl__EA46EA5C_1079_478B_84F1_51E57D326441_" localSheetId="12" hidden="1">Peer_Analysis!$U$1235,Peer_Analysis!$W$1238:$AG$1238</definedName>
    <definedName name="snl__EA4B4E07_7FCA_463A_8BC5_C1DC0F0723CF_" localSheetId="12" hidden="1">Peer_Analysis!$U$877,Peer_Analysis!#REF!</definedName>
    <definedName name="snl__EB68A01D_6EB5_43A5_9C67_48F95672DF83_" localSheetId="5" hidden="1">Income_Statement!$B$6,Income_Statement!$D$10:$H$293</definedName>
    <definedName name="snl__EBB1F44F_D410_41C1_9A56_8DB493985CD0_" localSheetId="11" hidden="1">Reinsurance!$B$6,Reinsurance!$D$10:$H$66</definedName>
    <definedName name="snl__ED6764D5_289F_422A_B75E_5A4FE43786FE_" localSheetId="11" hidden="1">Reinsurance!$B$6,Reinsurance!$D$10:$H$66</definedName>
    <definedName name="snl__EDAEBB5E_F377_4F1B_8703_C5D133232ADD_" localSheetId="9" hidden="1">Reserve_Analysis!$B$204,Reserve_Analysis!$D$207:$H$207</definedName>
    <definedName name="snl__EDCB4386_4692_4294_AFD8_5B9DFE5323AB_" localSheetId="7" hidden="1">Investment_Analysis!$B$6,Investment_Analysis!$D$10:$H$113</definedName>
    <definedName name="snl__EDF576FC_433F_47BE_A7C5_E33DE2DC2459_" localSheetId="10" hidden="1">In_Force_and_Size!$B$6,In_Force_and_Size!$D$10:$H$46</definedName>
    <definedName name="snl__EDFD43D2_F38B_4BA0_9EC6_64AC6BAD9EC2_" localSheetId="12" hidden="1">Peer_Analysis!$U$393,Peer_Analysis!$Y$395:$AI$405</definedName>
    <definedName name="snl__EE5730F5_1642_4835_A54E_90152AC2EFC4_" localSheetId="12" hidden="1">Peer_Analysis!$U$754,Peer_Analysis!$Y$756:$AI$766</definedName>
    <definedName name="snl__EEBC1D76_54C3_47E8_A6F0_9EFB9A13BFF6_" localSheetId="7" hidden="1">Investment_Analysis!$B$6,Investment_Analysis!$D$10:$H$108</definedName>
    <definedName name="snl__EEC74813_C0DE_4C8B_BB6A_F70D7ED3204B_" localSheetId="12" hidden="1">Peer_Analysis!$U$1074,Peer_Analysis!$Y$1076:$AI$1138</definedName>
    <definedName name="snl__EF2BF8E7_09F7_4259_8E3C_77CE5FA850A2_" localSheetId="12" hidden="1">Peer_Analysis!$B$5,Peer_Analysis!$D$11:$N$1341</definedName>
    <definedName name="snl__EF5E85C8_A3E6_4AB1_85E5_68CEA4180A17_" localSheetId="12" hidden="1">Peer_Analysis!$B$5,Peer_Analysis!$D$11:$N$1341</definedName>
    <definedName name="snl__F0038D05_A439_4498_8DEE_545D37D3A83E_" localSheetId="5" hidden="1">Income_Statement!$O$300,Income_Statement!$T$302:$T$1028</definedName>
    <definedName name="snl__F0081D6A_9AA6_47BF_9235_7900E19C8C94_" localSheetId="12" hidden="1">Peer_Analysis!$U$1150,Peer_Analysis!$Y$1153:$AI$1201</definedName>
    <definedName name="snl__F1A96D8D_7055_4169_BC00_BA9B754C7073_" localSheetId="12" hidden="1">Peer_Analysis!$U$1150,Peer_Analysis!$Y$1153:$AI$1201</definedName>
    <definedName name="snl__F1EFC54C_3077_4757_A39B_8FA389A42E91_" localSheetId="4" hidden="1">Balance_Sheet!$B$6,Balance_Sheet!$D$10:$H$71</definedName>
    <definedName name="snl__F28BBAF7_81D8_4496_A8B5_700816BAF770_" localSheetId="12" hidden="1">Peer_Analysis!$U$817,Peer_Analysis!$Y$819:$AI$842</definedName>
    <definedName name="snl__F3060F06_A869_4B07_A9ED_2E8A96F82CA1_" localSheetId="6" hidden="1">Underwriting_Analysis!$N$407,Underwriting_Analysis!$S$409:$S$1079</definedName>
    <definedName name="snl__F3084F4A_3BEF_46BD_85E8_F8F5BB254F71_" localSheetId="6" hidden="1">Underwriting_Analysis!$B$6,Underwriting_Analysis!$D$10:$H$404</definedName>
    <definedName name="snl__F3AED69E_3833_4836_BF83_692B82F02388_" localSheetId="9" hidden="1">Reserve_Analysis!$N$204,Reserve_Analysis!$S$206:$S$680</definedName>
    <definedName name="snl__F3E58EFA_8977_462B_9F5A_A2A7F7E5A3B0_" localSheetId="5" hidden="1">Income_Statement!$B$6,Income_Statement!$D$10:$H$293</definedName>
    <definedName name="snl__F400FB5A_C912_4712_87A0_AEDCC511BF0E_" localSheetId="12" hidden="1">Peer_Analysis!$B$5,Peer_Analysis!$D$11:$N$1341</definedName>
    <definedName name="snl__F406917A_9812_4AD8_9CBF_669B2B47844A_" localSheetId="9" hidden="1">Reserve_Analysis!$B$6,Reserve_Analysis!$D$10:$H$201</definedName>
    <definedName name="snl__F40BC916_13A6_48D0_82B1_414A04EDA748_" localSheetId="4" hidden="1">Balance_Sheet!$B$6,Balance_Sheet!$D$10:$H$70</definedName>
    <definedName name="snl__F40C9347_D2CE_46BA_9150_B32C36D7473C_" localSheetId="8" hidden="1">Capital_Adequacy!$B$6,Capital_Adequacy!$D$10:$H$66</definedName>
    <definedName name="snl__F4A68DD6_C607_4BE6_AD42_5030FB461B6C_" localSheetId="12" hidden="1">Peer_Analysis!$U$1150,Peer_Analysis!$Y$1153:$AI$1201</definedName>
    <definedName name="snl__F4D8C785_710E_4614_BF75_6F52FAD04E2A_" localSheetId="9" hidden="1">Reserve_Analysis!$N$204,Reserve_Analysis!$S$206:$S$680</definedName>
    <definedName name="snl__F4E6691F_3B47_412D_802E_D266524E342A_" localSheetId="10" hidden="1">In_Force_and_Size!$B$6,In_Force_and_Size!$D$10:$H$46</definedName>
    <definedName name="snl__F5516FA6_3CAA_49E3_B50D_FEADCEADBA75_" localSheetId="7" hidden="1">Investment_Analysis!$B$6,Investment_Analysis!$D$10:$H$108</definedName>
    <definedName name="snl__F67726F8_D245_451A_98F4_190538BB6975_" localSheetId="10" hidden="1">In_Force_and_Size!$B$6,In_Force_and_Size!$D$10:$H$46</definedName>
    <definedName name="snl__F67C1A71_C501_4422_B8A2_9AA4FB84B97A_" localSheetId="6" hidden="1">Underwriting_Analysis!$B$6,Underwriting_Analysis!$D$10:$H$404</definedName>
    <definedName name="snl__F6FEC88D_0F5E_4143_94FA_D668BB54B861_" localSheetId="12" hidden="1">Peer_Analysis!$U$754,Peer_Analysis!$Y$756:$AI$766</definedName>
    <definedName name="snl__F734ACE6_3601_47A3_847A_A2767D24587D_" localSheetId="5" hidden="1">Income_Statement!$B$6,Income_Statement!$D$10:$H$293</definedName>
    <definedName name="snl__F751C906_8EBC_4774_8116_307BFF2FA4D1_" localSheetId="4" hidden="1">Balance_Sheet!$B$6,Balance_Sheet!$D$10:$H$71</definedName>
    <definedName name="snl__F8DB845E_B9C2_4726_B307_DDF444825920_" localSheetId="5" hidden="1">Income_Statement!$O$300,Income_Statement!$T$302:$T$1028</definedName>
    <definedName name="snl__F970BD76_B3B5_468B_A2C5_6D551A1168EE_" localSheetId="9" hidden="1">Reserve_Analysis!$B$204,Reserve_Analysis!$D$207:$H$207</definedName>
    <definedName name="snl__FA14FC84_3558_4B27_8E10_BAC4AE2E510B_" localSheetId="5" hidden="1">Income_Statement!$B$6,Income_Statement!$D$10:$H$293</definedName>
    <definedName name="snl__FA5A8C6C_487C_4EF6_AA41_6723A0C19C51_" localSheetId="11" hidden="1">Reinsurance!$B$6,Reinsurance!$D$10:$H$66</definedName>
    <definedName name="snl__FBE8C982_74AD_4BAA_A253_DC3DA202912C_" localSheetId="4" hidden="1">Balance_Sheet!$B$6,Balance_Sheet!$D$10:$H$70</definedName>
    <definedName name="snl__FC8147C6_9879_4282_941B_4EA9245FEC93_" localSheetId="12" hidden="1">Peer_Analysis!$U$458,Peer_Analysis!$Y$460:$AI$470</definedName>
    <definedName name="snl__FC8A3480_3BCB_4AD9_B0B8_D6A98CB7B7BC_" localSheetId="5" hidden="1">Income_Statement!$B$6,Income_Statement!$D$10:$H$293</definedName>
    <definedName name="snl__FCBF0829_6AF7_47C4_9E85_3C7AE90F6E09_" localSheetId="10" hidden="1">In_Force_and_Size!$B$6,In_Force_and_Size!$D$10:$H$46</definedName>
    <definedName name="snl__FCEE19B3_272E_40DE_A205_9DB211F8D516_" localSheetId="11" hidden="1">Reinsurance!$B$6,Reinsurance!$D$10:$H$66</definedName>
    <definedName name="snl__FCEE85F0_B73C_4CD8_95AF_28F8622A4037_" localSheetId="9" hidden="1">Reserve_Analysis!$B$6,Reserve_Analysis!$D$10:$H$201</definedName>
    <definedName name="snl__FD331B67_EA86_4812_B7A7_0CDAB7855CE3_" localSheetId="12" hidden="1">Peer_Analysis!$U$289,Peer_Analysis!$Y$291:$AI$379</definedName>
    <definedName name="snl__FD47FA1C_A1FC_4CD0_963E_6E5C2BD31BF0_" localSheetId="10" hidden="1">In_Force_and_Size!$B$6,In_Force_and_Size!$D$10:$H$46</definedName>
    <definedName name="snl__FD68B610_D077_4DC4_8C52_04AA0EC89097_" localSheetId="7" hidden="1">Investment_Analysis!$B$6,Investment_Analysis!$D$10:$H$108</definedName>
    <definedName name="snl__FD908930_CACC_4189_B127_F883951436DE_" localSheetId="12" hidden="1">Peer_Analysis!$U$75,Peer_Analysis!$Y$77:$AI$100</definedName>
    <definedName name="snl__FDEAE969_F0BB_40EC_BFD5_18905E561711_" localSheetId="9" hidden="1">Reserve_Analysis!$N$204,Reserve_Analysis!$S$206:$S$680</definedName>
    <definedName name="snl__FE0A45F7_823E_43A1_A9A6_9B4612D75364_" localSheetId="4" hidden="1">Balance_Sheet!$B$6,Balance_Sheet!$D$10:$H$70</definedName>
    <definedName name="snl__FE99F174_39B0_456F_8DE7_617044AC36B6_" localSheetId="12" hidden="1">Peer_Analysis!$U$754,Peer_Analysis!$Y$756:$AI$766</definedName>
    <definedName name="snl__FEAFE809_7AFB_4694_8BDB_A672C416C6A3_" localSheetId="12" hidden="1">Peer_Analysis!$U$817,Peer_Analysis!$Y$819:$AI$842</definedName>
    <definedName name="snl__FF1A747C_0537_4FEA_B614_30BDC3BD653E_" localSheetId="7" hidden="1">Investment_Analysis!$B$6,Investment_Analysis!$D$10:$H$108</definedName>
    <definedName name="SNLLabel_Fx">Instructions!$T$85</definedName>
    <definedName name="snlquery__CF1C87F5_80A7_498F_A90F_826346ECCC0C_" localSheetId="13" hidden="1">Company_List!$B$13,Company_List!$B$14:$I$2418</definedName>
    <definedName name="snlquery__F8FA9797_F868_453B_AB85_2A482A924C22_" localSheetId="2" hidden="1">Instructions!$X$72,Instructions!$X$73:$Z$158</definedName>
    <definedName name="Table_Focus">Instructions!$W$66</definedName>
    <definedName name="Table_Focus_Clear">Instructions!$X$69:$AA$69</definedName>
    <definedName name="Table_Focus_Code">Instructions!$W$69</definedName>
    <definedName name="Table_Focus_KF">Instructions!$X$66:$AA$66</definedName>
    <definedName name="Table_Focus_Sec">Instructions!$X$67:$AA$67</definedName>
    <definedName name="Trim_Curr">Instructions!$T$86</definedName>
    <definedName name="Update">Company_List!$B$3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0" l="1"/>
  <c r="E13" i="10"/>
  <c r="F13" i="10"/>
  <c r="G13" i="10"/>
  <c r="H13" i="10"/>
  <c r="D14" i="10"/>
  <c r="E14" i="10"/>
  <c r="F14" i="10"/>
  <c r="G14" i="10"/>
  <c r="H14" i="10"/>
  <c r="D15" i="10"/>
  <c r="E15" i="10"/>
  <c r="F15" i="10"/>
  <c r="G15" i="10"/>
  <c r="H15" i="10"/>
  <c r="D16" i="10"/>
  <c r="E16" i="10"/>
  <c r="F16" i="10"/>
  <c r="G16" i="10"/>
  <c r="H16" i="10"/>
  <c r="D17" i="10"/>
  <c r="E17" i="10"/>
  <c r="F17" i="10"/>
  <c r="G17" i="10"/>
  <c r="H17" i="10"/>
  <c r="H22" i="10"/>
  <c r="D23" i="10"/>
  <c r="E25" i="10"/>
  <c r="F25" i="10"/>
  <c r="G27" i="10"/>
  <c r="H27" i="10"/>
  <c r="D30" i="10"/>
  <c r="E30" i="10"/>
  <c r="D40" i="10"/>
  <c r="D21" i="10" s="1"/>
  <c r="E40" i="10"/>
  <c r="E21" i="10" s="1"/>
  <c r="F40" i="10"/>
  <c r="F21" i="10" s="1"/>
  <c r="G40" i="10"/>
  <c r="G21" i="10" s="1"/>
  <c r="H40" i="10"/>
  <c r="H21" i="10" s="1"/>
  <c r="D41" i="10"/>
  <c r="D22" i="10" s="1"/>
  <c r="E41" i="10"/>
  <c r="E22" i="10" s="1"/>
  <c r="F41" i="10"/>
  <c r="G41" i="10"/>
  <c r="G22" i="10" s="1"/>
  <c r="H41" i="10"/>
  <c r="D42" i="10"/>
  <c r="E42" i="10"/>
  <c r="E23" i="10" s="1"/>
  <c r="F42" i="10"/>
  <c r="F23" i="10" s="1"/>
  <c r="G42" i="10"/>
  <c r="G23" i="10" s="1"/>
  <c r="H42" i="10"/>
  <c r="H23" i="10" s="1"/>
  <c r="D43" i="10"/>
  <c r="D24" i="10" s="1"/>
  <c r="E43" i="10"/>
  <c r="E24" i="10" s="1"/>
  <c r="F43" i="10"/>
  <c r="F24" i="10" s="1"/>
  <c r="G43" i="10"/>
  <c r="G24" i="10" s="1"/>
  <c r="H43" i="10"/>
  <c r="D44" i="10"/>
  <c r="D25" i="10" s="1"/>
  <c r="E44" i="10"/>
  <c r="F44" i="10"/>
  <c r="G44" i="10"/>
  <c r="G25" i="10" s="1"/>
  <c r="H44" i="10"/>
  <c r="H25" i="10" s="1"/>
  <c r="D45" i="10"/>
  <c r="D26" i="10" s="1"/>
  <c r="E45" i="10"/>
  <c r="E26" i="10" s="1"/>
  <c r="F45" i="10"/>
  <c r="F26" i="10" s="1"/>
  <c r="G45" i="10"/>
  <c r="G26" i="10" s="1"/>
  <c r="H45" i="10"/>
  <c r="H26" i="10" s="1"/>
  <c r="D46" i="10"/>
  <c r="D27" i="10" s="1"/>
  <c r="E46" i="10"/>
  <c r="E27" i="10" s="1"/>
  <c r="F46" i="10"/>
  <c r="F27" i="10" s="1"/>
  <c r="G46" i="10"/>
  <c r="H46" i="10"/>
  <c r="D47" i="10"/>
  <c r="D28" i="10" s="1"/>
  <c r="E47" i="10"/>
  <c r="E28" i="10" s="1"/>
  <c r="F47" i="10"/>
  <c r="F28" i="10" s="1"/>
  <c r="G47" i="10"/>
  <c r="G28" i="10" s="1"/>
  <c r="H47" i="10"/>
  <c r="H28" i="10" s="1"/>
  <c r="D48" i="10"/>
  <c r="D29" i="10" s="1"/>
  <c r="E48" i="10"/>
  <c r="E29" i="10" s="1"/>
  <c r="F48" i="10"/>
  <c r="F29" i="10" s="1"/>
  <c r="G48" i="10"/>
  <c r="G29" i="10" s="1"/>
  <c r="H48" i="10"/>
  <c r="H29" i="10" s="1"/>
  <c r="D49" i="10"/>
  <c r="E49" i="10"/>
  <c r="F49" i="10"/>
  <c r="F30" i="10" s="1"/>
  <c r="G49" i="10"/>
  <c r="G30" i="10" s="1"/>
  <c r="H49" i="10"/>
  <c r="H30" i="10" s="1"/>
  <c r="D50" i="10"/>
  <c r="D31" i="10" s="1"/>
  <c r="E50" i="10"/>
  <c r="E31" i="10" s="1"/>
  <c r="F50" i="10"/>
  <c r="F31" i="10" s="1"/>
  <c r="G50" i="10"/>
  <c r="G31" i="10" s="1"/>
  <c r="H50" i="10"/>
  <c r="H31" i="10" s="1"/>
  <c r="D53" i="10"/>
  <c r="E53" i="10"/>
  <c r="F53" i="10"/>
  <c r="G53" i="10"/>
  <c r="H53" i="10"/>
  <c r="D54" i="10"/>
  <c r="E54" i="10"/>
  <c r="F54" i="10"/>
  <c r="F22" i="10" s="1"/>
  <c r="G54" i="10"/>
  <c r="H54" i="10"/>
  <c r="D55" i="10"/>
  <c r="E55" i="10"/>
  <c r="F55" i="10"/>
  <c r="G55" i="10"/>
  <c r="H55" i="10"/>
  <c r="D56" i="10"/>
  <c r="E56" i="10"/>
  <c r="F56" i="10"/>
  <c r="G56" i="10"/>
  <c r="H56" i="10"/>
  <c r="H24" i="10" s="1"/>
  <c r="D57" i="10"/>
  <c r="E57" i="10"/>
  <c r="F57" i="10"/>
  <c r="G57" i="10"/>
  <c r="H57" i="10"/>
  <c r="D58" i="10"/>
  <c r="E58" i="10"/>
  <c r="F58" i="10"/>
  <c r="G58" i="10"/>
  <c r="H58" i="10"/>
  <c r="D59" i="10"/>
  <c r="E59" i="10"/>
  <c r="F59" i="10"/>
  <c r="G59" i="10"/>
  <c r="H59" i="10"/>
  <c r="D60" i="10"/>
  <c r="E60" i="10"/>
  <c r="F60" i="10"/>
  <c r="G60" i="10"/>
  <c r="H60" i="10"/>
  <c r="D61" i="10"/>
  <c r="E61" i="10"/>
  <c r="F61" i="10"/>
  <c r="G61" i="10"/>
  <c r="H61" i="10"/>
  <c r="D62" i="10"/>
  <c r="E62" i="10"/>
  <c r="F62" i="10"/>
  <c r="G62" i="10"/>
  <c r="H62" i="10"/>
  <c r="D63" i="10"/>
  <c r="E63" i="10"/>
  <c r="F63" i="10"/>
  <c r="G63" i="10"/>
  <c r="H63" i="10"/>
  <c r="D72" i="10"/>
  <c r="E72" i="10"/>
  <c r="F72" i="10"/>
  <c r="G72" i="10"/>
  <c r="H72" i="10"/>
  <c r="D73" i="10"/>
  <c r="E73" i="10"/>
  <c r="F73" i="10"/>
  <c r="G73" i="10"/>
  <c r="H73" i="10"/>
  <c r="D74" i="10"/>
  <c r="E74" i="10"/>
  <c r="F74" i="10"/>
  <c r="G74" i="10"/>
  <c r="H74" i="10"/>
  <c r="D75" i="10"/>
  <c r="E75" i="10"/>
  <c r="F75" i="10"/>
  <c r="G75" i="10"/>
  <c r="H75" i="10"/>
  <c r="D76" i="10"/>
  <c r="E76" i="10"/>
  <c r="F76" i="10"/>
  <c r="G76" i="10"/>
  <c r="H76" i="10"/>
  <c r="D86" i="10"/>
  <c r="E86" i="10"/>
  <c r="F86" i="10"/>
  <c r="G86" i="10"/>
  <c r="H86" i="10"/>
  <c r="D87" i="10"/>
  <c r="E87" i="10"/>
  <c r="F87" i="10"/>
  <c r="G87" i="10"/>
  <c r="H87" i="10"/>
  <c r="D88" i="10"/>
  <c r="E88" i="10"/>
  <c r="F88" i="10"/>
  <c r="G88" i="10"/>
  <c r="H88" i="10"/>
  <c r="D89" i="10"/>
  <c r="E89" i="10"/>
  <c r="F89" i="10"/>
  <c r="G89" i="10"/>
  <c r="H89" i="10"/>
  <c r="D90" i="10"/>
  <c r="E90" i="10"/>
  <c r="F90" i="10"/>
  <c r="G90" i="10"/>
  <c r="H90" i="10"/>
  <c r="D91" i="10"/>
  <c r="E91" i="10"/>
  <c r="F91" i="10"/>
  <c r="G91" i="10"/>
  <c r="H91" i="10"/>
  <c r="D92" i="10"/>
  <c r="E92" i="10"/>
  <c r="F92" i="10"/>
  <c r="G92" i="10"/>
  <c r="H92" i="10"/>
  <c r="D93" i="10"/>
  <c r="E93" i="10"/>
  <c r="F93" i="10"/>
  <c r="G93" i="10"/>
  <c r="H93" i="10"/>
  <c r="D94" i="10"/>
  <c r="E94" i="10"/>
  <c r="F94" i="10"/>
  <c r="G94" i="10"/>
  <c r="H94" i="10"/>
  <c r="D95" i="10"/>
  <c r="E95" i="10"/>
  <c r="F95" i="10"/>
  <c r="G95" i="10"/>
  <c r="H95" i="10"/>
  <c r="D96" i="10"/>
  <c r="E96" i="10"/>
  <c r="F96" i="10"/>
  <c r="G96" i="10"/>
  <c r="H96" i="10"/>
  <c r="D99" i="10"/>
  <c r="E99" i="10"/>
  <c r="F99" i="10"/>
  <c r="G99" i="10"/>
  <c r="H99" i="10"/>
  <c r="D100" i="10"/>
  <c r="E100" i="10"/>
  <c r="F100" i="10"/>
  <c r="G100" i="10"/>
  <c r="H100" i="10"/>
  <c r="D101" i="10"/>
  <c r="E101" i="10"/>
  <c r="F101" i="10"/>
  <c r="G101" i="10"/>
  <c r="H101" i="10"/>
  <c r="D102" i="10"/>
  <c r="E102" i="10"/>
  <c r="F102" i="10"/>
  <c r="G102" i="10"/>
  <c r="H102" i="10"/>
  <c r="D103" i="10"/>
  <c r="E103" i="10"/>
  <c r="F103" i="10"/>
  <c r="G103" i="10"/>
  <c r="H103" i="10"/>
  <c r="D104" i="10"/>
  <c r="E104" i="10"/>
  <c r="F104" i="10"/>
  <c r="G104" i="10"/>
  <c r="H104" i="10"/>
  <c r="D105" i="10"/>
  <c r="E105" i="10"/>
  <c r="F105" i="10"/>
  <c r="G105" i="10"/>
  <c r="H105" i="10"/>
  <c r="D106" i="10"/>
  <c r="E106" i="10"/>
  <c r="F106" i="10"/>
  <c r="G106" i="10"/>
  <c r="H106" i="10"/>
  <c r="D107" i="10"/>
  <c r="E107" i="10"/>
  <c r="F107" i="10"/>
  <c r="G107" i="10"/>
  <c r="H107" i="10"/>
  <c r="D108" i="10"/>
  <c r="E108" i="10"/>
  <c r="F108" i="10"/>
  <c r="G108" i="10"/>
  <c r="H108" i="10"/>
  <c r="D109" i="10"/>
  <c r="E109" i="10"/>
  <c r="F109" i="10"/>
  <c r="G109" i="10"/>
  <c r="H109" i="10"/>
  <c r="D112" i="10"/>
  <c r="E112" i="10"/>
  <c r="F112" i="10"/>
  <c r="G112" i="10"/>
  <c r="H112" i="10"/>
  <c r="D113" i="10"/>
  <c r="E113" i="10"/>
  <c r="F113" i="10"/>
  <c r="G113" i="10"/>
  <c r="H113" i="10"/>
  <c r="D114" i="10"/>
  <c r="E114" i="10"/>
  <c r="F114" i="10"/>
  <c r="G114" i="10"/>
  <c r="H114" i="10"/>
  <c r="D115" i="10"/>
  <c r="E115" i="10"/>
  <c r="F115" i="10"/>
  <c r="G115" i="10"/>
  <c r="H115" i="10"/>
  <c r="D116" i="10"/>
  <c r="E116" i="10"/>
  <c r="F116" i="10"/>
  <c r="G116" i="10"/>
  <c r="H116" i="10"/>
  <c r="D117" i="10"/>
  <c r="E117" i="10"/>
  <c r="F117" i="10"/>
  <c r="G117" i="10"/>
  <c r="H117" i="10"/>
  <c r="D118" i="10"/>
  <c r="E118" i="10"/>
  <c r="F118" i="10"/>
  <c r="G118" i="10"/>
  <c r="H118" i="10"/>
  <c r="D119" i="10"/>
  <c r="E119" i="10"/>
  <c r="F119" i="10"/>
  <c r="G119" i="10"/>
  <c r="H119" i="10"/>
  <c r="D120" i="10"/>
  <c r="E120" i="10"/>
  <c r="F120" i="10"/>
  <c r="G120" i="10"/>
  <c r="H120" i="10"/>
  <c r="D121" i="10"/>
  <c r="E121" i="10"/>
  <c r="F121" i="10"/>
  <c r="G121" i="10"/>
  <c r="H121" i="10"/>
  <c r="D122" i="10"/>
  <c r="E122" i="10"/>
  <c r="F122" i="10"/>
  <c r="G122" i="10"/>
  <c r="H122" i="10"/>
  <c r="D125" i="10"/>
  <c r="E125" i="10"/>
  <c r="F125" i="10"/>
  <c r="G125" i="10"/>
  <c r="H125" i="10"/>
  <c r="D126" i="10"/>
  <c r="E126" i="10"/>
  <c r="F126" i="10"/>
  <c r="G126" i="10"/>
  <c r="H126" i="10"/>
  <c r="D127" i="10"/>
  <c r="E127" i="10"/>
  <c r="F127" i="10"/>
  <c r="G127" i="10"/>
  <c r="H127" i="10"/>
  <c r="D128" i="10"/>
  <c r="E128" i="10"/>
  <c r="F128" i="10"/>
  <c r="G128" i="10"/>
  <c r="H128" i="10"/>
  <c r="D129" i="10"/>
  <c r="E129" i="10"/>
  <c r="F129" i="10"/>
  <c r="G129" i="10"/>
  <c r="H129" i="10"/>
  <c r="D130" i="10"/>
  <c r="E130" i="10"/>
  <c r="F130" i="10"/>
  <c r="G130" i="10"/>
  <c r="H130" i="10"/>
  <c r="D131" i="10"/>
  <c r="E131" i="10"/>
  <c r="F131" i="10"/>
  <c r="G131" i="10"/>
  <c r="H131" i="10"/>
  <c r="D132" i="10"/>
  <c r="E132" i="10"/>
  <c r="F132" i="10"/>
  <c r="G132" i="10"/>
  <c r="H132" i="10"/>
  <c r="D133" i="10"/>
  <c r="E133" i="10"/>
  <c r="F133" i="10"/>
  <c r="G133" i="10"/>
  <c r="H133" i="10"/>
  <c r="D134" i="10"/>
  <c r="E134" i="10"/>
  <c r="F134" i="10"/>
  <c r="G134" i="10"/>
  <c r="H134" i="10"/>
  <c r="D135" i="10"/>
  <c r="E135" i="10"/>
  <c r="F135" i="10"/>
  <c r="G135" i="10"/>
  <c r="H135" i="10"/>
  <c r="D138" i="10"/>
  <c r="E138" i="10"/>
  <c r="F138" i="10"/>
  <c r="G138" i="10"/>
  <c r="H138" i="10"/>
  <c r="D139" i="10"/>
  <c r="E139" i="10"/>
  <c r="F139" i="10"/>
  <c r="G139" i="10"/>
  <c r="H139" i="10"/>
  <c r="D140" i="10"/>
  <c r="E140" i="10"/>
  <c r="F140" i="10"/>
  <c r="G140" i="10"/>
  <c r="H140" i="10"/>
  <c r="D141" i="10"/>
  <c r="E141" i="10"/>
  <c r="F141" i="10"/>
  <c r="G141" i="10"/>
  <c r="H141" i="10"/>
  <c r="D142" i="10"/>
  <c r="E142" i="10"/>
  <c r="F142" i="10"/>
  <c r="G142" i="10"/>
  <c r="H142" i="10"/>
  <c r="D143" i="10"/>
  <c r="E143" i="10"/>
  <c r="F143" i="10"/>
  <c r="G143" i="10"/>
  <c r="H143" i="10"/>
  <c r="D144" i="10"/>
  <c r="E144" i="10"/>
  <c r="F144" i="10"/>
  <c r="G144" i="10"/>
  <c r="H144" i="10"/>
  <c r="D145" i="10"/>
  <c r="E145" i="10"/>
  <c r="F145" i="10"/>
  <c r="G145" i="10"/>
  <c r="H145" i="10"/>
  <c r="D146" i="10"/>
  <c r="E146" i="10"/>
  <c r="F146" i="10"/>
  <c r="G146" i="10"/>
  <c r="H146" i="10"/>
  <c r="D147" i="10"/>
  <c r="E147" i="10"/>
  <c r="F147" i="10"/>
  <c r="G147" i="10"/>
  <c r="H147" i="10"/>
  <c r="D148" i="10"/>
  <c r="E148" i="10"/>
  <c r="F148" i="10"/>
  <c r="G148" i="10"/>
  <c r="H148" i="10"/>
  <c r="D151" i="10"/>
  <c r="E151" i="10"/>
  <c r="F151" i="10"/>
  <c r="G151" i="10"/>
  <c r="H151" i="10"/>
  <c r="D152" i="10"/>
  <c r="E152" i="10"/>
  <c r="F152" i="10"/>
  <c r="G152" i="10"/>
  <c r="H152" i="10"/>
  <c r="D153" i="10"/>
  <c r="E153" i="10"/>
  <c r="F153" i="10"/>
  <c r="G153" i="10"/>
  <c r="H153" i="10"/>
  <c r="D154" i="10"/>
  <c r="E154" i="10"/>
  <c r="F154" i="10"/>
  <c r="G154" i="10"/>
  <c r="H154" i="10"/>
  <c r="D155" i="10"/>
  <c r="E155" i="10"/>
  <c r="F155" i="10"/>
  <c r="G155" i="10"/>
  <c r="H155" i="10"/>
  <c r="D156" i="10"/>
  <c r="E156" i="10"/>
  <c r="F156" i="10"/>
  <c r="G156" i="10"/>
  <c r="H156" i="10"/>
  <c r="D157" i="10"/>
  <c r="E157" i="10"/>
  <c r="F157" i="10"/>
  <c r="G157" i="10"/>
  <c r="H157" i="10"/>
  <c r="D158" i="10"/>
  <c r="E158" i="10"/>
  <c r="F158" i="10"/>
  <c r="G158" i="10"/>
  <c r="H158" i="10"/>
  <c r="D159" i="10"/>
  <c r="E159" i="10"/>
  <c r="F159" i="10"/>
  <c r="G159" i="10"/>
  <c r="H159" i="10"/>
  <c r="D160" i="10"/>
  <c r="E160" i="10"/>
  <c r="F160" i="10"/>
  <c r="G160" i="10"/>
  <c r="H160" i="10"/>
  <c r="D161" i="10"/>
  <c r="E161" i="10"/>
  <c r="F161" i="10"/>
  <c r="G161" i="10"/>
  <c r="H161" i="10"/>
  <c r="D164" i="10"/>
  <c r="E164" i="10"/>
  <c r="F164" i="10"/>
  <c r="G164" i="10"/>
  <c r="H164" i="10"/>
  <c r="D165" i="10"/>
  <c r="E165" i="10"/>
  <c r="F165" i="10"/>
  <c r="G165" i="10"/>
  <c r="H165" i="10"/>
  <c r="D166" i="10"/>
  <c r="E166" i="10"/>
  <c r="F166" i="10"/>
  <c r="G166" i="10"/>
  <c r="H166" i="10"/>
  <c r="D167" i="10"/>
  <c r="E167" i="10"/>
  <c r="F167" i="10"/>
  <c r="G167" i="10"/>
  <c r="H167" i="10"/>
  <c r="D168" i="10"/>
  <c r="E168" i="10"/>
  <c r="F168" i="10"/>
  <c r="G168" i="10"/>
  <c r="H168" i="10"/>
  <c r="D169" i="10"/>
  <c r="E169" i="10"/>
  <c r="F169" i="10"/>
  <c r="G169" i="10"/>
  <c r="H169" i="10"/>
  <c r="D170" i="10"/>
  <c r="E170" i="10"/>
  <c r="F170" i="10"/>
  <c r="G170" i="10"/>
  <c r="H170" i="10"/>
  <c r="D171" i="10"/>
  <c r="E171" i="10"/>
  <c r="F171" i="10"/>
  <c r="G171" i="10"/>
  <c r="H171" i="10"/>
  <c r="D172" i="10"/>
  <c r="E172" i="10"/>
  <c r="F172" i="10"/>
  <c r="G172" i="10"/>
  <c r="H172" i="10"/>
  <c r="D173" i="10"/>
  <c r="E173" i="10"/>
  <c r="F173" i="10"/>
  <c r="G173" i="10"/>
  <c r="H173" i="10"/>
  <c r="D174" i="10"/>
  <c r="E174" i="10"/>
  <c r="F174" i="10"/>
  <c r="G174" i="10"/>
  <c r="H174" i="10"/>
  <c r="D176" i="10"/>
  <c r="E176" i="10"/>
  <c r="F176" i="10"/>
  <c r="G176" i="10"/>
  <c r="H176" i="10"/>
  <c r="D177" i="10"/>
  <c r="E177" i="10"/>
  <c r="F177" i="10"/>
  <c r="G177" i="10"/>
  <c r="H177" i="10"/>
  <c r="D178" i="10"/>
  <c r="E178" i="10"/>
  <c r="F178" i="10"/>
  <c r="G178" i="10"/>
  <c r="H178" i="10"/>
  <c r="D179" i="10"/>
  <c r="E179" i="10"/>
  <c r="F179" i="10"/>
  <c r="G179" i="10"/>
  <c r="H179" i="10"/>
  <c r="D180" i="10"/>
  <c r="E180" i="10"/>
  <c r="F180" i="10"/>
  <c r="G180" i="10"/>
  <c r="H180" i="10"/>
  <c r="D190" i="10"/>
  <c r="E190" i="10"/>
  <c r="F190" i="10"/>
  <c r="G190" i="10"/>
  <c r="H190" i="10"/>
  <c r="D191" i="10"/>
  <c r="E191" i="10"/>
  <c r="F191" i="10"/>
  <c r="G191" i="10"/>
  <c r="H191" i="10"/>
  <c r="D192" i="10"/>
  <c r="E192" i="10"/>
  <c r="F192" i="10"/>
  <c r="G192" i="10"/>
  <c r="H192" i="10"/>
  <c r="D193" i="10"/>
  <c r="E193" i="10"/>
  <c r="F193" i="10"/>
  <c r="G193" i="10"/>
  <c r="H193" i="10"/>
  <c r="D194" i="10"/>
  <c r="E194" i="10"/>
  <c r="F194" i="10"/>
  <c r="G194" i="10"/>
  <c r="H194" i="10"/>
  <c r="D195" i="10"/>
  <c r="E195" i="10"/>
  <c r="F195" i="10"/>
  <c r="G195" i="10"/>
  <c r="H195" i="10"/>
  <c r="D196" i="10"/>
  <c r="E196" i="10"/>
  <c r="F196" i="10"/>
  <c r="G196" i="10"/>
  <c r="H196" i="10"/>
  <c r="D197" i="10"/>
  <c r="E197" i="10"/>
  <c r="F197" i="10"/>
  <c r="G197" i="10"/>
  <c r="H197" i="10"/>
  <c r="D198" i="10"/>
  <c r="E198" i="10"/>
  <c r="F198" i="10"/>
  <c r="G198" i="10"/>
  <c r="H198" i="10"/>
  <c r="D199" i="10"/>
  <c r="E199" i="10"/>
  <c r="F199" i="10"/>
  <c r="G199" i="10"/>
  <c r="H199" i="10"/>
  <c r="D200" i="10"/>
  <c r="E200" i="10"/>
  <c r="F200" i="10"/>
  <c r="G200" i="10"/>
  <c r="H200" i="10"/>
  <c r="D202" i="10"/>
  <c r="E202" i="10"/>
  <c r="F202" i="10"/>
  <c r="G202" i="10"/>
  <c r="H202" i="10"/>
  <c r="D203" i="10"/>
  <c r="E203" i="10"/>
  <c r="F203" i="10"/>
  <c r="G203" i="10"/>
  <c r="H203" i="10"/>
  <c r="D204" i="10"/>
  <c r="E204" i="10"/>
  <c r="F204" i="10"/>
  <c r="G204" i="10"/>
  <c r="H204" i="10"/>
  <c r="D205" i="10"/>
  <c r="E205" i="10"/>
  <c r="F205" i="10"/>
  <c r="G205" i="10"/>
  <c r="H205" i="10"/>
  <c r="D206" i="10"/>
  <c r="E206" i="10"/>
  <c r="F206" i="10"/>
  <c r="G206" i="10"/>
  <c r="H206" i="10"/>
  <c r="D216" i="10"/>
  <c r="E216" i="10"/>
  <c r="F216" i="10"/>
  <c r="G216" i="10"/>
  <c r="H216" i="10"/>
  <c r="D217" i="10"/>
  <c r="E217" i="10"/>
  <c r="F217" i="10"/>
  <c r="G217" i="10"/>
  <c r="H217" i="10"/>
  <c r="D218" i="10"/>
  <c r="E218" i="10"/>
  <c r="F218" i="10"/>
  <c r="G218" i="10"/>
  <c r="H218" i="10"/>
  <c r="D219" i="10"/>
  <c r="E219" i="10"/>
  <c r="F219" i="10"/>
  <c r="G219" i="10"/>
  <c r="H219" i="10"/>
  <c r="D220" i="10"/>
  <c r="E220" i="10"/>
  <c r="F220" i="10"/>
  <c r="G220" i="10"/>
  <c r="H220" i="10"/>
  <c r="D221" i="10"/>
  <c r="E221" i="10"/>
  <c r="F221" i="10"/>
  <c r="G221" i="10"/>
  <c r="H221" i="10"/>
  <c r="D222" i="10"/>
  <c r="E222" i="10"/>
  <c r="F222" i="10"/>
  <c r="G222" i="10"/>
  <c r="H222" i="10"/>
  <c r="D223" i="10"/>
  <c r="E223" i="10"/>
  <c r="F223" i="10"/>
  <c r="G223" i="10"/>
  <c r="H223" i="10"/>
  <c r="D224" i="10"/>
  <c r="E224" i="10"/>
  <c r="F224" i="10"/>
  <c r="G224" i="10"/>
  <c r="H224" i="10"/>
  <c r="D225" i="10"/>
  <c r="E225" i="10"/>
  <c r="F225" i="10"/>
  <c r="G225" i="10"/>
  <c r="H225" i="10"/>
  <c r="D226" i="10"/>
  <c r="E226" i="10"/>
  <c r="F226" i="10"/>
  <c r="G226" i="10"/>
  <c r="H226" i="10"/>
  <c r="D229" i="10"/>
  <c r="E229" i="10"/>
  <c r="F229" i="10"/>
  <c r="G229" i="10"/>
  <c r="H229" i="10"/>
  <c r="D230" i="10"/>
  <c r="E230" i="10"/>
  <c r="F230" i="10"/>
  <c r="G230" i="10"/>
  <c r="H230" i="10"/>
  <c r="D231" i="10"/>
  <c r="E231" i="10"/>
  <c r="F231" i="10"/>
  <c r="G231" i="10"/>
  <c r="H231" i="10"/>
  <c r="D232" i="10"/>
  <c r="E232" i="10"/>
  <c r="F232" i="10"/>
  <c r="G232" i="10"/>
  <c r="H232" i="10"/>
  <c r="D233" i="10"/>
  <c r="E233" i="10"/>
  <c r="F233" i="10"/>
  <c r="G233" i="10"/>
  <c r="H233" i="10"/>
  <c r="D234" i="10"/>
  <c r="E234" i="10"/>
  <c r="F234" i="10"/>
  <c r="G234" i="10"/>
  <c r="H234" i="10"/>
  <c r="D235" i="10"/>
  <c r="E235" i="10"/>
  <c r="F235" i="10"/>
  <c r="G235" i="10"/>
  <c r="H235" i="10"/>
  <c r="D236" i="10"/>
  <c r="E236" i="10"/>
  <c r="F236" i="10"/>
  <c r="G236" i="10"/>
  <c r="H236" i="10"/>
  <c r="D237" i="10"/>
  <c r="E237" i="10"/>
  <c r="F237" i="10"/>
  <c r="G237" i="10"/>
  <c r="H237" i="10"/>
  <c r="D238" i="10"/>
  <c r="E238" i="10"/>
  <c r="F238" i="10"/>
  <c r="G238" i="10"/>
  <c r="H238" i="10"/>
  <c r="D239" i="10"/>
  <c r="E239" i="10"/>
  <c r="F239" i="10"/>
  <c r="G239" i="10"/>
  <c r="H239" i="10"/>
  <c r="D241" i="10"/>
  <c r="E241" i="10"/>
  <c r="F241" i="10"/>
  <c r="G241" i="10"/>
  <c r="H241" i="10"/>
  <c r="D242" i="10"/>
  <c r="E242" i="10"/>
  <c r="F242" i="10"/>
  <c r="G242" i="10"/>
  <c r="H242" i="10"/>
  <c r="D243" i="10"/>
  <c r="E243" i="10"/>
  <c r="F243" i="10"/>
  <c r="G243" i="10"/>
  <c r="H243" i="10"/>
  <c r="D244" i="10"/>
  <c r="E244" i="10"/>
  <c r="F244" i="10"/>
  <c r="G244" i="10"/>
  <c r="H244" i="10"/>
  <c r="D245" i="10"/>
  <c r="E245" i="10"/>
  <c r="F245" i="10"/>
  <c r="G245" i="10"/>
  <c r="H245" i="10"/>
  <c r="D255" i="10"/>
  <c r="E255" i="10"/>
  <c r="F255" i="10"/>
  <c r="G255" i="10"/>
  <c r="H255" i="10"/>
  <c r="D256" i="10"/>
  <c r="E256" i="10"/>
  <c r="F256" i="10"/>
  <c r="G256" i="10"/>
  <c r="H256" i="10"/>
  <c r="D257" i="10"/>
  <c r="E257" i="10"/>
  <c r="F257" i="10"/>
  <c r="G257" i="10"/>
  <c r="H257" i="10"/>
  <c r="D258" i="10"/>
  <c r="E258" i="10"/>
  <c r="F258" i="10"/>
  <c r="G258" i="10"/>
  <c r="H258" i="10"/>
  <c r="D259" i="10"/>
  <c r="E259" i="10"/>
  <c r="F259" i="10"/>
  <c r="G259" i="10"/>
  <c r="H259" i="10"/>
  <c r="D260" i="10"/>
  <c r="E260" i="10"/>
  <c r="F260" i="10"/>
  <c r="G260" i="10"/>
  <c r="H260" i="10"/>
  <c r="D261" i="10"/>
  <c r="E261" i="10"/>
  <c r="F261" i="10"/>
  <c r="G261" i="10"/>
  <c r="H261" i="10"/>
  <c r="D262" i="10"/>
  <c r="E262" i="10"/>
  <c r="F262" i="10"/>
  <c r="G262" i="10"/>
  <c r="H262" i="10"/>
  <c r="D263" i="10"/>
  <c r="E263" i="10"/>
  <c r="F263" i="10"/>
  <c r="G263" i="10"/>
  <c r="H263" i="10"/>
  <c r="D264" i="10"/>
  <c r="E264" i="10"/>
  <c r="F264" i="10"/>
  <c r="G264" i="10"/>
  <c r="H264" i="10"/>
  <c r="D265" i="10"/>
  <c r="E265" i="10"/>
  <c r="F265" i="10"/>
  <c r="G265" i="10"/>
  <c r="H265" i="10"/>
  <c r="D50" i="11"/>
  <c r="E50" i="11"/>
  <c r="F50" i="11"/>
  <c r="G50" i="11"/>
  <c r="H50" i="11"/>
  <c r="D51" i="11"/>
  <c r="E51" i="11"/>
  <c r="F51" i="11"/>
  <c r="G51" i="11"/>
  <c r="H51" i="11"/>
  <c r="D52" i="11"/>
  <c r="E52" i="11"/>
  <c r="F52" i="11"/>
  <c r="G52" i="11"/>
  <c r="H52" i="11"/>
  <c r="D53" i="11"/>
  <c r="E53" i="11"/>
  <c r="F53" i="11"/>
  <c r="G53" i="11"/>
  <c r="H53" i="11"/>
  <c r="D54" i="11"/>
  <c r="E54" i="11"/>
  <c r="F54" i="11"/>
  <c r="G54" i="11"/>
  <c r="H54" i="11"/>
  <c r="G58" i="11"/>
  <c r="H58" i="11"/>
  <c r="D61" i="11"/>
  <c r="E61" i="11"/>
  <c r="G63" i="11"/>
  <c r="H65" i="11"/>
  <c r="D66" i="11"/>
  <c r="D76" i="11"/>
  <c r="D57" i="11" s="1"/>
  <c r="E76" i="11"/>
  <c r="E57" i="11" s="1"/>
  <c r="F76" i="11"/>
  <c r="F57" i="11" s="1"/>
  <c r="G76" i="11"/>
  <c r="G57" i="11" s="1"/>
  <c r="H76" i="11"/>
  <c r="H57" i="11" s="1"/>
  <c r="D77" i="11"/>
  <c r="D58" i="11" s="1"/>
  <c r="E77" i="11"/>
  <c r="E58" i="11" s="1"/>
  <c r="F77" i="11"/>
  <c r="F58" i="11" s="1"/>
  <c r="G77" i="11"/>
  <c r="H77" i="11"/>
  <c r="D78" i="11"/>
  <c r="D59" i="11" s="1"/>
  <c r="E78" i="11"/>
  <c r="E59" i="11" s="1"/>
  <c r="F78" i="11"/>
  <c r="F59" i="11" s="1"/>
  <c r="G78" i="11"/>
  <c r="G59" i="11" s="1"/>
  <c r="H78" i="11"/>
  <c r="H59" i="11" s="1"/>
  <c r="D79" i="11"/>
  <c r="D60" i="11" s="1"/>
  <c r="E79" i="11"/>
  <c r="E60" i="11" s="1"/>
  <c r="F79" i="11"/>
  <c r="F60" i="11" s="1"/>
  <c r="G79" i="11"/>
  <c r="G60" i="11" s="1"/>
  <c r="H79" i="11"/>
  <c r="H60" i="11" s="1"/>
  <c r="D80" i="11"/>
  <c r="E80" i="11"/>
  <c r="F80" i="11"/>
  <c r="F61" i="11" s="1"/>
  <c r="G80" i="11"/>
  <c r="G61" i="11" s="1"/>
  <c r="H80" i="11"/>
  <c r="H61" i="11" s="1"/>
  <c r="D81" i="11"/>
  <c r="D62" i="11" s="1"/>
  <c r="E81" i="11"/>
  <c r="E62" i="11" s="1"/>
  <c r="F81" i="11"/>
  <c r="F62" i="11" s="1"/>
  <c r="G81" i="11"/>
  <c r="G62" i="11" s="1"/>
  <c r="H81" i="11"/>
  <c r="H62" i="11" s="1"/>
  <c r="D82" i="11"/>
  <c r="D63" i="11" s="1"/>
  <c r="E82" i="11"/>
  <c r="E63" i="11" s="1"/>
  <c r="F82" i="11"/>
  <c r="G82" i="11"/>
  <c r="H82" i="11"/>
  <c r="H63" i="11" s="1"/>
  <c r="D83" i="11"/>
  <c r="D64" i="11" s="1"/>
  <c r="E83" i="11"/>
  <c r="E64" i="11" s="1"/>
  <c r="F83" i="11"/>
  <c r="F64" i="11" s="1"/>
  <c r="G83" i="11"/>
  <c r="G64" i="11" s="1"/>
  <c r="H83" i="11"/>
  <c r="H64" i="11" s="1"/>
  <c r="D84" i="11"/>
  <c r="D65" i="11" s="1"/>
  <c r="E84" i="11"/>
  <c r="E65" i="11" s="1"/>
  <c r="F84" i="11"/>
  <c r="F65" i="11" s="1"/>
  <c r="G84" i="11"/>
  <c r="G65" i="11" s="1"/>
  <c r="H84" i="11"/>
  <c r="D85" i="11"/>
  <c r="E85" i="11"/>
  <c r="E66" i="11" s="1"/>
  <c r="F85" i="11"/>
  <c r="F66" i="11" s="1"/>
  <c r="G85" i="11"/>
  <c r="G66" i="11" s="1"/>
  <c r="H85" i="11"/>
  <c r="H66" i="11" s="1"/>
  <c r="D86" i="11"/>
  <c r="D67" i="11" s="1"/>
  <c r="E86" i="11"/>
  <c r="E67" i="11" s="1"/>
  <c r="F86" i="11"/>
  <c r="F67" i="11" s="1"/>
  <c r="G86" i="11"/>
  <c r="G67" i="11" s="1"/>
  <c r="H86" i="11"/>
  <c r="H67" i="11" s="1"/>
  <c r="D89" i="11"/>
  <c r="E89" i="11"/>
  <c r="F89" i="11"/>
  <c r="G89" i="11"/>
  <c r="H89" i="11"/>
  <c r="D90" i="11"/>
  <c r="E90" i="11"/>
  <c r="F90" i="11"/>
  <c r="G90" i="11"/>
  <c r="H90" i="11"/>
  <c r="D91" i="11"/>
  <c r="E91" i="11"/>
  <c r="F91" i="11"/>
  <c r="G91" i="11"/>
  <c r="H91" i="11"/>
  <c r="D92" i="11"/>
  <c r="E92" i="11"/>
  <c r="F92" i="11"/>
  <c r="G92" i="11"/>
  <c r="H92" i="11"/>
  <c r="D93" i="11"/>
  <c r="E93" i="11"/>
  <c r="F93" i="11"/>
  <c r="G93" i="11"/>
  <c r="H93" i="11"/>
  <c r="D94" i="11"/>
  <c r="E94" i="11"/>
  <c r="F94" i="11"/>
  <c r="G94" i="11"/>
  <c r="H94" i="11"/>
  <c r="D95" i="11"/>
  <c r="E95" i="11"/>
  <c r="F95" i="11"/>
  <c r="G95" i="11"/>
  <c r="H95" i="11"/>
  <c r="D96" i="11"/>
  <c r="E96" i="11"/>
  <c r="F96" i="11"/>
  <c r="G96" i="11"/>
  <c r="H96" i="11"/>
  <c r="D97" i="11"/>
  <c r="E97" i="11"/>
  <c r="F97" i="11"/>
  <c r="G97" i="11"/>
  <c r="H97" i="11"/>
  <c r="D98" i="11"/>
  <c r="E98" i="11"/>
  <c r="F98" i="11"/>
  <c r="G98" i="11"/>
  <c r="H98" i="11"/>
  <c r="D99" i="11"/>
  <c r="E99" i="11"/>
  <c r="F99" i="11"/>
  <c r="G99" i="11"/>
  <c r="H99" i="11"/>
  <c r="D113" i="11"/>
  <c r="E113" i="11"/>
  <c r="F113" i="11"/>
  <c r="G113" i="11"/>
  <c r="H113" i="11"/>
  <c r="D114" i="11"/>
  <c r="E114" i="11"/>
  <c r="F114" i="11"/>
  <c r="G114" i="11"/>
  <c r="H114" i="11"/>
  <c r="D115" i="11"/>
  <c r="E115" i="11"/>
  <c r="F115" i="11"/>
  <c r="G115" i="11"/>
  <c r="H115" i="11"/>
  <c r="D116" i="11"/>
  <c r="E116" i="11"/>
  <c r="F116" i="11"/>
  <c r="G116" i="11"/>
  <c r="H116" i="11"/>
  <c r="D117" i="11"/>
  <c r="E117" i="11"/>
  <c r="F117" i="11"/>
  <c r="G117" i="11"/>
  <c r="H117" i="11"/>
  <c r="D126" i="11"/>
  <c r="E126" i="11"/>
  <c r="F126" i="11"/>
  <c r="G126" i="11"/>
  <c r="H126" i="11"/>
  <c r="D127" i="11"/>
  <c r="E127" i="11"/>
  <c r="F127" i="11"/>
  <c r="G127" i="11"/>
  <c r="H127" i="11"/>
  <c r="D128" i="11"/>
  <c r="E128" i="11"/>
  <c r="F128" i="11"/>
  <c r="G128" i="11"/>
  <c r="H128" i="11"/>
  <c r="D129" i="11"/>
  <c r="E129" i="11"/>
  <c r="F129" i="11"/>
  <c r="G129" i="11"/>
  <c r="H129" i="11"/>
  <c r="D130" i="11"/>
  <c r="E130" i="11"/>
  <c r="F130" i="11"/>
  <c r="G130" i="11"/>
  <c r="H130" i="11"/>
  <c r="D131" i="11"/>
  <c r="E131" i="11"/>
  <c r="F131" i="11"/>
  <c r="G131" i="11"/>
  <c r="H131" i="11"/>
  <c r="D132" i="11"/>
  <c r="E132" i="11"/>
  <c r="F132" i="11"/>
  <c r="G132" i="11"/>
  <c r="H132" i="11"/>
  <c r="D133" i="11"/>
  <c r="E133" i="11"/>
  <c r="F133" i="11"/>
  <c r="G133" i="11"/>
  <c r="H133" i="11"/>
  <c r="D134" i="11"/>
  <c r="E134" i="11"/>
  <c r="F134" i="11"/>
  <c r="G134" i="11"/>
  <c r="H134" i="11"/>
  <c r="D135" i="11"/>
  <c r="E135" i="11"/>
  <c r="F135" i="11"/>
  <c r="G135" i="11"/>
  <c r="H135" i="11"/>
  <c r="D136" i="11"/>
  <c r="E136" i="11"/>
  <c r="F136" i="11"/>
  <c r="G136" i="11"/>
  <c r="H136" i="11"/>
  <c r="D139" i="11"/>
  <c r="E139" i="11"/>
  <c r="F139" i="11"/>
  <c r="G139" i="11"/>
  <c r="H139" i="11"/>
  <c r="D140" i="11"/>
  <c r="E140" i="11"/>
  <c r="F140" i="11"/>
  <c r="G140" i="11"/>
  <c r="H140" i="11"/>
  <c r="D141" i="11"/>
  <c r="E141" i="11"/>
  <c r="F141" i="11"/>
  <c r="G141" i="11"/>
  <c r="H141" i="11"/>
  <c r="D142" i="11"/>
  <c r="E142" i="11"/>
  <c r="F142" i="11"/>
  <c r="G142" i="11"/>
  <c r="H142" i="11"/>
  <c r="D143" i="11"/>
  <c r="E143" i="11"/>
  <c r="F143" i="11"/>
  <c r="G143" i="11"/>
  <c r="H143" i="11"/>
  <c r="D144" i="11"/>
  <c r="E144" i="11"/>
  <c r="F144" i="11"/>
  <c r="G144" i="11"/>
  <c r="H144" i="11"/>
  <c r="D145" i="11"/>
  <c r="E145" i="11"/>
  <c r="F145" i="11"/>
  <c r="G145" i="11"/>
  <c r="H145" i="11"/>
  <c r="D146" i="11"/>
  <c r="E146" i="11"/>
  <c r="F146" i="11"/>
  <c r="G146" i="11"/>
  <c r="H146" i="11"/>
  <c r="D147" i="11"/>
  <c r="E147" i="11"/>
  <c r="F147" i="11"/>
  <c r="G147" i="11"/>
  <c r="H147" i="11"/>
  <c r="D148" i="11"/>
  <c r="E148" i="11"/>
  <c r="F148" i="11"/>
  <c r="G148" i="11"/>
  <c r="H148" i="11"/>
  <c r="D149" i="11"/>
  <c r="E149" i="11"/>
  <c r="F149" i="11"/>
  <c r="G149" i="11"/>
  <c r="H149" i="11"/>
  <c r="D152" i="11"/>
  <c r="E152" i="11"/>
  <c r="F152" i="11"/>
  <c r="G152" i="11"/>
  <c r="H152" i="11"/>
  <c r="D153" i="11"/>
  <c r="E153" i="11"/>
  <c r="F153" i="11"/>
  <c r="G153" i="11"/>
  <c r="H153" i="11"/>
  <c r="D154" i="11"/>
  <c r="E154" i="11"/>
  <c r="F154" i="11"/>
  <c r="G154" i="11"/>
  <c r="H154" i="11"/>
  <c r="D155" i="11"/>
  <c r="E155" i="11"/>
  <c r="F155" i="11"/>
  <c r="G155" i="11"/>
  <c r="H155" i="11"/>
  <c r="D156" i="11"/>
  <c r="E156" i="11"/>
  <c r="F156" i="11"/>
  <c r="G156" i="11"/>
  <c r="H156" i="11"/>
  <c r="D157" i="11"/>
  <c r="E157" i="11"/>
  <c r="F157" i="11"/>
  <c r="G157" i="11"/>
  <c r="H157" i="11"/>
  <c r="D158" i="11"/>
  <c r="E158" i="11"/>
  <c r="F158" i="11"/>
  <c r="G158" i="11"/>
  <c r="H158" i="11"/>
  <c r="D159" i="11"/>
  <c r="E159" i="11"/>
  <c r="F159" i="11"/>
  <c r="G159" i="11"/>
  <c r="H159" i="11"/>
  <c r="D160" i="11"/>
  <c r="E160" i="11"/>
  <c r="F160" i="11"/>
  <c r="G160" i="11"/>
  <c r="H160" i="11"/>
  <c r="D161" i="11"/>
  <c r="E161" i="11"/>
  <c r="F161" i="11"/>
  <c r="G161" i="11"/>
  <c r="H161" i="11"/>
  <c r="D162" i="11"/>
  <c r="E162" i="11"/>
  <c r="F162" i="11"/>
  <c r="G162" i="11"/>
  <c r="H162" i="11"/>
  <c r="D165" i="11"/>
  <c r="E165" i="11"/>
  <c r="F165" i="11"/>
  <c r="G165" i="11"/>
  <c r="H165" i="11"/>
  <c r="D166" i="11"/>
  <c r="E166" i="11"/>
  <c r="F166" i="11"/>
  <c r="G166" i="11"/>
  <c r="H166" i="11"/>
  <c r="D167" i="11"/>
  <c r="E167" i="11"/>
  <c r="F167" i="11"/>
  <c r="G167" i="11"/>
  <c r="H167" i="11"/>
  <c r="D168" i="11"/>
  <c r="E168" i="11"/>
  <c r="F168" i="11"/>
  <c r="G168" i="11"/>
  <c r="H168" i="11"/>
  <c r="D169" i="11"/>
  <c r="E169" i="11"/>
  <c r="F169" i="11"/>
  <c r="G169" i="11"/>
  <c r="H169" i="11"/>
  <c r="D170" i="11"/>
  <c r="E170" i="11"/>
  <c r="F170" i="11"/>
  <c r="G170" i="11"/>
  <c r="H170" i="11"/>
  <c r="D171" i="11"/>
  <c r="E171" i="11"/>
  <c r="F171" i="11"/>
  <c r="G171" i="11"/>
  <c r="H171" i="11"/>
  <c r="D172" i="11"/>
  <c r="E172" i="11"/>
  <c r="F172" i="11"/>
  <c r="G172" i="11"/>
  <c r="H172" i="11"/>
  <c r="D173" i="11"/>
  <c r="E173" i="11"/>
  <c r="F173" i="11"/>
  <c r="G173" i="11"/>
  <c r="H173" i="11"/>
  <c r="D174" i="11"/>
  <c r="E174" i="11"/>
  <c r="F174" i="11"/>
  <c r="G174" i="11"/>
  <c r="H174" i="11"/>
  <c r="D175" i="11"/>
  <c r="E175" i="11"/>
  <c r="F175" i="11"/>
  <c r="G175" i="11"/>
  <c r="H175" i="11"/>
  <c r="D178" i="11"/>
  <c r="E178" i="11"/>
  <c r="F178" i="11"/>
  <c r="G178" i="11"/>
  <c r="H178" i="11"/>
  <c r="D179" i="11"/>
  <c r="E179" i="11"/>
  <c r="F179" i="11"/>
  <c r="G179" i="11"/>
  <c r="H179" i="11"/>
  <c r="D180" i="11"/>
  <c r="E180" i="11"/>
  <c r="F180" i="11"/>
  <c r="G180" i="11"/>
  <c r="H180" i="11"/>
  <c r="D181" i="11"/>
  <c r="E181" i="11"/>
  <c r="F181" i="11"/>
  <c r="G181" i="11"/>
  <c r="H181" i="11"/>
  <c r="D182" i="11"/>
  <c r="E182" i="11"/>
  <c r="F182" i="11"/>
  <c r="G182" i="11"/>
  <c r="H182" i="11"/>
  <c r="D183" i="11"/>
  <c r="E183" i="11"/>
  <c r="F183" i="11"/>
  <c r="G183" i="11"/>
  <c r="H183" i="11"/>
  <c r="D184" i="11"/>
  <c r="E184" i="11"/>
  <c r="F184" i="11"/>
  <c r="G184" i="11"/>
  <c r="H184" i="11"/>
  <c r="D185" i="11"/>
  <c r="E185" i="11"/>
  <c r="F185" i="11"/>
  <c r="G185" i="11"/>
  <c r="H185" i="11"/>
  <c r="D186" i="11"/>
  <c r="E186" i="11"/>
  <c r="F186" i="11"/>
  <c r="G186" i="11"/>
  <c r="H186" i="11"/>
  <c r="D187" i="11"/>
  <c r="E187" i="11"/>
  <c r="F187" i="11"/>
  <c r="G187" i="11"/>
  <c r="H187" i="11"/>
  <c r="D188" i="11"/>
  <c r="E188" i="11"/>
  <c r="F188" i="11"/>
  <c r="G188" i="11"/>
  <c r="H188" i="11"/>
  <c r="D191" i="11"/>
  <c r="E191" i="11"/>
  <c r="F191" i="11"/>
  <c r="G191" i="11"/>
  <c r="H191" i="11"/>
  <c r="D192" i="11"/>
  <c r="E192" i="11"/>
  <c r="F192" i="11"/>
  <c r="G192" i="11"/>
  <c r="H192" i="11"/>
  <c r="D193" i="11"/>
  <c r="E193" i="11"/>
  <c r="F193" i="11"/>
  <c r="G193" i="11"/>
  <c r="H193" i="11"/>
  <c r="D194" i="11"/>
  <c r="E194" i="11"/>
  <c r="F194" i="11"/>
  <c r="G194" i="11"/>
  <c r="H194" i="11"/>
  <c r="D195" i="11"/>
  <c r="E195" i="11"/>
  <c r="F195" i="11"/>
  <c r="G195" i="11"/>
  <c r="H195" i="11"/>
  <c r="D196" i="11"/>
  <c r="E196" i="11"/>
  <c r="F196" i="11"/>
  <c r="G196" i="11"/>
  <c r="H196" i="11"/>
  <c r="D197" i="11"/>
  <c r="E197" i="11"/>
  <c r="F197" i="11"/>
  <c r="G197" i="11"/>
  <c r="H197" i="11"/>
  <c r="D198" i="11"/>
  <c r="E198" i="11"/>
  <c r="F198" i="11"/>
  <c r="G198" i="11"/>
  <c r="H198" i="11"/>
  <c r="D199" i="11"/>
  <c r="E199" i="11"/>
  <c r="F199" i="11"/>
  <c r="G199" i="11"/>
  <c r="H199" i="11"/>
  <c r="D200" i="11"/>
  <c r="E200" i="11"/>
  <c r="F200" i="11"/>
  <c r="G200" i="11"/>
  <c r="H200" i="11"/>
  <c r="D201" i="11"/>
  <c r="E201" i="11"/>
  <c r="F201" i="11"/>
  <c r="G201" i="11"/>
  <c r="H201" i="11"/>
  <c r="D204" i="11"/>
  <c r="E204" i="11"/>
  <c r="F204" i="11"/>
  <c r="G204" i="11"/>
  <c r="H204" i="11"/>
  <c r="D205" i="11"/>
  <c r="E205" i="11"/>
  <c r="F205" i="11"/>
  <c r="G205" i="11"/>
  <c r="H205" i="11"/>
  <c r="D206" i="11"/>
  <c r="E206" i="11"/>
  <c r="F206" i="11"/>
  <c r="G206" i="11"/>
  <c r="H206" i="11"/>
  <c r="D207" i="11"/>
  <c r="E207" i="11"/>
  <c r="F207" i="11"/>
  <c r="G207" i="11"/>
  <c r="H207" i="11"/>
  <c r="D208" i="11"/>
  <c r="E208" i="11"/>
  <c r="F208" i="11"/>
  <c r="G208" i="11"/>
  <c r="H208" i="11"/>
  <c r="D209" i="11"/>
  <c r="E209" i="11"/>
  <c r="F209" i="11"/>
  <c r="G209" i="11"/>
  <c r="H209" i="11"/>
  <c r="D210" i="11"/>
  <c r="E210" i="11"/>
  <c r="F210" i="11"/>
  <c r="G210" i="11"/>
  <c r="H210" i="11"/>
  <c r="D211" i="11"/>
  <c r="E211" i="11"/>
  <c r="F211" i="11"/>
  <c r="G211" i="11"/>
  <c r="H211" i="11"/>
  <c r="D212" i="11"/>
  <c r="E212" i="11"/>
  <c r="F212" i="11"/>
  <c r="G212" i="11"/>
  <c r="H212" i="11"/>
  <c r="D213" i="11"/>
  <c r="E213" i="11"/>
  <c r="F213" i="11"/>
  <c r="G213" i="11"/>
  <c r="H213" i="11"/>
  <c r="D214" i="11"/>
  <c r="E214" i="11"/>
  <c r="F214" i="11"/>
  <c r="G214" i="11"/>
  <c r="H214" i="11"/>
  <c r="D217" i="11"/>
  <c r="E217" i="11"/>
  <c r="F217" i="11"/>
  <c r="G217" i="11"/>
  <c r="H217" i="11"/>
  <c r="D218" i="11"/>
  <c r="E218" i="11"/>
  <c r="F218" i="11"/>
  <c r="G218" i="11"/>
  <c r="H218" i="11"/>
  <c r="D219" i="11"/>
  <c r="E219" i="11"/>
  <c r="F219" i="11"/>
  <c r="G219" i="11"/>
  <c r="H219" i="11"/>
  <c r="D220" i="11"/>
  <c r="E220" i="11"/>
  <c r="F220" i="11"/>
  <c r="G220" i="11"/>
  <c r="H220" i="11"/>
  <c r="D221" i="11"/>
  <c r="E221" i="11"/>
  <c r="F221" i="11"/>
  <c r="G221" i="11"/>
  <c r="H221" i="11"/>
  <c r="D222" i="11"/>
  <c r="E222" i="11"/>
  <c r="F222" i="11"/>
  <c r="G222" i="11"/>
  <c r="H222" i="11"/>
  <c r="D223" i="11"/>
  <c r="E223" i="11"/>
  <c r="F223" i="11"/>
  <c r="G223" i="11"/>
  <c r="H223" i="11"/>
  <c r="D224" i="11"/>
  <c r="E224" i="11"/>
  <c r="F224" i="11"/>
  <c r="G224" i="11"/>
  <c r="H224" i="11"/>
  <c r="D225" i="11"/>
  <c r="E225" i="11"/>
  <c r="F225" i="11"/>
  <c r="G225" i="11"/>
  <c r="H225" i="11"/>
  <c r="D226" i="11"/>
  <c r="E226" i="11"/>
  <c r="F226" i="11"/>
  <c r="G226" i="11"/>
  <c r="H226" i="11"/>
  <c r="D227" i="11"/>
  <c r="E227" i="11"/>
  <c r="F227" i="11"/>
  <c r="G227" i="11"/>
  <c r="H227" i="11"/>
  <c r="D230" i="11"/>
  <c r="E230" i="11"/>
  <c r="F230" i="11"/>
  <c r="G230" i="11"/>
  <c r="H230" i="11"/>
  <c r="D231" i="11"/>
  <c r="E231" i="11"/>
  <c r="F231" i="11"/>
  <c r="G231" i="11"/>
  <c r="H231" i="11"/>
  <c r="D232" i="11"/>
  <c r="E232" i="11"/>
  <c r="F232" i="11"/>
  <c r="G232" i="11"/>
  <c r="H232" i="11"/>
  <c r="D233" i="11"/>
  <c r="E233" i="11"/>
  <c r="F233" i="11"/>
  <c r="G233" i="11"/>
  <c r="H233" i="11"/>
  <c r="D234" i="11"/>
  <c r="E234" i="11"/>
  <c r="F234" i="11"/>
  <c r="G234" i="11"/>
  <c r="H234" i="11"/>
  <c r="D235" i="11"/>
  <c r="E235" i="11"/>
  <c r="F235" i="11"/>
  <c r="G235" i="11"/>
  <c r="H235" i="11"/>
  <c r="D236" i="11"/>
  <c r="E236" i="11"/>
  <c r="F236" i="11"/>
  <c r="G236" i="11"/>
  <c r="H236" i="11"/>
  <c r="D237" i="11"/>
  <c r="E237" i="11"/>
  <c r="F237" i="11"/>
  <c r="G237" i="11"/>
  <c r="H237" i="11"/>
  <c r="D238" i="11"/>
  <c r="E238" i="11"/>
  <c r="F238" i="11"/>
  <c r="G238" i="11"/>
  <c r="H238" i="11"/>
  <c r="D239" i="11"/>
  <c r="E239" i="11"/>
  <c r="F239" i="11"/>
  <c r="G239" i="11"/>
  <c r="H239" i="11"/>
  <c r="D240" i="11"/>
  <c r="E240" i="11"/>
  <c r="F240" i="11"/>
  <c r="G240" i="11"/>
  <c r="H240" i="11"/>
  <c r="D254" i="11"/>
  <c r="E254" i="11"/>
  <c r="F254" i="11"/>
  <c r="G254" i="11"/>
  <c r="H254" i="11"/>
  <c r="D255" i="11"/>
  <c r="E255" i="11"/>
  <c r="F255" i="11"/>
  <c r="G255" i="11"/>
  <c r="H255" i="11"/>
  <c r="D256" i="11"/>
  <c r="E256" i="11"/>
  <c r="F256" i="11"/>
  <c r="G256" i="11"/>
  <c r="H256" i="11"/>
  <c r="D257" i="11"/>
  <c r="E257" i="11"/>
  <c r="F257" i="11"/>
  <c r="G257" i="11"/>
  <c r="H257" i="11"/>
  <c r="D258" i="11"/>
  <c r="E258" i="11"/>
  <c r="F258" i="11"/>
  <c r="G258" i="11"/>
  <c r="H258" i="11"/>
  <c r="D267" i="11"/>
  <c r="E267" i="11"/>
  <c r="F267" i="11"/>
  <c r="G267" i="11"/>
  <c r="H267" i="11"/>
  <c r="D268" i="11"/>
  <c r="E268" i="11"/>
  <c r="F268" i="11"/>
  <c r="G268" i="11"/>
  <c r="H268" i="11"/>
  <c r="D269" i="11"/>
  <c r="E269" i="11"/>
  <c r="F269" i="11"/>
  <c r="G269" i="11"/>
  <c r="H269" i="11"/>
  <c r="D270" i="11"/>
  <c r="E270" i="11"/>
  <c r="F270" i="11"/>
  <c r="G270" i="11"/>
  <c r="H270" i="11"/>
  <c r="D271" i="11"/>
  <c r="E271" i="11"/>
  <c r="F271" i="11"/>
  <c r="G271" i="11"/>
  <c r="H271" i="11"/>
  <c r="D272" i="11"/>
  <c r="E272" i="11"/>
  <c r="F272" i="11"/>
  <c r="G272" i="11"/>
  <c r="H272" i="11"/>
  <c r="D273" i="11"/>
  <c r="E273" i="11"/>
  <c r="F273" i="11"/>
  <c r="G273" i="11"/>
  <c r="H273" i="11"/>
  <c r="D274" i="11"/>
  <c r="E274" i="11"/>
  <c r="F274" i="11"/>
  <c r="G274" i="11"/>
  <c r="H274" i="11"/>
  <c r="D275" i="11"/>
  <c r="E275" i="11"/>
  <c r="F275" i="11"/>
  <c r="G275" i="11"/>
  <c r="H275" i="11"/>
  <c r="D276" i="11"/>
  <c r="E276" i="11"/>
  <c r="F276" i="11"/>
  <c r="G276" i="11"/>
  <c r="H276" i="11"/>
  <c r="D277" i="11"/>
  <c r="E277" i="11"/>
  <c r="F277" i="11"/>
  <c r="G277" i="11"/>
  <c r="H277" i="11"/>
  <c r="D280" i="11"/>
  <c r="E280" i="11"/>
  <c r="F280" i="11"/>
  <c r="G280" i="11"/>
  <c r="H280" i="11"/>
  <c r="D281" i="11"/>
  <c r="E281" i="11"/>
  <c r="F281" i="11"/>
  <c r="G281" i="11"/>
  <c r="H281" i="11"/>
  <c r="D282" i="11"/>
  <c r="E282" i="11"/>
  <c r="F282" i="11"/>
  <c r="G282" i="11"/>
  <c r="H282" i="11"/>
  <c r="D283" i="11"/>
  <c r="E283" i="11"/>
  <c r="F283" i="11"/>
  <c r="G283" i="11"/>
  <c r="H283" i="11"/>
  <c r="D284" i="11"/>
  <c r="E284" i="11"/>
  <c r="F284" i="11"/>
  <c r="G284" i="11"/>
  <c r="H284" i="11"/>
  <c r="D285" i="11"/>
  <c r="E285" i="11"/>
  <c r="F285" i="11"/>
  <c r="G285" i="11"/>
  <c r="H285" i="11"/>
  <c r="D286" i="11"/>
  <c r="E286" i="11"/>
  <c r="F286" i="11"/>
  <c r="G286" i="11"/>
  <c r="H286" i="11"/>
  <c r="D287" i="11"/>
  <c r="E287" i="11"/>
  <c r="F287" i="11"/>
  <c r="G287" i="11"/>
  <c r="H287" i="11"/>
  <c r="D288" i="11"/>
  <c r="E288" i="11"/>
  <c r="F288" i="11"/>
  <c r="G288" i="11"/>
  <c r="H288" i="11"/>
  <c r="D289" i="11"/>
  <c r="E289" i="11"/>
  <c r="F289" i="11"/>
  <c r="G289" i="11"/>
  <c r="H289" i="11"/>
  <c r="D290" i="11"/>
  <c r="E290" i="11"/>
  <c r="F290" i="11"/>
  <c r="G290" i="11"/>
  <c r="H290" i="11"/>
  <c r="D293" i="11"/>
  <c r="E293" i="11"/>
  <c r="F293" i="11"/>
  <c r="G293" i="11"/>
  <c r="H293" i="11"/>
  <c r="D294" i="11"/>
  <c r="E294" i="11"/>
  <c r="F294" i="11"/>
  <c r="G294" i="11"/>
  <c r="H294" i="11"/>
  <c r="D295" i="11"/>
  <c r="E295" i="11"/>
  <c r="F295" i="11"/>
  <c r="G295" i="11"/>
  <c r="H295" i="11"/>
  <c r="D296" i="11"/>
  <c r="E296" i="11"/>
  <c r="F296" i="11"/>
  <c r="G296" i="11"/>
  <c r="H296" i="11"/>
  <c r="D297" i="11"/>
  <c r="E297" i="11"/>
  <c r="F297" i="11"/>
  <c r="G297" i="11"/>
  <c r="H297" i="11"/>
  <c r="D298" i="11"/>
  <c r="E298" i="11"/>
  <c r="F298" i="11"/>
  <c r="G298" i="11"/>
  <c r="H298" i="11"/>
  <c r="D299" i="11"/>
  <c r="E299" i="11"/>
  <c r="F299" i="11"/>
  <c r="G299" i="11"/>
  <c r="H299" i="11"/>
  <c r="D300" i="11"/>
  <c r="E300" i="11"/>
  <c r="F300" i="11"/>
  <c r="G300" i="11"/>
  <c r="H300" i="11"/>
  <c r="D301" i="11"/>
  <c r="E301" i="11"/>
  <c r="F301" i="11"/>
  <c r="G301" i="11"/>
  <c r="H301" i="11"/>
  <c r="D302" i="11"/>
  <c r="E302" i="11"/>
  <c r="F302" i="11"/>
  <c r="G302" i="11"/>
  <c r="H302" i="11"/>
  <c r="D303" i="11"/>
  <c r="E303" i="11"/>
  <c r="F303" i="11"/>
  <c r="G303" i="11"/>
  <c r="H303" i="11"/>
  <c r="D317" i="11"/>
  <c r="E317" i="11"/>
  <c r="F317" i="11"/>
  <c r="G317" i="11"/>
  <c r="H317" i="11"/>
  <c r="D318" i="11"/>
  <c r="E318" i="11"/>
  <c r="F318" i="11"/>
  <c r="G318" i="11"/>
  <c r="H318" i="11"/>
  <c r="D319" i="11"/>
  <c r="E319" i="11"/>
  <c r="F319" i="11"/>
  <c r="G319" i="11"/>
  <c r="H319" i="11"/>
  <c r="D320" i="11"/>
  <c r="E320" i="11"/>
  <c r="F320" i="11"/>
  <c r="G320" i="11"/>
  <c r="H320" i="11"/>
  <c r="D321" i="11"/>
  <c r="E321" i="11"/>
  <c r="F321" i="11"/>
  <c r="G321" i="11"/>
  <c r="H321" i="11"/>
  <c r="D330" i="11"/>
  <c r="E330" i="11"/>
  <c r="F330" i="11"/>
  <c r="G330" i="11"/>
  <c r="H330" i="11"/>
  <c r="D331" i="11"/>
  <c r="E331" i="11"/>
  <c r="F331" i="11"/>
  <c r="G331" i="11"/>
  <c r="H331" i="11"/>
  <c r="D332" i="11"/>
  <c r="E332" i="11"/>
  <c r="F332" i="11"/>
  <c r="G332" i="11"/>
  <c r="H332" i="11"/>
  <c r="D333" i="11"/>
  <c r="E333" i="11"/>
  <c r="F333" i="11"/>
  <c r="G333" i="11"/>
  <c r="H333" i="11"/>
  <c r="D334" i="11"/>
  <c r="E334" i="11"/>
  <c r="F334" i="11"/>
  <c r="G334" i="11"/>
  <c r="H334" i="11"/>
  <c r="D335" i="11"/>
  <c r="E335" i="11"/>
  <c r="F335" i="11"/>
  <c r="G335" i="11"/>
  <c r="H335" i="11"/>
  <c r="D336" i="11"/>
  <c r="E336" i="11"/>
  <c r="F336" i="11"/>
  <c r="G336" i="11"/>
  <c r="H336" i="11"/>
  <c r="D337" i="11"/>
  <c r="E337" i="11"/>
  <c r="F337" i="11"/>
  <c r="G337" i="11"/>
  <c r="H337" i="11"/>
  <c r="D338" i="11"/>
  <c r="E338" i="11"/>
  <c r="F338" i="11"/>
  <c r="G338" i="11"/>
  <c r="H338" i="11"/>
  <c r="D339" i="11"/>
  <c r="E339" i="11"/>
  <c r="F339" i="11"/>
  <c r="G339" i="11"/>
  <c r="H339" i="11"/>
  <c r="D340" i="11"/>
  <c r="E340" i="11"/>
  <c r="F340" i="11"/>
  <c r="G340" i="11"/>
  <c r="H340" i="11"/>
  <c r="D343" i="11"/>
  <c r="E343" i="11"/>
  <c r="F343" i="11"/>
  <c r="G343" i="11"/>
  <c r="H343" i="11"/>
  <c r="D344" i="11"/>
  <c r="E344" i="11"/>
  <c r="F344" i="11"/>
  <c r="G344" i="11"/>
  <c r="H344" i="11"/>
  <c r="D345" i="11"/>
  <c r="E345" i="11"/>
  <c r="F345" i="11"/>
  <c r="G345" i="11"/>
  <c r="H345" i="11"/>
  <c r="D346" i="11"/>
  <c r="E346" i="11"/>
  <c r="F346" i="11"/>
  <c r="G346" i="11"/>
  <c r="H346" i="11"/>
  <c r="D347" i="11"/>
  <c r="E347" i="11"/>
  <c r="F347" i="11"/>
  <c r="G347" i="11"/>
  <c r="H347" i="11"/>
  <c r="D348" i="11"/>
  <c r="E348" i="11"/>
  <c r="F348" i="11"/>
  <c r="G348" i="11"/>
  <c r="H348" i="11"/>
  <c r="D349" i="11"/>
  <c r="E349" i="11"/>
  <c r="F349" i="11"/>
  <c r="G349" i="11"/>
  <c r="H349" i="11"/>
  <c r="D350" i="11"/>
  <c r="E350" i="11"/>
  <c r="F350" i="11"/>
  <c r="G350" i="11"/>
  <c r="H350" i="11"/>
  <c r="D351" i="11"/>
  <c r="E351" i="11"/>
  <c r="F351" i="11"/>
  <c r="G351" i="11"/>
  <c r="H351" i="11"/>
  <c r="D352" i="11"/>
  <c r="E352" i="11"/>
  <c r="F352" i="11"/>
  <c r="G352" i="11"/>
  <c r="H352" i="11"/>
  <c r="D353" i="11"/>
  <c r="E353" i="11"/>
  <c r="F353" i="11"/>
  <c r="G353" i="11"/>
  <c r="H353" i="11"/>
  <c r="D356" i="11"/>
  <c r="E356" i="11"/>
  <c r="F356" i="11"/>
  <c r="G356" i="11"/>
  <c r="H356" i="11"/>
  <c r="D357" i="11"/>
  <c r="E357" i="11"/>
  <c r="F357" i="11"/>
  <c r="G357" i="11"/>
  <c r="H357" i="11"/>
  <c r="D358" i="11"/>
  <c r="E358" i="11"/>
  <c r="F358" i="11"/>
  <c r="G358" i="11"/>
  <c r="H358" i="11"/>
  <c r="D359" i="11"/>
  <c r="E359" i="11"/>
  <c r="F359" i="11"/>
  <c r="G359" i="11"/>
  <c r="H359" i="11"/>
  <c r="D360" i="11"/>
  <c r="E360" i="11"/>
  <c r="F360" i="11"/>
  <c r="G360" i="11"/>
  <c r="H360" i="11"/>
  <c r="D361" i="11"/>
  <c r="E361" i="11"/>
  <c r="F361" i="11"/>
  <c r="G361" i="11"/>
  <c r="H361" i="11"/>
  <c r="D362" i="11"/>
  <c r="E362" i="11"/>
  <c r="F362" i="11"/>
  <c r="G362" i="11"/>
  <c r="H362" i="11"/>
  <c r="D363" i="11"/>
  <c r="E363" i="11"/>
  <c r="F363" i="11"/>
  <c r="G363" i="11"/>
  <c r="H363" i="11"/>
  <c r="D364" i="11"/>
  <c r="E364" i="11"/>
  <c r="F364" i="11"/>
  <c r="G364" i="11"/>
  <c r="H364" i="11"/>
  <c r="D365" i="11"/>
  <c r="E365" i="11"/>
  <c r="F365" i="11"/>
  <c r="G365" i="11"/>
  <c r="H365" i="11"/>
  <c r="D366" i="11"/>
  <c r="E366" i="11"/>
  <c r="F366" i="11"/>
  <c r="G366" i="11"/>
  <c r="H366" i="11"/>
  <c r="D369" i="11"/>
  <c r="E369" i="11"/>
  <c r="F369" i="11"/>
  <c r="G369" i="11"/>
  <c r="H369" i="11"/>
  <c r="D370" i="11"/>
  <c r="E370" i="11"/>
  <c r="F370" i="11"/>
  <c r="G370" i="11"/>
  <c r="H370" i="11"/>
  <c r="D371" i="11"/>
  <c r="E371" i="11"/>
  <c r="F371" i="11"/>
  <c r="G371" i="11"/>
  <c r="H371" i="11"/>
  <c r="D372" i="11"/>
  <c r="E372" i="11"/>
  <c r="F372" i="11"/>
  <c r="G372" i="11"/>
  <c r="H372" i="11"/>
  <c r="D373" i="11"/>
  <c r="E373" i="11"/>
  <c r="F373" i="11"/>
  <c r="G373" i="11"/>
  <c r="H373" i="11"/>
  <c r="D374" i="11"/>
  <c r="E374" i="11"/>
  <c r="F374" i="11"/>
  <c r="G374" i="11"/>
  <c r="H374" i="11"/>
  <c r="D375" i="11"/>
  <c r="E375" i="11"/>
  <c r="F375" i="11"/>
  <c r="G375" i="11"/>
  <c r="H375" i="11"/>
  <c r="D376" i="11"/>
  <c r="E376" i="11"/>
  <c r="F376" i="11"/>
  <c r="G376" i="11"/>
  <c r="H376" i="11"/>
  <c r="D377" i="11"/>
  <c r="E377" i="11"/>
  <c r="F377" i="11"/>
  <c r="G377" i="11"/>
  <c r="H377" i="11"/>
  <c r="D378" i="11"/>
  <c r="E378" i="11"/>
  <c r="F378" i="11"/>
  <c r="G378" i="11"/>
  <c r="H378" i="11"/>
  <c r="D379" i="11"/>
  <c r="E379" i="11"/>
  <c r="F379" i="11"/>
  <c r="G379" i="11"/>
  <c r="H379" i="11"/>
  <c r="D20" i="14"/>
  <c r="E20" i="14"/>
  <c r="F20" i="14"/>
  <c r="G20" i="14"/>
  <c r="H20" i="14"/>
  <c r="D21" i="14"/>
  <c r="E21" i="14"/>
  <c r="F21" i="14"/>
  <c r="G21" i="14"/>
  <c r="H21" i="14"/>
  <c r="D22" i="14"/>
  <c r="E22" i="14"/>
  <c r="F22" i="14"/>
  <c r="G22" i="14"/>
  <c r="H22" i="14"/>
  <c r="D23" i="14"/>
  <c r="E23" i="14"/>
  <c r="F23" i="14"/>
  <c r="G23" i="14"/>
  <c r="H23" i="14"/>
  <c r="D30" i="14"/>
  <c r="E30" i="14"/>
  <c r="F30" i="14"/>
  <c r="G30" i="14"/>
  <c r="H30" i="14"/>
  <c r="D31" i="14"/>
  <c r="E31" i="14"/>
  <c r="F31" i="14"/>
  <c r="G31" i="14"/>
  <c r="H31" i="14"/>
  <c r="D32" i="14"/>
  <c r="E32" i="14"/>
  <c r="F32" i="14"/>
  <c r="G32" i="14"/>
  <c r="H32" i="14"/>
  <c r="D33" i="14"/>
  <c r="E33" i="14"/>
  <c r="F33" i="14"/>
  <c r="G33" i="14"/>
  <c r="H33" i="14"/>
  <c r="D34" i="14"/>
  <c r="E34" i="14"/>
  <c r="F34" i="14"/>
  <c r="G34" i="14"/>
  <c r="H34" i="14"/>
  <c r="D37" i="14"/>
  <c r="E37" i="14"/>
  <c r="F37" i="14"/>
  <c r="G37" i="14"/>
  <c r="H37" i="14"/>
  <c r="D38" i="14"/>
  <c r="E38" i="14"/>
  <c r="F38" i="14"/>
  <c r="G38" i="14"/>
  <c r="H38" i="14"/>
  <c r="D39" i="14"/>
  <c r="E39" i="14"/>
  <c r="F39" i="14"/>
  <c r="G39" i="14"/>
  <c r="H39" i="14"/>
  <c r="D40" i="14"/>
  <c r="E40" i="14"/>
  <c r="F40" i="14"/>
  <c r="G40" i="14"/>
  <c r="H40" i="14"/>
  <c r="D41" i="14"/>
  <c r="E41" i="14"/>
  <c r="F41" i="14"/>
  <c r="G41" i="14"/>
  <c r="H41" i="14"/>
  <c r="D42" i="14"/>
  <c r="E42" i="14"/>
  <c r="F42" i="14"/>
  <c r="G42" i="14"/>
  <c r="H42" i="14"/>
  <c r="D43" i="14"/>
  <c r="E43" i="14"/>
  <c r="F43" i="14"/>
  <c r="G43" i="14"/>
  <c r="H43" i="14"/>
  <c r="D44" i="14"/>
  <c r="E44" i="14"/>
  <c r="F44" i="14"/>
  <c r="G44" i="14"/>
  <c r="H44" i="14"/>
  <c r="D45" i="14"/>
  <c r="E45" i="14"/>
  <c r="F45" i="14"/>
  <c r="G45" i="14"/>
  <c r="H45" i="14"/>
  <c r="D46" i="14"/>
  <c r="E46" i="14"/>
  <c r="F46" i="14"/>
  <c r="G46" i="14"/>
  <c r="H46" i="14"/>
  <c r="D47" i="14"/>
  <c r="E47" i="14"/>
  <c r="F47" i="14"/>
  <c r="G47" i="14"/>
  <c r="H47" i="14"/>
  <c r="D48" i="14"/>
  <c r="E48" i="14"/>
  <c r="F48" i="14"/>
  <c r="G48" i="14"/>
  <c r="H48" i="14"/>
  <c r="D51" i="14"/>
  <c r="E51" i="14"/>
  <c r="F51" i="14"/>
  <c r="G51" i="14"/>
  <c r="H51" i="14"/>
  <c r="D52" i="14"/>
  <c r="E52" i="14"/>
  <c r="F52" i="14"/>
  <c r="G52" i="14"/>
  <c r="H52" i="14"/>
  <c r="D53" i="14"/>
  <c r="E53" i="14"/>
  <c r="F53" i="14"/>
  <c r="G53" i="14"/>
  <c r="H53" i="14"/>
  <c r="D54" i="14"/>
  <c r="E54" i="14"/>
  <c r="F54" i="14"/>
  <c r="G54" i="14"/>
  <c r="H54" i="14"/>
  <c r="D55" i="14"/>
  <c r="E55" i="14"/>
  <c r="F55" i="14"/>
  <c r="G55" i="14"/>
  <c r="H55" i="14"/>
  <c r="D56" i="14"/>
  <c r="E56" i="14"/>
  <c r="F56" i="14"/>
  <c r="G56" i="14"/>
  <c r="H56" i="14"/>
  <c r="D57" i="14"/>
  <c r="E57" i="14"/>
  <c r="F57" i="14"/>
  <c r="G57" i="14"/>
  <c r="H57" i="14"/>
  <c r="D58" i="14"/>
  <c r="E58" i="14"/>
  <c r="F58" i="14"/>
  <c r="G58" i="14"/>
  <c r="H58" i="14"/>
  <c r="D59" i="14"/>
  <c r="E59" i="14"/>
  <c r="F59" i="14"/>
  <c r="G59" i="14"/>
  <c r="H59" i="14"/>
  <c r="D62" i="14"/>
  <c r="E62" i="14"/>
  <c r="F62" i="14"/>
  <c r="G62" i="14"/>
  <c r="H62" i="14"/>
  <c r="D63" i="14"/>
  <c r="E63" i="14"/>
  <c r="F63" i="14"/>
  <c r="G63" i="14"/>
  <c r="H63" i="14"/>
  <c r="D64" i="14"/>
  <c r="E64" i="14"/>
  <c r="F64" i="14"/>
  <c r="G64" i="14"/>
  <c r="H64" i="14"/>
  <c r="D65" i="14"/>
  <c r="E65" i="14"/>
  <c r="F65" i="14"/>
  <c r="G65" i="14"/>
  <c r="H65" i="14"/>
  <c r="D66" i="14"/>
  <c r="E66" i="14"/>
  <c r="F66" i="14"/>
  <c r="G66" i="14"/>
  <c r="H66" i="14"/>
  <c r="D67" i="14"/>
  <c r="E67" i="14"/>
  <c r="F67" i="14"/>
  <c r="G67" i="14"/>
  <c r="H67" i="14"/>
  <c r="D68" i="14"/>
  <c r="E68" i="14"/>
  <c r="F68" i="14"/>
  <c r="G68" i="14"/>
  <c r="H68" i="14"/>
  <c r="D71" i="14"/>
  <c r="E71" i="14"/>
  <c r="F71" i="14"/>
  <c r="G71" i="14"/>
  <c r="H71" i="14"/>
  <c r="D72" i="14"/>
  <c r="E72" i="14"/>
  <c r="F72" i="14"/>
  <c r="G72" i="14"/>
  <c r="H72" i="14"/>
  <c r="D73" i="14"/>
  <c r="E73" i="14"/>
  <c r="F73" i="14"/>
  <c r="G73" i="14"/>
  <c r="H73" i="14"/>
  <c r="D74" i="14"/>
  <c r="E74" i="14"/>
  <c r="F74" i="14"/>
  <c r="G74" i="14"/>
  <c r="H74" i="14"/>
  <c r="D75" i="14"/>
  <c r="E75" i="14"/>
  <c r="F75" i="14"/>
  <c r="G75" i="14"/>
  <c r="H75" i="14"/>
  <c r="D76" i="14"/>
  <c r="E76" i="14"/>
  <c r="F76" i="14"/>
  <c r="G76" i="14"/>
  <c r="H76" i="14"/>
  <c r="D77" i="14"/>
  <c r="E77" i="14"/>
  <c r="F77" i="14"/>
  <c r="G77" i="14"/>
  <c r="H77" i="14"/>
  <c r="D80" i="14"/>
  <c r="E80" i="14"/>
  <c r="F80" i="14"/>
  <c r="G80" i="14"/>
  <c r="H80" i="14"/>
  <c r="D81" i="14"/>
  <c r="E81" i="14"/>
  <c r="F81" i="14"/>
  <c r="G81" i="14"/>
  <c r="H81" i="14"/>
  <c r="D82" i="14"/>
  <c r="E82" i="14"/>
  <c r="F82" i="14"/>
  <c r="G82" i="14"/>
  <c r="H82" i="14"/>
  <c r="D83" i="14"/>
  <c r="E83" i="14"/>
  <c r="F83" i="14"/>
  <c r="G83" i="14"/>
  <c r="H83" i="14"/>
  <c r="D84" i="14"/>
  <c r="E84" i="14"/>
  <c r="F84" i="14"/>
  <c r="G84" i="14"/>
  <c r="H84" i="14"/>
  <c r="D85" i="14"/>
  <c r="E85" i="14"/>
  <c r="F85" i="14"/>
  <c r="G85" i="14"/>
  <c r="H85" i="14"/>
  <c r="D86" i="14"/>
  <c r="E86" i="14"/>
  <c r="F86" i="14"/>
  <c r="G86" i="14"/>
  <c r="H86" i="14"/>
  <c r="D87" i="14"/>
  <c r="E87" i="14"/>
  <c r="F87" i="14"/>
  <c r="G87" i="14"/>
  <c r="H87" i="14"/>
  <c r="D88" i="14"/>
  <c r="E88" i="14"/>
  <c r="F88" i="14"/>
  <c r="G88" i="14"/>
  <c r="H88" i="14"/>
  <c r="D89" i="14"/>
  <c r="E89" i="14"/>
  <c r="F89" i="14"/>
  <c r="G89" i="14"/>
  <c r="H89" i="14"/>
  <c r="D90" i="14"/>
  <c r="E90" i="14"/>
  <c r="F90" i="14"/>
  <c r="G90" i="14"/>
  <c r="H90" i="14"/>
  <c r="D91" i="14"/>
  <c r="E91" i="14"/>
  <c r="F91" i="14"/>
  <c r="G91" i="14"/>
  <c r="H91" i="14"/>
  <c r="D92" i="14"/>
  <c r="E92" i="14"/>
  <c r="F92" i="14"/>
  <c r="G92" i="14"/>
  <c r="H92" i="14"/>
  <c r="D107" i="14"/>
  <c r="E107" i="14"/>
  <c r="F107" i="14"/>
  <c r="G107" i="14"/>
  <c r="H107" i="14"/>
  <c r="D108" i="14"/>
  <c r="E108" i="14"/>
  <c r="F108" i="14"/>
  <c r="G108" i="14"/>
  <c r="H108" i="14"/>
  <c r="D109" i="14"/>
  <c r="E109" i="14"/>
  <c r="F109" i="14"/>
  <c r="G109" i="14"/>
  <c r="H109" i="14"/>
  <c r="D110" i="14"/>
  <c r="E110" i="14"/>
  <c r="F110" i="14"/>
  <c r="G110" i="14"/>
  <c r="H110" i="14"/>
  <c r="D111" i="14"/>
  <c r="E111" i="14"/>
  <c r="F111" i="14"/>
  <c r="G111" i="14"/>
  <c r="H111" i="14"/>
  <c r="E114" i="14"/>
  <c r="G116" i="14"/>
  <c r="D120" i="14"/>
  <c r="D114" i="14" s="1"/>
  <c r="E120" i="14"/>
  <c r="F120" i="14"/>
  <c r="F114" i="14" s="1"/>
  <c r="G120" i="14"/>
  <c r="H120" i="14"/>
  <c r="H114" i="14" s="1"/>
  <c r="D121" i="14"/>
  <c r="D115" i="14" s="1"/>
  <c r="E121" i="14"/>
  <c r="F121" i="14"/>
  <c r="F115" i="14" s="1"/>
  <c r="G121" i="14"/>
  <c r="G115" i="14" s="1"/>
  <c r="H121" i="14"/>
  <c r="H115" i="14" s="1"/>
  <c r="D122" i="14"/>
  <c r="D116" i="14" s="1"/>
  <c r="E122" i="14"/>
  <c r="E116" i="14" s="1"/>
  <c r="F122" i="14"/>
  <c r="F116" i="14" s="1"/>
  <c r="G122" i="14"/>
  <c r="H122" i="14"/>
  <c r="H116" i="14" s="1"/>
  <c r="D123" i="14"/>
  <c r="E123" i="14"/>
  <c r="E117" i="14" s="1"/>
  <c r="F123" i="14"/>
  <c r="F117" i="14" s="1"/>
  <c r="G123" i="14"/>
  <c r="H123" i="14"/>
  <c r="H117" i="14" s="1"/>
  <c r="D124" i="14"/>
  <c r="D118" i="14" s="1"/>
  <c r="E124" i="14"/>
  <c r="E118" i="14" s="1"/>
  <c r="F124" i="14"/>
  <c r="F118" i="14" s="1"/>
  <c r="G124" i="14"/>
  <c r="G118" i="14" s="1"/>
  <c r="H124" i="14"/>
  <c r="H118" i="14" s="1"/>
  <c r="D126" i="14"/>
  <c r="E126" i="14"/>
  <c r="F126" i="14"/>
  <c r="G126" i="14"/>
  <c r="G114" i="14" s="1"/>
  <c r="H126" i="14"/>
  <c r="D127" i="14"/>
  <c r="E127" i="14"/>
  <c r="E115" i="14" s="1"/>
  <c r="F127" i="14"/>
  <c r="G127" i="14"/>
  <c r="H127" i="14"/>
  <c r="D128" i="14"/>
  <c r="E128" i="14"/>
  <c r="F128" i="14"/>
  <c r="G128" i="14"/>
  <c r="H128" i="14"/>
  <c r="D129" i="14"/>
  <c r="D117" i="14" s="1"/>
  <c r="E129" i="14"/>
  <c r="F129" i="14"/>
  <c r="G129" i="14"/>
  <c r="G117" i="14" s="1"/>
  <c r="H129" i="14"/>
  <c r="D130" i="14"/>
  <c r="E130" i="14"/>
  <c r="F130" i="14"/>
  <c r="G130" i="14"/>
  <c r="H130" i="14"/>
  <c r="D132" i="14"/>
  <c r="E132" i="14"/>
  <c r="F132" i="14"/>
  <c r="G132" i="14"/>
  <c r="H132" i="14"/>
  <c r="D133" i="14"/>
  <c r="E133" i="14"/>
  <c r="F133" i="14"/>
  <c r="G133" i="14"/>
  <c r="H133" i="14"/>
  <c r="D134" i="14"/>
  <c r="E134" i="14"/>
  <c r="F134" i="14"/>
  <c r="G134" i="14"/>
  <c r="H134" i="14"/>
  <c r="D135" i="14"/>
  <c r="E135" i="14"/>
  <c r="F135" i="14"/>
  <c r="G135" i="14"/>
  <c r="H135" i="14"/>
  <c r="D136" i="14"/>
  <c r="E136" i="14"/>
  <c r="F136" i="14"/>
  <c r="G136" i="14"/>
  <c r="H136" i="14"/>
  <c r="D138" i="14"/>
  <c r="E138" i="14"/>
  <c r="F138" i="14"/>
  <c r="G138" i="14"/>
  <c r="H138" i="14"/>
  <c r="D139" i="14"/>
  <c r="E139" i="14"/>
  <c r="F139" i="14"/>
  <c r="G139" i="14"/>
  <c r="H139" i="14"/>
  <c r="D140" i="14"/>
  <c r="E140" i="14"/>
  <c r="F140" i="14"/>
  <c r="G140" i="14"/>
  <c r="H140" i="14"/>
  <c r="D141" i="14"/>
  <c r="E141" i="14"/>
  <c r="F141" i="14"/>
  <c r="G141" i="14"/>
  <c r="H141" i="14"/>
  <c r="D142" i="14"/>
  <c r="E142" i="14"/>
  <c r="F142" i="14"/>
  <c r="G142" i="14"/>
  <c r="H142" i="14"/>
  <c r="D144" i="14"/>
  <c r="E144" i="14"/>
  <c r="F144" i="14"/>
  <c r="G144" i="14"/>
  <c r="H144" i="14"/>
  <c r="D145" i="14"/>
  <c r="E145" i="14"/>
  <c r="F145" i="14"/>
  <c r="G145" i="14"/>
  <c r="H145" i="14"/>
  <c r="D146" i="14"/>
  <c r="E146" i="14"/>
  <c r="F146" i="14"/>
  <c r="G146" i="14"/>
  <c r="H146" i="14"/>
  <c r="D147" i="14"/>
  <c r="E147" i="14"/>
  <c r="F147" i="14"/>
  <c r="G147" i="14"/>
  <c r="H147" i="14"/>
  <c r="D148" i="14"/>
  <c r="E148" i="14"/>
  <c r="F148" i="14"/>
  <c r="G148" i="14"/>
  <c r="H148" i="14"/>
  <c r="D151" i="14"/>
  <c r="E151" i="14"/>
  <c r="F151" i="14"/>
  <c r="G151" i="14"/>
  <c r="H151" i="14"/>
  <c r="D152" i="14"/>
  <c r="E152" i="14"/>
  <c r="F152" i="14"/>
  <c r="G152" i="14"/>
  <c r="H152" i="14"/>
  <c r="D153" i="14"/>
  <c r="E153" i="14"/>
  <c r="F153" i="14"/>
  <c r="G153" i="14"/>
  <c r="H153" i="14"/>
  <c r="D154" i="14"/>
  <c r="E154" i="14"/>
  <c r="F154" i="14"/>
  <c r="G154" i="14"/>
  <c r="H154" i="14"/>
  <c r="D155" i="14"/>
  <c r="E155" i="14"/>
  <c r="F155" i="14"/>
  <c r="G155" i="14"/>
  <c r="H155" i="14"/>
  <c r="D192" i="14"/>
  <c r="E192" i="14"/>
  <c r="F192" i="14"/>
  <c r="G192" i="14"/>
  <c r="H192" i="14"/>
  <c r="D51" i="8"/>
  <c r="E51" i="8"/>
  <c r="F51" i="8"/>
  <c r="G51" i="8"/>
  <c r="H51" i="8"/>
  <c r="D52" i="8"/>
  <c r="E52" i="8"/>
  <c r="F52" i="8"/>
  <c r="G52" i="8"/>
  <c r="H52" i="8"/>
  <c r="D53" i="8"/>
  <c r="E53" i="8"/>
  <c r="F53" i="8"/>
  <c r="G53" i="8"/>
  <c r="H53" i="8"/>
  <c r="D54" i="8"/>
  <c r="E54" i="8"/>
  <c r="F54" i="8"/>
  <c r="G54" i="8"/>
  <c r="H54" i="8"/>
  <c r="D55" i="8"/>
  <c r="E55" i="8"/>
  <c r="F55" i="8"/>
  <c r="G55" i="8"/>
  <c r="H55" i="8"/>
  <c r="H59" i="8"/>
  <c r="D60" i="8"/>
  <c r="E62" i="8"/>
  <c r="F62" i="8"/>
  <c r="H64" i="8"/>
  <c r="D67" i="8"/>
  <c r="E67" i="8"/>
  <c r="D77" i="8"/>
  <c r="D58" i="8" s="1"/>
  <c r="E77" i="8"/>
  <c r="E58" i="8" s="1"/>
  <c r="F77" i="8"/>
  <c r="F58" i="8" s="1"/>
  <c r="G77" i="8"/>
  <c r="G64" i="8" s="1"/>
  <c r="H77" i="8"/>
  <c r="H58" i="8" s="1"/>
  <c r="D78" i="8"/>
  <c r="D59" i="8" s="1"/>
  <c r="E78" i="8"/>
  <c r="E59" i="8" s="1"/>
  <c r="F78" i="8"/>
  <c r="F59" i="8" s="1"/>
  <c r="G78" i="8"/>
  <c r="H78" i="8"/>
  <c r="D79" i="8"/>
  <c r="E79" i="8"/>
  <c r="E60" i="8" s="1"/>
  <c r="F79" i="8"/>
  <c r="F60" i="8" s="1"/>
  <c r="G79" i="8"/>
  <c r="G60" i="8" s="1"/>
  <c r="H79" i="8"/>
  <c r="H60" i="8" s="1"/>
  <c r="D80" i="8"/>
  <c r="D61" i="8" s="1"/>
  <c r="E80" i="8"/>
  <c r="E61" i="8" s="1"/>
  <c r="F80" i="8"/>
  <c r="F61" i="8" s="1"/>
  <c r="G80" i="8"/>
  <c r="G61" i="8" s="1"/>
  <c r="H80" i="8"/>
  <c r="H61" i="8" s="1"/>
  <c r="D81" i="8"/>
  <c r="E81" i="8"/>
  <c r="F81" i="8"/>
  <c r="G81" i="8"/>
  <c r="G62" i="8" s="1"/>
  <c r="H81" i="8"/>
  <c r="H62" i="8" s="1"/>
  <c r="D82" i="8"/>
  <c r="D63" i="8" s="1"/>
  <c r="E82" i="8"/>
  <c r="E63" i="8" s="1"/>
  <c r="F82" i="8"/>
  <c r="F63" i="8" s="1"/>
  <c r="G82" i="8"/>
  <c r="G63" i="8" s="1"/>
  <c r="H82" i="8"/>
  <c r="H63" i="8" s="1"/>
  <c r="D83" i="8"/>
  <c r="D64" i="8" s="1"/>
  <c r="E83" i="8"/>
  <c r="E64" i="8" s="1"/>
  <c r="F83" i="8"/>
  <c r="G83" i="8"/>
  <c r="H83" i="8"/>
  <c r="D84" i="8"/>
  <c r="D65" i="8" s="1"/>
  <c r="E84" i="8"/>
  <c r="E65" i="8" s="1"/>
  <c r="F84" i="8"/>
  <c r="F65" i="8" s="1"/>
  <c r="G84" i="8"/>
  <c r="G65" i="8" s="1"/>
  <c r="H84" i="8"/>
  <c r="H65" i="8" s="1"/>
  <c r="D85" i="8"/>
  <c r="D66" i="8" s="1"/>
  <c r="E85" i="8"/>
  <c r="E66" i="8" s="1"/>
  <c r="F85" i="8"/>
  <c r="F66" i="8" s="1"/>
  <c r="G85" i="8"/>
  <c r="G66" i="8" s="1"/>
  <c r="H85" i="8"/>
  <c r="D86" i="8"/>
  <c r="E86" i="8"/>
  <c r="F86" i="8"/>
  <c r="F67" i="8" s="1"/>
  <c r="G86" i="8"/>
  <c r="G67" i="8" s="1"/>
  <c r="H86" i="8"/>
  <c r="H67" i="8" s="1"/>
  <c r="D87" i="8"/>
  <c r="D68" i="8" s="1"/>
  <c r="E87" i="8"/>
  <c r="E68" i="8" s="1"/>
  <c r="F87" i="8"/>
  <c r="F68" i="8" s="1"/>
  <c r="G87" i="8"/>
  <c r="G68" i="8" s="1"/>
  <c r="H87" i="8"/>
  <c r="H68" i="8" s="1"/>
  <c r="D90" i="8"/>
  <c r="E90" i="8"/>
  <c r="F90" i="8"/>
  <c r="G90" i="8"/>
  <c r="H90" i="8"/>
  <c r="D91" i="8"/>
  <c r="E91" i="8"/>
  <c r="F91" i="8"/>
  <c r="G91" i="8"/>
  <c r="G59" i="8" s="1"/>
  <c r="H91" i="8"/>
  <c r="D92" i="8"/>
  <c r="E92" i="8"/>
  <c r="F92" i="8"/>
  <c r="G92" i="8"/>
  <c r="H92" i="8"/>
  <c r="D93" i="8"/>
  <c r="E93" i="8"/>
  <c r="F93" i="8"/>
  <c r="G93" i="8"/>
  <c r="H93" i="8"/>
  <c r="D94" i="8"/>
  <c r="D62" i="8" s="1"/>
  <c r="E94" i="8"/>
  <c r="F94" i="8"/>
  <c r="G94" i="8"/>
  <c r="H94" i="8"/>
  <c r="D95" i="8"/>
  <c r="E95" i="8"/>
  <c r="F95" i="8"/>
  <c r="G95" i="8"/>
  <c r="H95" i="8"/>
  <c r="D96" i="8"/>
  <c r="E96" i="8"/>
  <c r="F96" i="8"/>
  <c r="F64" i="8" s="1"/>
  <c r="G96" i="8"/>
  <c r="H96" i="8"/>
  <c r="D97" i="8"/>
  <c r="E97" i="8"/>
  <c r="F97" i="8"/>
  <c r="G97" i="8"/>
  <c r="H97" i="8"/>
  <c r="D98" i="8"/>
  <c r="E98" i="8"/>
  <c r="F98" i="8"/>
  <c r="G98" i="8"/>
  <c r="H98" i="8"/>
  <c r="H66" i="8" s="1"/>
  <c r="D99" i="8"/>
  <c r="E99" i="8"/>
  <c r="F99" i="8"/>
  <c r="G99" i="8"/>
  <c r="H99" i="8"/>
  <c r="D100" i="8"/>
  <c r="E100" i="8"/>
  <c r="F100" i="8"/>
  <c r="G100" i="8"/>
  <c r="H100" i="8"/>
  <c r="D51" i="17"/>
  <c r="E51" i="17"/>
  <c r="F51" i="17"/>
  <c r="G51" i="17"/>
  <c r="H51" i="17"/>
  <c r="I51" i="17"/>
  <c r="J51" i="17"/>
  <c r="K51" i="17"/>
  <c r="L51" i="17"/>
  <c r="M51" i="17"/>
  <c r="N51" i="17"/>
  <c r="D52" i="17"/>
  <c r="E52" i="17"/>
  <c r="F52" i="17"/>
  <c r="G52" i="17"/>
  <c r="H52" i="17"/>
  <c r="I52" i="17"/>
  <c r="J52" i="17"/>
  <c r="K52" i="17"/>
  <c r="L52" i="17"/>
  <c r="M52" i="17"/>
  <c r="N52" i="17"/>
  <c r="D53" i="17"/>
  <c r="E53" i="17"/>
  <c r="F53" i="17"/>
  <c r="G53" i="17"/>
  <c r="H53" i="17"/>
  <c r="I53" i="17"/>
  <c r="J53" i="17"/>
  <c r="K53" i="17"/>
  <c r="L53" i="17"/>
  <c r="M53" i="17"/>
  <c r="N53" i="17"/>
  <c r="D54" i="17"/>
  <c r="E54" i="17"/>
  <c r="F54" i="17"/>
  <c r="G54" i="17"/>
  <c r="H54" i="17"/>
  <c r="I54" i="17"/>
  <c r="J54" i="17"/>
  <c r="K54" i="17"/>
  <c r="L54" i="17"/>
  <c r="M54" i="17"/>
  <c r="N54" i="17"/>
  <c r="D55" i="17"/>
  <c r="E55" i="17"/>
  <c r="F55" i="17"/>
  <c r="G55" i="17"/>
  <c r="H55" i="17"/>
  <c r="I55" i="17"/>
  <c r="J55" i="17"/>
  <c r="K55" i="17"/>
  <c r="L55" i="17"/>
  <c r="M55" i="17"/>
  <c r="N55" i="17"/>
  <c r="E58" i="17"/>
  <c r="F59" i="17"/>
  <c r="G60" i="17"/>
  <c r="H61" i="17"/>
  <c r="I62" i="17"/>
  <c r="J63" i="17"/>
  <c r="K64" i="17"/>
  <c r="L65" i="17"/>
  <c r="M66" i="17"/>
  <c r="N67" i="17"/>
  <c r="D77" i="17"/>
  <c r="D58" i="17" s="1"/>
  <c r="E77" i="17"/>
  <c r="F77" i="17"/>
  <c r="F58" i="17" s="1"/>
  <c r="G77" i="17"/>
  <c r="G58" i="17" s="1"/>
  <c r="H77" i="17"/>
  <c r="H58" i="17" s="1"/>
  <c r="I77" i="17"/>
  <c r="I58" i="17" s="1"/>
  <c r="J77" i="17"/>
  <c r="J58" i="17" s="1"/>
  <c r="K77" i="17"/>
  <c r="K58" i="17" s="1"/>
  <c r="L77" i="17"/>
  <c r="L58" i="17" s="1"/>
  <c r="M77" i="17"/>
  <c r="M58" i="17" s="1"/>
  <c r="N77" i="17"/>
  <c r="N58" i="17" s="1"/>
  <c r="D78" i="17"/>
  <c r="D59" i="17" s="1"/>
  <c r="E78" i="17"/>
  <c r="E59" i="17" s="1"/>
  <c r="F78" i="17"/>
  <c r="G78" i="17"/>
  <c r="G59" i="17" s="1"/>
  <c r="H78" i="17"/>
  <c r="H59" i="17" s="1"/>
  <c r="I78" i="17"/>
  <c r="I59" i="17" s="1"/>
  <c r="J78" i="17"/>
  <c r="J59" i="17" s="1"/>
  <c r="K78" i="17"/>
  <c r="K59" i="17" s="1"/>
  <c r="L78" i="17"/>
  <c r="L59" i="17" s="1"/>
  <c r="M78" i="17"/>
  <c r="M59" i="17" s="1"/>
  <c r="N78" i="17"/>
  <c r="N59" i="17" s="1"/>
  <c r="D79" i="17"/>
  <c r="D60" i="17" s="1"/>
  <c r="E79" i="17"/>
  <c r="E60" i="17" s="1"/>
  <c r="F79" i="17"/>
  <c r="F60" i="17" s="1"/>
  <c r="G79" i="17"/>
  <c r="H79" i="17"/>
  <c r="H60" i="17" s="1"/>
  <c r="I79" i="17"/>
  <c r="I60" i="17" s="1"/>
  <c r="J79" i="17"/>
  <c r="J60" i="17" s="1"/>
  <c r="K79" i="17"/>
  <c r="K60" i="17" s="1"/>
  <c r="L79" i="17"/>
  <c r="L60" i="17" s="1"/>
  <c r="M79" i="17"/>
  <c r="M60" i="17" s="1"/>
  <c r="N79" i="17"/>
  <c r="N60" i="17" s="1"/>
  <c r="D80" i="17"/>
  <c r="D61" i="17" s="1"/>
  <c r="E80" i="17"/>
  <c r="E61" i="17" s="1"/>
  <c r="F80" i="17"/>
  <c r="F61" i="17" s="1"/>
  <c r="G80" i="17"/>
  <c r="G61" i="17" s="1"/>
  <c r="H80" i="17"/>
  <c r="I80" i="17"/>
  <c r="I61" i="17" s="1"/>
  <c r="J80" i="17"/>
  <c r="J61" i="17" s="1"/>
  <c r="K80" i="17"/>
  <c r="K61" i="17" s="1"/>
  <c r="L80" i="17"/>
  <c r="L61" i="17" s="1"/>
  <c r="M80" i="17"/>
  <c r="M61" i="17" s="1"/>
  <c r="N80" i="17"/>
  <c r="N61" i="17" s="1"/>
  <c r="D81" i="17"/>
  <c r="D62" i="17" s="1"/>
  <c r="E81" i="17"/>
  <c r="E62" i="17" s="1"/>
  <c r="F81" i="17"/>
  <c r="F62" i="17" s="1"/>
  <c r="G81" i="17"/>
  <c r="G62" i="17" s="1"/>
  <c r="H81" i="17"/>
  <c r="H62" i="17" s="1"/>
  <c r="I81" i="17"/>
  <c r="J81" i="17"/>
  <c r="J62" i="17" s="1"/>
  <c r="K81" i="17"/>
  <c r="K62" i="17" s="1"/>
  <c r="L81" i="17"/>
  <c r="L62" i="17" s="1"/>
  <c r="M81" i="17"/>
  <c r="M62" i="17" s="1"/>
  <c r="N81" i="17"/>
  <c r="N62" i="17" s="1"/>
  <c r="D82" i="17"/>
  <c r="D63" i="17" s="1"/>
  <c r="E82" i="17"/>
  <c r="E63" i="17" s="1"/>
  <c r="F82" i="17"/>
  <c r="F63" i="17" s="1"/>
  <c r="G82" i="17"/>
  <c r="G63" i="17" s="1"/>
  <c r="H82" i="17"/>
  <c r="H63" i="17" s="1"/>
  <c r="I82" i="17"/>
  <c r="I63" i="17" s="1"/>
  <c r="J82" i="17"/>
  <c r="K82" i="17"/>
  <c r="K63" i="17" s="1"/>
  <c r="L82" i="17"/>
  <c r="L63" i="17" s="1"/>
  <c r="M82" i="17"/>
  <c r="M63" i="17" s="1"/>
  <c r="N82" i="17"/>
  <c r="N63" i="17" s="1"/>
  <c r="D83" i="17"/>
  <c r="D64" i="17" s="1"/>
  <c r="E83" i="17"/>
  <c r="E64" i="17" s="1"/>
  <c r="F83" i="17"/>
  <c r="F64" i="17" s="1"/>
  <c r="G83" i="17"/>
  <c r="G64" i="17" s="1"/>
  <c r="H83" i="17"/>
  <c r="H64" i="17" s="1"/>
  <c r="I83" i="17"/>
  <c r="I64" i="17" s="1"/>
  <c r="J83" i="17"/>
  <c r="J64" i="17" s="1"/>
  <c r="K83" i="17"/>
  <c r="L83" i="17"/>
  <c r="L64" i="17" s="1"/>
  <c r="M83" i="17"/>
  <c r="M64" i="17" s="1"/>
  <c r="N83" i="17"/>
  <c r="N64" i="17" s="1"/>
  <c r="D84" i="17"/>
  <c r="D65" i="17" s="1"/>
  <c r="E84" i="17"/>
  <c r="E65" i="17" s="1"/>
  <c r="F84" i="17"/>
  <c r="F65" i="17" s="1"/>
  <c r="G84" i="17"/>
  <c r="G65" i="17" s="1"/>
  <c r="H84" i="17"/>
  <c r="H65" i="17" s="1"/>
  <c r="I84" i="17"/>
  <c r="I65" i="17" s="1"/>
  <c r="J84" i="17"/>
  <c r="J65" i="17" s="1"/>
  <c r="K84" i="17"/>
  <c r="K65" i="17" s="1"/>
  <c r="L84" i="17"/>
  <c r="M84" i="17"/>
  <c r="M65" i="17" s="1"/>
  <c r="N84" i="17"/>
  <c r="N65" i="17" s="1"/>
  <c r="D85" i="17"/>
  <c r="D66" i="17" s="1"/>
  <c r="E85" i="17"/>
  <c r="E66" i="17" s="1"/>
  <c r="F85" i="17"/>
  <c r="F66" i="17" s="1"/>
  <c r="G85" i="17"/>
  <c r="G66" i="17" s="1"/>
  <c r="H85" i="17"/>
  <c r="H66" i="17" s="1"/>
  <c r="I85" i="17"/>
  <c r="I66" i="17" s="1"/>
  <c r="J85" i="17"/>
  <c r="J66" i="17" s="1"/>
  <c r="K85" i="17"/>
  <c r="K66" i="17" s="1"/>
  <c r="L85" i="17"/>
  <c r="L66" i="17" s="1"/>
  <c r="M85" i="17"/>
  <c r="N85" i="17"/>
  <c r="N66" i="17" s="1"/>
  <c r="D86" i="17"/>
  <c r="D67" i="17" s="1"/>
  <c r="E86" i="17"/>
  <c r="E67" i="17" s="1"/>
  <c r="F86" i="17"/>
  <c r="F67" i="17" s="1"/>
  <c r="G86" i="17"/>
  <c r="G67" i="17" s="1"/>
  <c r="H86" i="17"/>
  <c r="H67" i="17" s="1"/>
  <c r="I86" i="17"/>
  <c r="I67" i="17" s="1"/>
  <c r="J86" i="17"/>
  <c r="J67" i="17" s="1"/>
  <c r="K86" i="17"/>
  <c r="K67" i="17" s="1"/>
  <c r="L86" i="17"/>
  <c r="L67" i="17" s="1"/>
  <c r="M86" i="17"/>
  <c r="M67" i="17" s="1"/>
  <c r="N86" i="17"/>
  <c r="D87" i="17"/>
  <c r="D68" i="17" s="1"/>
  <c r="E87" i="17"/>
  <c r="E68" i="17" s="1"/>
  <c r="F87" i="17"/>
  <c r="F68" i="17" s="1"/>
  <c r="G87" i="17"/>
  <c r="G68" i="17" s="1"/>
  <c r="H87" i="17"/>
  <c r="H68" i="17" s="1"/>
  <c r="I87" i="17"/>
  <c r="I68" i="17" s="1"/>
  <c r="J87" i="17"/>
  <c r="J68" i="17" s="1"/>
  <c r="K87" i="17"/>
  <c r="K68" i="17" s="1"/>
  <c r="L87" i="17"/>
  <c r="L68" i="17" s="1"/>
  <c r="M87" i="17"/>
  <c r="M68" i="17" s="1"/>
  <c r="N87" i="17"/>
  <c r="N68" i="17" s="1"/>
  <c r="D90" i="17"/>
  <c r="E90" i="17"/>
  <c r="F90" i="17"/>
  <c r="G90" i="17"/>
  <c r="H90" i="17"/>
  <c r="I90" i="17"/>
  <c r="J90" i="17"/>
  <c r="K90" i="17"/>
  <c r="L90" i="17"/>
  <c r="M90" i="17"/>
  <c r="N90" i="17"/>
  <c r="D91" i="17"/>
  <c r="E91" i="17"/>
  <c r="F91" i="17"/>
  <c r="G91" i="17"/>
  <c r="H91" i="17"/>
  <c r="I91" i="17"/>
  <c r="J91" i="17"/>
  <c r="K91" i="17"/>
  <c r="L91" i="17"/>
  <c r="M91" i="17"/>
  <c r="N91" i="17"/>
  <c r="D92" i="17"/>
  <c r="E92" i="17"/>
  <c r="F92" i="17"/>
  <c r="G92" i="17"/>
  <c r="H92" i="17"/>
  <c r="I92" i="17"/>
  <c r="J92" i="17"/>
  <c r="K92" i="17"/>
  <c r="L92" i="17"/>
  <c r="M92" i="17"/>
  <c r="N92" i="17"/>
  <c r="D93" i="17"/>
  <c r="E93" i="17"/>
  <c r="F93" i="17"/>
  <c r="G93" i="17"/>
  <c r="H93" i="17"/>
  <c r="I93" i="17"/>
  <c r="J93" i="17"/>
  <c r="K93" i="17"/>
  <c r="L93" i="17"/>
  <c r="M93" i="17"/>
  <c r="N93" i="17"/>
  <c r="D94" i="17"/>
  <c r="E94" i="17"/>
  <c r="F94" i="17"/>
  <c r="G94" i="17"/>
  <c r="H94" i="17"/>
  <c r="I94" i="17"/>
  <c r="J94" i="17"/>
  <c r="K94" i="17"/>
  <c r="L94" i="17"/>
  <c r="M94" i="17"/>
  <c r="N94" i="17"/>
  <c r="D95" i="17"/>
  <c r="E95" i="17"/>
  <c r="F95" i="17"/>
  <c r="G95" i="17"/>
  <c r="H95" i="17"/>
  <c r="I95" i="17"/>
  <c r="J95" i="17"/>
  <c r="K95" i="17"/>
  <c r="L95" i="17"/>
  <c r="M95" i="17"/>
  <c r="N95" i="17"/>
  <c r="D96" i="17"/>
  <c r="E96" i="17"/>
  <c r="F96" i="17"/>
  <c r="G96" i="17"/>
  <c r="H96" i="17"/>
  <c r="I96" i="17"/>
  <c r="J96" i="17"/>
  <c r="K96" i="17"/>
  <c r="L96" i="17"/>
  <c r="M96" i="17"/>
  <c r="N96" i="17"/>
  <c r="D97" i="17"/>
  <c r="E97" i="17"/>
  <c r="F97" i="17"/>
  <c r="G97" i="17"/>
  <c r="H97" i="17"/>
  <c r="I97" i="17"/>
  <c r="J97" i="17"/>
  <c r="K97" i="17"/>
  <c r="L97" i="17"/>
  <c r="M97" i="17"/>
  <c r="N97" i="17"/>
  <c r="D98" i="17"/>
  <c r="E98" i="17"/>
  <c r="F98" i="17"/>
  <c r="G98" i="17"/>
  <c r="H98" i="17"/>
  <c r="I98" i="17"/>
  <c r="J98" i="17"/>
  <c r="K98" i="17"/>
  <c r="L98" i="17"/>
  <c r="M98" i="17"/>
  <c r="N98" i="17"/>
  <c r="D99" i="17"/>
  <c r="E99" i="17"/>
  <c r="F99" i="17"/>
  <c r="G99" i="17"/>
  <c r="H99" i="17"/>
  <c r="I99" i="17"/>
  <c r="J99" i="17"/>
  <c r="K99" i="17"/>
  <c r="L99" i="17"/>
  <c r="M99" i="17"/>
  <c r="N99" i="17"/>
  <c r="D100" i="17"/>
  <c r="E100" i="17"/>
  <c r="F100" i="17"/>
  <c r="G100" i="17"/>
  <c r="H100" i="17"/>
  <c r="I100" i="17"/>
  <c r="J100" i="17"/>
  <c r="K100" i="17"/>
  <c r="L100" i="17"/>
  <c r="M100" i="17"/>
  <c r="N100" i="17"/>
  <c r="D218" i="17"/>
  <c r="E218" i="17"/>
  <c r="F218" i="17"/>
  <c r="G218" i="17"/>
  <c r="H218" i="17"/>
  <c r="I218" i="17"/>
  <c r="J218" i="17"/>
  <c r="K218" i="17"/>
  <c r="L218" i="17"/>
  <c r="M218" i="17"/>
  <c r="N218" i="17"/>
  <c r="D219" i="17"/>
  <c r="E219" i="17"/>
  <c r="F219" i="17"/>
  <c r="G219" i="17"/>
  <c r="H219" i="17"/>
  <c r="I219" i="17"/>
  <c r="J219" i="17"/>
  <c r="K219" i="17"/>
  <c r="L219" i="17"/>
  <c r="M219" i="17"/>
  <c r="N219" i="17"/>
  <c r="D220" i="17"/>
  <c r="E220" i="17"/>
  <c r="F220" i="17"/>
  <c r="G220" i="17"/>
  <c r="H220" i="17"/>
  <c r="I220" i="17"/>
  <c r="J220" i="17"/>
  <c r="K220" i="17"/>
  <c r="L220" i="17"/>
  <c r="M220" i="17"/>
  <c r="N220" i="17"/>
  <c r="D221" i="17"/>
  <c r="E221" i="17"/>
  <c r="F221" i="17"/>
  <c r="G221" i="17"/>
  <c r="H221" i="17"/>
  <c r="I221" i="17"/>
  <c r="J221" i="17"/>
  <c r="K221" i="17"/>
  <c r="L221" i="17"/>
  <c r="M221" i="17"/>
  <c r="N221" i="17"/>
  <c r="D222" i="17"/>
  <c r="E222" i="17"/>
  <c r="F222" i="17"/>
  <c r="G222" i="17"/>
  <c r="H222" i="17"/>
  <c r="I222" i="17"/>
  <c r="J222" i="17"/>
  <c r="K222" i="17"/>
  <c r="L222" i="17"/>
  <c r="M222" i="17"/>
  <c r="N222" i="17"/>
  <c r="G226" i="17"/>
  <c r="H227" i="17"/>
  <c r="I228" i="17"/>
  <c r="J229" i="17"/>
  <c r="K230" i="17"/>
  <c r="L231" i="17"/>
  <c r="M232" i="17"/>
  <c r="N233" i="17"/>
  <c r="D235" i="17"/>
  <c r="E236" i="17"/>
  <c r="D245" i="17"/>
  <c r="D226" i="17" s="1"/>
  <c r="E245" i="17"/>
  <c r="E226" i="17" s="1"/>
  <c r="F245" i="17"/>
  <c r="F226" i="17" s="1"/>
  <c r="G245" i="17"/>
  <c r="H245" i="17"/>
  <c r="I245" i="17"/>
  <c r="I226" i="17" s="1"/>
  <c r="J245" i="17"/>
  <c r="J226" i="17" s="1"/>
  <c r="K245" i="17"/>
  <c r="K226" i="17" s="1"/>
  <c r="L245" i="17"/>
  <c r="L226" i="17" s="1"/>
  <c r="M245" i="17"/>
  <c r="M226" i="17" s="1"/>
  <c r="N245" i="17"/>
  <c r="N226" i="17" s="1"/>
  <c r="D246" i="17"/>
  <c r="D227" i="17" s="1"/>
  <c r="E246" i="17"/>
  <c r="E227" i="17" s="1"/>
  <c r="F246" i="17"/>
  <c r="F227" i="17" s="1"/>
  <c r="G246" i="17"/>
  <c r="G227" i="17" s="1"/>
  <c r="H246" i="17"/>
  <c r="I246" i="17"/>
  <c r="J246" i="17"/>
  <c r="J227" i="17" s="1"/>
  <c r="K246" i="17"/>
  <c r="K227" i="17" s="1"/>
  <c r="L246" i="17"/>
  <c r="L227" i="17" s="1"/>
  <c r="M246" i="17"/>
  <c r="M227" i="17" s="1"/>
  <c r="N246" i="17"/>
  <c r="N227" i="17" s="1"/>
  <c r="D247" i="17"/>
  <c r="D228" i="17" s="1"/>
  <c r="E247" i="17"/>
  <c r="E228" i="17" s="1"/>
  <c r="F247" i="17"/>
  <c r="F228" i="17" s="1"/>
  <c r="G247" i="17"/>
  <c r="G228" i="17" s="1"/>
  <c r="H247" i="17"/>
  <c r="H228" i="17" s="1"/>
  <c r="I247" i="17"/>
  <c r="J247" i="17"/>
  <c r="K247" i="17"/>
  <c r="K228" i="17" s="1"/>
  <c r="L247" i="17"/>
  <c r="L228" i="17" s="1"/>
  <c r="M247" i="17"/>
  <c r="M228" i="17" s="1"/>
  <c r="N247" i="17"/>
  <c r="N228" i="17" s="1"/>
  <c r="D248" i="17"/>
  <c r="D229" i="17" s="1"/>
  <c r="E248" i="17"/>
  <c r="E229" i="17" s="1"/>
  <c r="F248" i="17"/>
  <c r="F229" i="17" s="1"/>
  <c r="G248" i="17"/>
  <c r="G229" i="17" s="1"/>
  <c r="H248" i="17"/>
  <c r="H229" i="17" s="1"/>
  <c r="I248" i="17"/>
  <c r="I229" i="17" s="1"/>
  <c r="J248" i="17"/>
  <c r="K248" i="17"/>
  <c r="L248" i="17"/>
  <c r="L229" i="17" s="1"/>
  <c r="M248" i="17"/>
  <c r="M229" i="17" s="1"/>
  <c r="N248" i="17"/>
  <c r="N229" i="17" s="1"/>
  <c r="D249" i="17"/>
  <c r="D230" i="17" s="1"/>
  <c r="E249" i="17"/>
  <c r="E230" i="17" s="1"/>
  <c r="F249" i="17"/>
  <c r="F230" i="17" s="1"/>
  <c r="G249" i="17"/>
  <c r="G230" i="17" s="1"/>
  <c r="H249" i="17"/>
  <c r="H230" i="17" s="1"/>
  <c r="I249" i="17"/>
  <c r="I230" i="17" s="1"/>
  <c r="J249" i="17"/>
  <c r="J230" i="17" s="1"/>
  <c r="K249" i="17"/>
  <c r="L249" i="17"/>
  <c r="M249" i="17"/>
  <c r="M230" i="17" s="1"/>
  <c r="N249" i="17"/>
  <c r="N230" i="17" s="1"/>
  <c r="D250" i="17"/>
  <c r="D231" i="17" s="1"/>
  <c r="E250" i="17"/>
  <c r="E231" i="17" s="1"/>
  <c r="F250" i="17"/>
  <c r="F231" i="17" s="1"/>
  <c r="G250" i="17"/>
  <c r="G231" i="17" s="1"/>
  <c r="H250" i="17"/>
  <c r="H231" i="17" s="1"/>
  <c r="I250" i="17"/>
  <c r="I231" i="17" s="1"/>
  <c r="J250" i="17"/>
  <c r="J231" i="17" s="1"/>
  <c r="K250" i="17"/>
  <c r="K231" i="17" s="1"/>
  <c r="L250" i="17"/>
  <c r="M250" i="17"/>
  <c r="N250" i="17"/>
  <c r="N231" i="17" s="1"/>
  <c r="D251" i="17"/>
  <c r="D232" i="17" s="1"/>
  <c r="E251" i="17"/>
  <c r="E232" i="17" s="1"/>
  <c r="F251" i="17"/>
  <c r="F232" i="17" s="1"/>
  <c r="G251" i="17"/>
  <c r="G232" i="17" s="1"/>
  <c r="H251" i="17"/>
  <c r="H232" i="17" s="1"/>
  <c r="I251" i="17"/>
  <c r="I232" i="17" s="1"/>
  <c r="J251" i="17"/>
  <c r="J232" i="17" s="1"/>
  <c r="K251" i="17"/>
  <c r="K232" i="17" s="1"/>
  <c r="L251" i="17"/>
  <c r="L232" i="17" s="1"/>
  <c r="M251" i="17"/>
  <c r="N251" i="17"/>
  <c r="D252" i="17"/>
  <c r="D233" i="17" s="1"/>
  <c r="E252" i="17"/>
  <c r="E233" i="17" s="1"/>
  <c r="F252" i="17"/>
  <c r="F233" i="17" s="1"/>
  <c r="G252" i="17"/>
  <c r="G233" i="17" s="1"/>
  <c r="H252" i="17"/>
  <c r="H233" i="17" s="1"/>
  <c r="I252" i="17"/>
  <c r="I233" i="17" s="1"/>
  <c r="J252" i="17"/>
  <c r="J233" i="17" s="1"/>
  <c r="K252" i="17"/>
  <c r="K233" i="17" s="1"/>
  <c r="L252" i="17"/>
  <c r="L233" i="17" s="1"/>
  <c r="M252" i="17"/>
  <c r="M233" i="17" s="1"/>
  <c r="N252" i="17"/>
  <c r="D253" i="17"/>
  <c r="D234" i="17" s="1"/>
  <c r="E253" i="17"/>
  <c r="E234" i="17" s="1"/>
  <c r="F253" i="17"/>
  <c r="F234" i="17" s="1"/>
  <c r="G253" i="17"/>
  <c r="G234" i="17" s="1"/>
  <c r="H253" i="17"/>
  <c r="H234" i="17" s="1"/>
  <c r="I253" i="17"/>
  <c r="I234" i="17" s="1"/>
  <c r="J253" i="17"/>
  <c r="J234" i="17" s="1"/>
  <c r="K253" i="17"/>
  <c r="K234" i="17" s="1"/>
  <c r="L253" i="17"/>
  <c r="L234" i="17" s="1"/>
  <c r="M253" i="17"/>
  <c r="M234" i="17" s="1"/>
  <c r="N253" i="17"/>
  <c r="N234" i="17" s="1"/>
  <c r="D254" i="17"/>
  <c r="E254" i="17"/>
  <c r="E235" i="17" s="1"/>
  <c r="F254" i="17"/>
  <c r="F235" i="17" s="1"/>
  <c r="G254" i="17"/>
  <c r="G235" i="17" s="1"/>
  <c r="H254" i="17"/>
  <c r="H235" i="17" s="1"/>
  <c r="I254" i="17"/>
  <c r="I235" i="17" s="1"/>
  <c r="J254" i="17"/>
  <c r="J235" i="17" s="1"/>
  <c r="K254" i="17"/>
  <c r="K235" i="17" s="1"/>
  <c r="L254" i="17"/>
  <c r="L235" i="17" s="1"/>
  <c r="M254" i="17"/>
  <c r="M235" i="17" s="1"/>
  <c r="N254" i="17"/>
  <c r="N235" i="17" s="1"/>
  <c r="D255" i="17"/>
  <c r="D236" i="17" s="1"/>
  <c r="E255" i="17"/>
  <c r="F255" i="17"/>
  <c r="F236" i="17" s="1"/>
  <c r="G255" i="17"/>
  <c r="G236" i="17" s="1"/>
  <c r="H255" i="17"/>
  <c r="H236" i="17" s="1"/>
  <c r="I255" i="17"/>
  <c r="I236" i="17" s="1"/>
  <c r="J255" i="17"/>
  <c r="J236" i="17" s="1"/>
  <c r="K255" i="17"/>
  <c r="K236" i="17" s="1"/>
  <c r="L255" i="17"/>
  <c r="L236" i="17" s="1"/>
  <c r="M255" i="17"/>
  <c r="M236" i="17" s="1"/>
  <c r="N255" i="17"/>
  <c r="N236" i="17" s="1"/>
  <c r="D258" i="17"/>
  <c r="E258" i="17"/>
  <c r="F258" i="17"/>
  <c r="G258" i="17"/>
  <c r="H258" i="17"/>
  <c r="H226" i="17" s="1"/>
  <c r="I258" i="17"/>
  <c r="J258" i="17"/>
  <c r="K258" i="17"/>
  <c r="L258" i="17"/>
  <c r="M258" i="17"/>
  <c r="N258" i="17"/>
  <c r="D259" i="17"/>
  <c r="E259" i="17"/>
  <c r="F259" i="17"/>
  <c r="G259" i="17"/>
  <c r="H259" i="17"/>
  <c r="I259" i="17"/>
  <c r="I227" i="17" s="1"/>
  <c r="J259" i="17"/>
  <c r="K259" i="17"/>
  <c r="L259" i="17"/>
  <c r="M259" i="17"/>
  <c r="N259" i="17"/>
  <c r="D260" i="17"/>
  <c r="E260" i="17"/>
  <c r="F260" i="17"/>
  <c r="G260" i="17"/>
  <c r="H260" i="17"/>
  <c r="I260" i="17"/>
  <c r="J260" i="17"/>
  <c r="J228" i="17" s="1"/>
  <c r="K260" i="17"/>
  <c r="L260" i="17"/>
  <c r="M260" i="17"/>
  <c r="N260" i="17"/>
  <c r="D261" i="17"/>
  <c r="E261" i="17"/>
  <c r="F261" i="17"/>
  <c r="G261" i="17"/>
  <c r="H261" i="17"/>
  <c r="I261" i="17"/>
  <c r="J261" i="17"/>
  <c r="K261" i="17"/>
  <c r="K229" i="17" s="1"/>
  <c r="L261" i="17"/>
  <c r="M261" i="17"/>
  <c r="N261" i="17"/>
  <c r="D262" i="17"/>
  <c r="E262" i="17"/>
  <c r="F262" i="17"/>
  <c r="G262" i="17"/>
  <c r="H262" i="17"/>
  <c r="I262" i="17"/>
  <c r="J262" i="17"/>
  <c r="K262" i="17"/>
  <c r="L262" i="17"/>
  <c r="L230" i="17" s="1"/>
  <c r="M262" i="17"/>
  <c r="N262" i="17"/>
  <c r="D263" i="17"/>
  <c r="E263" i="17"/>
  <c r="F263" i="17"/>
  <c r="G263" i="17"/>
  <c r="H263" i="17"/>
  <c r="I263" i="17"/>
  <c r="J263" i="17"/>
  <c r="K263" i="17"/>
  <c r="L263" i="17"/>
  <c r="M263" i="17"/>
  <c r="M231" i="17" s="1"/>
  <c r="N263" i="17"/>
  <c r="D264" i="17"/>
  <c r="E264" i="17"/>
  <c r="F264" i="17"/>
  <c r="G264" i="17"/>
  <c r="H264" i="17"/>
  <c r="I264" i="17"/>
  <c r="J264" i="17"/>
  <c r="K264" i="17"/>
  <c r="L264" i="17"/>
  <c r="M264" i="17"/>
  <c r="N264" i="17"/>
  <c r="N232" i="17" s="1"/>
  <c r="D265" i="17"/>
  <c r="E265" i="17"/>
  <c r="F265" i="17"/>
  <c r="G265" i="17"/>
  <c r="H265" i="17"/>
  <c r="I265" i="17"/>
  <c r="J265" i="17"/>
  <c r="K265" i="17"/>
  <c r="L265" i="17"/>
  <c r="M265" i="17"/>
  <c r="N265" i="17"/>
  <c r="D266" i="17"/>
  <c r="E266" i="17"/>
  <c r="F266" i="17"/>
  <c r="G266" i="17"/>
  <c r="H266" i="17"/>
  <c r="I266" i="17"/>
  <c r="J266" i="17"/>
  <c r="K266" i="17"/>
  <c r="L266" i="17"/>
  <c r="M266" i="17"/>
  <c r="N266" i="17"/>
  <c r="D267" i="17"/>
  <c r="E267" i="17"/>
  <c r="F267" i="17"/>
  <c r="G267" i="17"/>
  <c r="H267" i="17"/>
  <c r="I267" i="17"/>
  <c r="J267" i="17"/>
  <c r="K267" i="17"/>
  <c r="L267" i="17"/>
  <c r="M267" i="17"/>
  <c r="N267" i="17"/>
  <c r="D268" i="17"/>
  <c r="E268" i="17"/>
  <c r="F268" i="17"/>
  <c r="G268" i="17"/>
  <c r="H268" i="17"/>
  <c r="I268" i="17"/>
  <c r="J268" i="17"/>
  <c r="K268" i="17"/>
  <c r="L268" i="17"/>
  <c r="M268" i="17"/>
  <c r="N268" i="17"/>
  <c r="D277" i="17"/>
  <c r="E277" i="17"/>
  <c r="F277" i="17"/>
  <c r="G277" i="17"/>
  <c r="H277" i="17"/>
  <c r="I277" i="17"/>
  <c r="J277" i="17"/>
  <c r="K277" i="17"/>
  <c r="L277" i="17"/>
  <c r="M277" i="17"/>
  <c r="N277" i="17"/>
  <c r="D278" i="17"/>
  <c r="E278" i="17"/>
  <c r="F278" i="17"/>
  <c r="G278" i="17"/>
  <c r="H278" i="17"/>
  <c r="I278" i="17"/>
  <c r="J278" i="17"/>
  <c r="K278" i="17"/>
  <c r="L278" i="17"/>
  <c r="M278" i="17"/>
  <c r="N278" i="17"/>
  <c r="D279" i="17"/>
  <c r="E279" i="17"/>
  <c r="F279" i="17"/>
  <c r="G279" i="17"/>
  <c r="H279" i="17"/>
  <c r="I279" i="17"/>
  <c r="J279" i="17"/>
  <c r="K279" i="17"/>
  <c r="L279" i="17"/>
  <c r="M279" i="17"/>
  <c r="N279" i="17"/>
  <c r="D280" i="17"/>
  <c r="E280" i="17"/>
  <c r="F280" i="17"/>
  <c r="G280" i="17"/>
  <c r="H280" i="17"/>
  <c r="I280" i="17"/>
  <c r="J280" i="17"/>
  <c r="K280" i="17"/>
  <c r="L280" i="17"/>
  <c r="M280" i="17"/>
  <c r="N280" i="17"/>
  <c r="D281" i="17"/>
  <c r="E281" i="17"/>
  <c r="F281" i="17"/>
  <c r="G281" i="17"/>
  <c r="H281" i="17"/>
  <c r="I281" i="17"/>
  <c r="J281" i="17"/>
  <c r="K281" i="17"/>
  <c r="L281" i="17"/>
  <c r="M281" i="17"/>
  <c r="N281" i="17"/>
  <c r="D291" i="17"/>
  <c r="E291" i="17"/>
  <c r="F291" i="17"/>
  <c r="G291" i="17"/>
  <c r="H291" i="17"/>
  <c r="I291" i="17"/>
  <c r="J291" i="17"/>
  <c r="K291" i="17"/>
  <c r="L291" i="17"/>
  <c r="M291" i="17"/>
  <c r="N291" i="17"/>
  <c r="D292" i="17"/>
  <c r="E292" i="17"/>
  <c r="F292" i="17"/>
  <c r="G292" i="17"/>
  <c r="H292" i="17"/>
  <c r="I292" i="17"/>
  <c r="J292" i="17"/>
  <c r="K292" i="17"/>
  <c r="L292" i="17"/>
  <c r="M292" i="17"/>
  <c r="N292" i="17"/>
  <c r="D293" i="17"/>
  <c r="E293" i="17"/>
  <c r="F293" i="17"/>
  <c r="G293" i="17"/>
  <c r="H293" i="17"/>
  <c r="I293" i="17"/>
  <c r="J293" i="17"/>
  <c r="K293" i="17"/>
  <c r="L293" i="17"/>
  <c r="M293" i="17"/>
  <c r="N293" i="17"/>
  <c r="D294" i="17"/>
  <c r="E294" i="17"/>
  <c r="F294" i="17"/>
  <c r="G294" i="17"/>
  <c r="H294" i="17"/>
  <c r="I294" i="17"/>
  <c r="J294" i="17"/>
  <c r="K294" i="17"/>
  <c r="L294" i="17"/>
  <c r="M294" i="17"/>
  <c r="N294" i="17"/>
  <c r="D295" i="17"/>
  <c r="E295" i="17"/>
  <c r="F295" i="17"/>
  <c r="G295" i="17"/>
  <c r="H295" i="17"/>
  <c r="I295" i="17"/>
  <c r="J295" i="17"/>
  <c r="K295" i="17"/>
  <c r="L295" i="17"/>
  <c r="M295" i="17"/>
  <c r="N295" i="17"/>
  <c r="D296" i="17"/>
  <c r="E296" i="17"/>
  <c r="F296" i="17"/>
  <c r="G296" i="17"/>
  <c r="H296" i="17"/>
  <c r="I296" i="17"/>
  <c r="J296" i="17"/>
  <c r="K296" i="17"/>
  <c r="L296" i="17"/>
  <c r="M296" i="17"/>
  <c r="N296" i="17"/>
  <c r="D297" i="17"/>
  <c r="E297" i="17"/>
  <c r="F297" i="17"/>
  <c r="G297" i="17"/>
  <c r="H297" i="17"/>
  <c r="I297" i="17"/>
  <c r="J297" i="17"/>
  <c r="K297" i="17"/>
  <c r="L297" i="17"/>
  <c r="M297" i="17"/>
  <c r="N297" i="17"/>
  <c r="D298" i="17"/>
  <c r="E298" i="17"/>
  <c r="F298" i="17"/>
  <c r="G298" i="17"/>
  <c r="H298" i="17"/>
  <c r="I298" i="17"/>
  <c r="J298" i="17"/>
  <c r="K298" i="17"/>
  <c r="L298" i="17"/>
  <c r="M298" i="17"/>
  <c r="N298" i="17"/>
  <c r="D299" i="17"/>
  <c r="E299" i="17"/>
  <c r="F299" i="17"/>
  <c r="G299" i="17"/>
  <c r="H299" i="17"/>
  <c r="I299" i="17"/>
  <c r="J299" i="17"/>
  <c r="K299" i="17"/>
  <c r="L299" i="17"/>
  <c r="M299" i="17"/>
  <c r="N299" i="17"/>
  <c r="D300" i="17"/>
  <c r="E300" i="17"/>
  <c r="F300" i="17"/>
  <c r="G300" i="17"/>
  <c r="H300" i="17"/>
  <c r="I300" i="17"/>
  <c r="J300" i="17"/>
  <c r="K300" i="17"/>
  <c r="L300" i="17"/>
  <c r="M300" i="17"/>
  <c r="N300" i="17"/>
  <c r="D301" i="17"/>
  <c r="E301" i="17"/>
  <c r="F301" i="17"/>
  <c r="G301" i="17"/>
  <c r="H301" i="17"/>
  <c r="I301" i="17"/>
  <c r="J301" i="17"/>
  <c r="K301" i="17"/>
  <c r="L301" i="17"/>
  <c r="M301" i="17"/>
  <c r="N301" i="17"/>
  <c r="D304" i="17"/>
  <c r="E304" i="17"/>
  <c r="F304" i="17"/>
  <c r="G304" i="17"/>
  <c r="H304" i="17"/>
  <c r="I304" i="17"/>
  <c r="J304" i="17"/>
  <c r="K304" i="17"/>
  <c r="L304" i="17"/>
  <c r="M304" i="17"/>
  <c r="N304" i="17"/>
  <c r="D305" i="17"/>
  <c r="E305" i="17"/>
  <c r="F305" i="17"/>
  <c r="G305" i="17"/>
  <c r="H305" i="17"/>
  <c r="I305" i="17"/>
  <c r="J305" i="17"/>
  <c r="K305" i="17"/>
  <c r="L305" i="17"/>
  <c r="M305" i="17"/>
  <c r="N305" i="17"/>
  <c r="D306" i="17"/>
  <c r="E306" i="17"/>
  <c r="F306" i="17"/>
  <c r="G306" i="17"/>
  <c r="H306" i="17"/>
  <c r="I306" i="17"/>
  <c r="J306" i="17"/>
  <c r="K306" i="17"/>
  <c r="L306" i="17"/>
  <c r="M306" i="17"/>
  <c r="N306" i="17"/>
  <c r="D307" i="17"/>
  <c r="E307" i="17"/>
  <c r="F307" i="17"/>
  <c r="G307" i="17"/>
  <c r="H307" i="17"/>
  <c r="I307" i="17"/>
  <c r="J307" i="17"/>
  <c r="K307" i="17"/>
  <c r="L307" i="17"/>
  <c r="M307" i="17"/>
  <c r="N307" i="17"/>
  <c r="D308" i="17"/>
  <c r="E308" i="17"/>
  <c r="F308" i="17"/>
  <c r="G308" i="17"/>
  <c r="H308" i="17"/>
  <c r="I308" i="17"/>
  <c r="J308" i="17"/>
  <c r="K308" i="17"/>
  <c r="L308" i="17"/>
  <c r="M308" i="17"/>
  <c r="N308" i="17"/>
  <c r="D309" i="17"/>
  <c r="E309" i="17"/>
  <c r="F309" i="17"/>
  <c r="G309" i="17"/>
  <c r="H309" i="17"/>
  <c r="I309" i="17"/>
  <c r="J309" i="17"/>
  <c r="K309" i="17"/>
  <c r="L309" i="17"/>
  <c r="M309" i="17"/>
  <c r="N309" i="17"/>
  <c r="D310" i="17"/>
  <c r="E310" i="17"/>
  <c r="F310" i="17"/>
  <c r="G310" i="17"/>
  <c r="H310" i="17"/>
  <c r="I310" i="17"/>
  <c r="J310" i="17"/>
  <c r="K310" i="17"/>
  <c r="L310" i="17"/>
  <c r="M310" i="17"/>
  <c r="N310" i="17"/>
  <c r="D311" i="17"/>
  <c r="E311" i="17"/>
  <c r="F311" i="17"/>
  <c r="G311" i="17"/>
  <c r="H311" i="17"/>
  <c r="I311" i="17"/>
  <c r="J311" i="17"/>
  <c r="K311" i="17"/>
  <c r="L311" i="17"/>
  <c r="M311" i="17"/>
  <c r="N311" i="17"/>
  <c r="D312" i="17"/>
  <c r="E312" i="17"/>
  <c r="F312" i="17"/>
  <c r="G312" i="17"/>
  <c r="H312" i="17"/>
  <c r="I312" i="17"/>
  <c r="J312" i="17"/>
  <c r="K312" i="17"/>
  <c r="L312" i="17"/>
  <c r="M312" i="17"/>
  <c r="N312" i="17"/>
  <c r="D313" i="17"/>
  <c r="E313" i="17"/>
  <c r="F313" i="17"/>
  <c r="G313" i="17"/>
  <c r="H313" i="17"/>
  <c r="I313" i="17"/>
  <c r="J313" i="17"/>
  <c r="K313" i="17"/>
  <c r="L313" i="17"/>
  <c r="M313" i="17"/>
  <c r="N313" i="17"/>
  <c r="D314" i="17"/>
  <c r="E314" i="17"/>
  <c r="F314" i="17"/>
  <c r="G314" i="17"/>
  <c r="H314" i="17"/>
  <c r="I314" i="17"/>
  <c r="J314" i="17"/>
  <c r="K314" i="17"/>
  <c r="L314" i="17"/>
  <c r="M314" i="17"/>
  <c r="N314" i="17"/>
  <c r="D317" i="17"/>
  <c r="E317" i="17"/>
  <c r="F317" i="17"/>
  <c r="G317" i="17"/>
  <c r="H317" i="17"/>
  <c r="I317" i="17"/>
  <c r="J317" i="17"/>
  <c r="K317" i="17"/>
  <c r="L317" i="17"/>
  <c r="M317" i="17"/>
  <c r="N317" i="17"/>
  <c r="D318" i="17"/>
  <c r="E318" i="17"/>
  <c r="F318" i="17"/>
  <c r="G318" i="17"/>
  <c r="H318" i="17"/>
  <c r="I318" i="17"/>
  <c r="J318" i="17"/>
  <c r="K318" i="17"/>
  <c r="L318" i="17"/>
  <c r="M318" i="17"/>
  <c r="N318" i="17"/>
  <c r="D319" i="17"/>
  <c r="E319" i="17"/>
  <c r="F319" i="17"/>
  <c r="G319" i="17"/>
  <c r="H319" i="17"/>
  <c r="I319" i="17"/>
  <c r="J319" i="17"/>
  <c r="K319" i="17"/>
  <c r="L319" i="17"/>
  <c r="M319" i="17"/>
  <c r="N319" i="17"/>
  <c r="D320" i="17"/>
  <c r="E320" i="17"/>
  <c r="F320" i="17"/>
  <c r="G320" i="17"/>
  <c r="H320" i="17"/>
  <c r="I320" i="17"/>
  <c r="J320" i="17"/>
  <c r="K320" i="17"/>
  <c r="L320" i="17"/>
  <c r="M320" i="17"/>
  <c r="N320" i="17"/>
  <c r="D321" i="17"/>
  <c r="E321" i="17"/>
  <c r="F321" i="17"/>
  <c r="G321" i="17"/>
  <c r="H321" i="17"/>
  <c r="I321" i="17"/>
  <c r="J321" i="17"/>
  <c r="K321" i="17"/>
  <c r="L321" i="17"/>
  <c r="M321" i="17"/>
  <c r="N321" i="17"/>
  <c r="D322" i="17"/>
  <c r="E322" i="17"/>
  <c r="F322" i="17"/>
  <c r="G322" i="17"/>
  <c r="H322" i="17"/>
  <c r="I322" i="17"/>
  <c r="J322" i="17"/>
  <c r="K322" i="17"/>
  <c r="L322" i="17"/>
  <c r="M322" i="17"/>
  <c r="N322" i="17"/>
  <c r="D323" i="17"/>
  <c r="E323" i="17"/>
  <c r="F323" i="17"/>
  <c r="G323" i="17"/>
  <c r="H323" i="17"/>
  <c r="I323" i="17"/>
  <c r="J323" i="17"/>
  <c r="K323" i="17"/>
  <c r="L323" i="17"/>
  <c r="M323" i="17"/>
  <c r="N323" i="17"/>
  <c r="D324" i="17"/>
  <c r="E324" i="17"/>
  <c r="F324" i="17"/>
  <c r="G324" i="17"/>
  <c r="H324" i="17"/>
  <c r="I324" i="17"/>
  <c r="J324" i="17"/>
  <c r="K324" i="17"/>
  <c r="L324" i="17"/>
  <c r="M324" i="17"/>
  <c r="N324" i="17"/>
  <c r="D325" i="17"/>
  <c r="E325" i="17"/>
  <c r="F325" i="17"/>
  <c r="G325" i="17"/>
  <c r="H325" i="17"/>
  <c r="I325" i="17"/>
  <c r="J325" i="17"/>
  <c r="K325" i="17"/>
  <c r="L325" i="17"/>
  <c r="M325" i="17"/>
  <c r="N325" i="17"/>
  <c r="D326" i="17"/>
  <c r="E326" i="17"/>
  <c r="F326" i="17"/>
  <c r="G326" i="17"/>
  <c r="H326" i="17"/>
  <c r="I326" i="17"/>
  <c r="J326" i="17"/>
  <c r="K326" i="17"/>
  <c r="L326" i="17"/>
  <c r="M326" i="17"/>
  <c r="N326" i="17"/>
  <c r="D327" i="17"/>
  <c r="E327" i="17"/>
  <c r="F327" i="17"/>
  <c r="G327" i="17"/>
  <c r="H327" i="17"/>
  <c r="I327" i="17"/>
  <c r="J327" i="17"/>
  <c r="K327" i="17"/>
  <c r="L327" i="17"/>
  <c r="M327" i="17"/>
  <c r="N327" i="17"/>
  <c r="D330" i="17"/>
  <c r="E330" i="17"/>
  <c r="F330" i="17"/>
  <c r="G330" i="17"/>
  <c r="H330" i="17"/>
  <c r="I330" i="17"/>
  <c r="J330" i="17"/>
  <c r="K330" i="17"/>
  <c r="L330" i="17"/>
  <c r="M330" i="17"/>
  <c r="N330" i="17"/>
  <c r="D331" i="17"/>
  <c r="E331" i="17"/>
  <c r="F331" i="17"/>
  <c r="G331" i="17"/>
  <c r="H331" i="17"/>
  <c r="I331" i="17"/>
  <c r="J331" i="17"/>
  <c r="K331" i="17"/>
  <c r="L331" i="17"/>
  <c r="M331" i="17"/>
  <c r="N331" i="17"/>
  <c r="D332" i="17"/>
  <c r="E332" i="17"/>
  <c r="F332" i="17"/>
  <c r="G332" i="17"/>
  <c r="H332" i="17"/>
  <c r="I332" i="17"/>
  <c r="J332" i="17"/>
  <c r="K332" i="17"/>
  <c r="L332" i="17"/>
  <c r="M332" i="17"/>
  <c r="N332" i="17"/>
  <c r="D333" i="17"/>
  <c r="E333" i="17"/>
  <c r="F333" i="17"/>
  <c r="G333" i="17"/>
  <c r="H333" i="17"/>
  <c r="I333" i="17"/>
  <c r="J333" i="17"/>
  <c r="K333" i="17"/>
  <c r="L333" i="17"/>
  <c r="M333" i="17"/>
  <c r="N333" i="17"/>
  <c r="D334" i="17"/>
  <c r="E334" i="17"/>
  <c r="F334" i="17"/>
  <c r="G334" i="17"/>
  <c r="H334" i="17"/>
  <c r="I334" i="17"/>
  <c r="J334" i="17"/>
  <c r="K334" i="17"/>
  <c r="L334" i="17"/>
  <c r="M334" i="17"/>
  <c r="N334" i="17"/>
  <c r="D335" i="17"/>
  <c r="E335" i="17"/>
  <c r="F335" i="17"/>
  <c r="G335" i="17"/>
  <c r="H335" i="17"/>
  <c r="I335" i="17"/>
  <c r="J335" i="17"/>
  <c r="K335" i="17"/>
  <c r="L335" i="17"/>
  <c r="M335" i="17"/>
  <c r="N335" i="17"/>
  <c r="D336" i="17"/>
  <c r="E336" i="17"/>
  <c r="F336" i="17"/>
  <c r="G336" i="17"/>
  <c r="H336" i="17"/>
  <c r="I336" i="17"/>
  <c r="J336" i="17"/>
  <c r="K336" i="17"/>
  <c r="L336" i="17"/>
  <c r="M336" i="17"/>
  <c r="N336" i="17"/>
  <c r="D337" i="17"/>
  <c r="E337" i="17"/>
  <c r="F337" i="17"/>
  <c r="G337" i="17"/>
  <c r="H337" i="17"/>
  <c r="I337" i="17"/>
  <c r="J337" i="17"/>
  <c r="K337" i="17"/>
  <c r="L337" i="17"/>
  <c r="M337" i="17"/>
  <c r="N337" i="17"/>
  <c r="D338" i="17"/>
  <c r="E338" i="17"/>
  <c r="F338" i="17"/>
  <c r="G338" i="17"/>
  <c r="H338" i="17"/>
  <c r="I338" i="17"/>
  <c r="J338" i="17"/>
  <c r="K338" i="17"/>
  <c r="L338" i="17"/>
  <c r="M338" i="17"/>
  <c r="N338" i="17"/>
  <c r="D339" i="17"/>
  <c r="E339" i="17"/>
  <c r="F339" i="17"/>
  <c r="G339" i="17"/>
  <c r="H339" i="17"/>
  <c r="I339" i="17"/>
  <c r="J339" i="17"/>
  <c r="K339" i="17"/>
  <c r="L339" i="17"/>
  <c r="M339" i="17"/>
  <c r="N339" i="17"/>
  <c r="D340" i="17"/>
  <c r="E340" i="17"/>
  <c r="F340" i="17"/>
  <c r="G340" i="17"/>
  <c r="H340" i="17"/>
  <c r="I340" i="17"/>
  <c r="J340" i="17"/>
  <c r="K340" i="17"/>
  <c r="L340" i="17"/>
  <c r="M340" i="17"/>
  <c r="N340" i="17"/>
  <c r="D343" i="17"/>
  <c r="E343" i="17"/>
  <c r="F343" i="17"/>
  <c r="G343" i="17"/>
  <c r="H343" i="17"/>
  <c r="I343" i="17"/>
  <c r="J343" i="17"/>
  <c r="K343" i="17"/>
  <c r="L343" i="17"/>
  <c r="M343" i="17"/>
  <c r="N343" i="17"/>
  <c r="D344" i="17"/>
  <c r="E344" i="17"/>
  <c r="F344" i="17"/>
  <c r="G344" i="17"/>
  <c r="H344" i="17"/>
  <c r="I344" i="17"/>
  <c r="J344" i="17"/>
  <c r="K344" i="17"/>
  <c r="L344" i="17"/>
  <c r="M344" i="17"/>
  <c r="N344" i="17"/>
  <c r="D345" i="17"/>
  <c r="E345" i="17"/>
  <c r="F345" i="17"/>
  <c r="G345" i="17"/>
  <c r="H345" i="17"/>
  <c r="I345" i="17"/>
  <c r="J345" i="17"/>
  <c r="K345" i="17"/>
  <c r="L345" i="17"/>
  <c r="M345" i="17"/>
  <c r="N345" i="17"/>
  <c r="D346" i="17"/>
  <c r="E346" i="17"/>
  <c r="F346" i="17"/>
  <c r="G346" i="17"/>
  <c r="H346" i="17"/>
  <c r="I346" i="17"/>
  <c r="J346" i="17"/>
  <c r="K346" i="17"/>
  <c r="L346" i="17"/>
  <c r="M346" i="17"/>
  <c r="N346" i="17"/>
  <c r="D347" i="17"/>
  <c r="E347" i="17"/>
  <c r="F347" i="17"/>
  <c r="G347" i="17"/>
  <c r="H347" i="17"/>
  <c r="I347" i="17"/>
  <c r="J347" i="17"/>
  <c r="K347" i="17"/>
  <c r="L347" i="17"/>
  <c r="M347" i="17"/>
  <c r="N347" i="17"/>
  <c r="D348" i="17"/>
  <c r="E348" i="17"/>
  <c r="F348" i="17"/>
  <c r="G348" i="17"/>
  <c r="H348" i="17"/>
  <c r="I348" i="17"/>
  <c r="J348" i="17"/>
  <c r="K348" i="17"/>
  <c r="L348" i="17"/>
  <c r="M348" i="17"/>
  <c r="N348" i="17"/>
  <c r="D349" i="17"/>
  <c r="E349" i="17"/>
  <c r="F349" i="17"/>
  <c r="G349" i="17"/>
  <c r="H349" i="17"/>
  <c r="I349" i="17"/>
  <c r="J349" i="17"/>
  <c r="K349" i="17"/>
  <c r="L349" i="17"/>
  <c r="M349" i="17"/>
  <c r="N349" i="17"/>
  <c r="D350" i="17"/>
  <c r="E350" i="17"/>
  <c r="F350" i="17"/>
  <c r="G350" i="17"/>
  <c r="H350" i="17"/>
  <c r="I350" i="17"/>
  <c r="J350" i="17"/>
  <c r="K350" i="17"/>
  <c r="L350" i="17"/>
  <c r="M350" i="17"/>
  <c r="N350" i="17"/>
  <c r="D351" i="17"/>
  <c r="E351" i="17"/>
  <c r="F351" i="17"/>
  <c r="G351" i="17"/>
  <c r="H351" i="17"/>
  <c r="I351" i="17"/>
  <c r="J351" i="17"/>
  <c r="K351" i="17"/>
  <c r="L351" i="17"/>
  <c r="M351" i="17"/>
  <c r="N351" i="17"/>
  <c r="D352" i="17"/>
  <c r="E352" i="17"/>
  <c r="F352" i="17"/>
  <c r="G352" i="17"/>
  <c r="H352" i="17"/>
  <c r="I352" i="17"/>
  <c r="J352" i="17"/>
  <c r="K352" i="17"/>
  <c r="L352" i="17"/>
  <c r="M352" i="17"/>
  <c r="N352" i="17"/>
  <c r="D353" i="17"/>
  <c r="E353" i="17"/>
  <c r="F353" i="17"/>
  <c r="G353" i="17"/>
  <c r="H353" i="17"/>
  <c r="I353" i="17"/>
  <c r="J353" i="17"/>
  <c r="K353" i="17"/>
  <c r="L353" i="17"/>
  <c r="M353" i="17"/>
  <c r="N353" i="17"/>
  <c r="D356" i="17"/>
  <c r="E356" i="17"/>
  <c r="F356" i="17"/>
  <c r="G356" i="17"/>
  <c r="H356" i="17"/>
  <c r="I356" i="17"/>
  <c r="J356" i="17"/>
  <c r="K356" i="17"/>
  <c r="L356" i="17"/>
  <c r="M356" i="17"/>
  <c r="N356" i="17"/>
  <c r="D357" i="17"/>
  <c r="E357" i="17"/>
  <c r="F357" i="17"/>
  <c r="G357" i="17"/>
  <c r="H357" i="17"/>
  <c r="I357" i="17"/>
  <c r="J357" i="17"/>
  <c r="K357" i="17"/>
  <c r="L357" i="17"/>
  <c r="M357" i="17"/>
  <c r="N357" i="17"/>
  <c r="D358" i="17"/>
  <c r="E358" i="17"/>
  <c r="F358" i="17"/>
  <c r="G358" i="17"/>
  <c r="H358" i="17"/>
  <c r="I358" i="17"/>
  <c r="J358" i="17"/>
  <c r="K358" i="17"/>
  <c r="L358" i="17"/>
  <c r="M358" i="17"/>
  <c r="N358" i="17"/>
  <c r="D359" i="17"/>
  <c r="E359" i="17"/>
  <c r="F359" i="17"/>
  <c r="G359" i="17"/>
  <c r="H359" i="17"/>
  <c r="I359" i="17"/>
  <c r="J359" i="17"/>
  <c r="K359" i="17"/>
  <c r="L359" i="17"/>
  <c r="M359" i="17"/>
  <c r="N359" i="17"/>
  <c r="D360" i="17"/>
  <c r="E360" i="17"/>
  <c r="F360" i="17"/>
  <c r="G360" i="17"/>
  <c r="H360" i="17"/>
  <c r="I360" i="17"/>
  <c r="J360" i="17"/>
  <c r="K360" i="17"/>
  <c r="L360" i="17"/>
  <c r="M360" i="17"/>
  <c r="N360" i="17"/>
  <c r="D361" i="17"/>
  <c r="E361" i="17"/>
  <c r="F361" i="17"/>
  <c r="G361" i="17"/>
  <c r="H361" i="17"/>
  <c r="I361" i="17"/>
  <c r="J361" i="17"/>
  <c r="K361" i="17"/>
  <c r="L361" i="17"/>
  <c r="M361" i="17"/>
  <c r="N361" i="17"/>
  <c r="D362" i="17"/>
  <c r="E362" i="17"/>
  <c r="F362" i="17"/>
  <c r="G362" i="17"/>
  <c r="H362" i="17"/>
  <c r="I362" i="17"/>
  <c r="J362" i="17"/>
  <c r="K362" i="17"/>
  <c r="L362" i="17"/>
  <c r="M362" i="17"/>
  <c r="N362" i="17"/>
  <c r="D363" i="17"/>
  <c r="E363" i="17"/>
  <c r="F363" i="17"/>
  <c r="G363" i="17"/>
  <c r="H363" i="17"/>
  <c r="I363" i="17"/>
  <c r="J363" i="17"/>
  <c r="K363" i="17"/>
  <c r="L363" i="17"/>
  <c r="M363" i="17"/>
  <c r="N363" i="17"/>
  <c r="D364" i="17"/>
  <c r="E364" i="17"/>
  <c r="F364" i="17"/>
  <c r="G364" i="17"/>
  <c r="H364" i="17"/>
  <c r="I364" i="17"/>
  <c r="J364" i="17"/>
  <c r="K364" i="17"/>
  <c r="L364" i="17"/>
  <c r="M364" i="17"/>
  <c r="N364" i="17"/>
  <c r="D365" i="17"/>
  <c r="E365" i="17"/>
  <c r="F365" i="17"/>
  <c r="G365" i="17"/>
  <c r="H365" i="17"/>
  <c r="I365" i="17"/>
  <c r="J365" i="17"/>
  <c r="K365" i="17"/>
  <c r="L365" i="17"/>
  <c r="M365" i="17"/>
  <c r="N365" i="17"/>
  <c r="D366" i="17"/>
  <c r="E366" i="17"/>
  <c r="F366" i="17"/>
  <c r="G366" i="17"/>
  <c r="H366" i="17"/>
  <c r="I366" i="17"/>
  <c r="J366" i="17"/>
  <c r="K366" i="17"/>
  <c r="L366" i="17"/>
  <c r="M366" i="17"/>
  <c r="N366" i="17"/>
  <c r="D369" i="17"/>
  <c r="E369" i="17"/>
  <c r="F369" i="17"/>
  <c r="G369" i="17"/>
  <c r="H369" i="17"/>
  <c r="I369" i="17"/>
  <c r="J369" i="17"/>
  <c r="K369" i="17"/>
  <c r="L369" i="17"/>
  <c r="M369" i="17"/>
  <c r="N369" i="17"/>
  <c r="D370" i="17"/>
  <c r="E370" i="17"/>
  <c r="F370" i="17"/>
  <c r="G370" i="17"/>
  <c r="H370" i="17"/>
  <c r="I370" i="17"/>
  <c r="J370" i="17"/>
  <c r="K370" i="17"/>
  <c r="L370" i="17"/>
  <c r="M370" i="17"/>
  <c r="N370" i="17"/>
  <c r="D371" i="17"/>
  <c r="E371" i="17"/>
  <c r="F371" i="17"/>
  <c r="G371" i="17"/>
  <c r="H371" i="17"/>
  <c r="I371" i="17"/>
  <c r="J371" i="17"/>
  <c r="K371" i="17"/>
  <c r="L371" i="17"/>
  <c r="M371" i="17"/>
  <c r="N371" i="17"/>
  <c r="D372" i="17"/>
  <c r="E372" i="17"/>
  <c r="F372" i="17"/>
  <c r="G372" i="17"/>
  <c r="H372" i="17"/>
  <c r="I372" i="17"/>
  <c r="J372" i="17"/>
  <c r="K372" i="17"/>
  <c r="L372" i="17"/>
  <c r="M372" i="17"/>
  <c r="N372" i="17"/>
  <c r="D373" i="17"/>
  <c r="E373" i="17"/>
  <c r="F373" i="17"/>
  <c r="G373" i="17"/>
  <c r="H373" i="17"/>
  <c r="I373" i="17"/>
  <c r="J373" i="17"/>
  <c r="K373" i="17"/>
  <c r="L373" i="17"/>
  <c r="M373" i="17"/>
  <c r="N373" i="17"/>
  <c r="D374" i="17"/>
  <c r="E374" i="17"/>
  <c r="F374" i="17"/>
  <c r="G374" i="17"/>
  <c r="H374" i="17"/>
  <c r="I374" i="17"/>
  <c r="J374" i="17"/>
  <c r="K374" i="17"/>
  <c r="L374" i="17"/>
  <c r="M374" i="17"/>
  <c r="N374" i="17"/>
  <c r="D375" i="17"/>
  <c r="E375" i="17"/>
  <c r="F375" i="17"/>
  <c r="G375" i="17"/>
  <c r="H375" i="17"/>
  <c r="I375" i="17"/>
  <c r="J375" i="17"/>
  <c r="K375" i="17"/>
  <c r="L375" i="17"/>
  <c r="M375" i="17"/>
  <c r="N375" i="17"/>
  <c r="D376" i="17"/>
  <c r="E376" i="17"/>
  <c r="F376" i="17"/>
  <c r="G376" i="17"/>
  <c r="H376" i="17"/>
  <c r="I376" i="17"/>
  <c r="J376" i="17"/>
  <c r="K376" i="17"/>
  <c r="L376" i="17"/>
  <c r="M376" i="17"/>
  <c r="N376" i="17"/>
  <c r="D377" i="17"/>
  <c r="E377" i="17"/>
  <c r="F377" i="17"/>
  <c r="G377" i="17"/>
  <c r="H377" i="17"/>
  <c r="I377" i="17"/>
  <c r="J377" i="17"/>
  <c r="K377" i="17"/>
  <c r="L377" i="17"/>
  <c r="M377" i="17"/>
  <c r="N377" i="17"/>
  <c r="D378" i="17"/>
  <c r="E378" i="17"/>
  <c r="F378" i="17"/>
  <c r="G378" i="17"/>
  <c r="H378" i="17"/>
  <c r="I378" i="17"/>
  <c r="J378" i="17"/>
  <c r="K378" i="17"/>
  <c r="L378" i="17"/>
  <c r="M378" i="17"/>
  <c r="N378" i="17"/>
  <c r="D379" i="17"/>
  <c r="E379" i="17"/>
  <c r="F379" i="17"/>
  <c r="G379" i="17"/>
  <c r="H379" i="17"/>
  <c r="I379" i="17"/>
  <c r="J379" i="17"/>
  <c r="K379" i="17"/>
  <c r="L379" i="17"/>
  <c r="M379" i="17"/>
  <c r="N379" i="17"/>
  <c r="D381" i="17"/>
  <c r="E381" i="17"/>
  <c r="F381" i="17"/>
  <c r="G381" i="17"/>
  <c r="H381" i="17"/>
  <c r="I381" i="17"/>
  <c r="J381" i="17"/>
  <c r="K381" i="17"/>
  <c r="L381" i="17"/>
  <c r="M381" i="17"/>
  <c r="N381" i="17"/>
  <c r="D382" i="17"/>
  <c r="E382" i="17"/>
  <c r="F382" i="17"/>
  <c r="G382" i="17"/>
  <c r="H382" i="17"/>
  <c r="I382" i="17"/>
  <c r="J382" i="17"/>
  <c r="K382" i="17"/>
  <c r="L382" i="17"/>
  <c r="M382" i="17"/>
  <c r="N382" i="17"/>
  <c r="D383" i="17"/>
  <c r="E383" i="17"/>
  <c r="F383" i="17"/>
  <c r="G383" i="17"/>
  <c r="H383" i="17"/>
  <c r="I383" i="17"/>
  <c r="J383" i="17"/>
  <c r="K383" i="17"/>
  <c r="L383" i="17"/>
  <c r="M383" i="17"/>
  <c r="N383" i="17"/>
  <c r="D384" i="17"/>
  <c r="E384" i="17"/>
  <c r="F384" i="17"/>
  <c r="G384" i="17"/>
  <c r="H384" i="17"/>
  <c r="I384" i="17"/>
  <c r="J384" i="17"/>
  <c r="K384" i="17"/>
  <c r="L384" i="17"/>
  <c r="M384" i="17"/>
  <c r="N384" i="17"/>
  <c r="D385" i="17"/>
  <c r="E385" i="17"/>
  <c r="F385" i="17"/>
  <c r="G385" i="17"/>
  <c r="H385" i="17"/>
  <c r="I385" i="17"/>
  <c r="J385" i="17"/>
  <c r="K385" i="17"/>
  <c r="L385" i="17"/>
  <c r="M385" i="17"/>
  <c r="N385" i="17"/>
  <c r="D395" i="17"/>
  <c r="E395" i="17"/>
  <c r="F395" i="17"/>
  <c r="G395" i="17"/>
  <c r="H395" i="17"/>
  <c r="I395" i="17"/>
  <c r="J395" i="17"/>
  <c r="K395" i="17"/>
  <c r="L395" i="17"/>
  <c r="M395" i="17"/>
  <c r="N395" i="17"/>
  <c r="D396" i="17"/>
  <c r="E396" i="17"/>
  <c r="F396" i="17"/>
  <c r="G396" i="17"/>
  <c r="H396" i="17"/>
  <c r="I396" i="17"/>
  <c r="J396" i="17"/>
  <c r="K396" i="17"/>
  <c r="L396" i="17"/>
  <c r="M396" i="17"/>
  <c r="N396" i="17"/>
  <c r="D397" i="17"/>
  <c r="E397" i="17"/>
  <c r="F397" i="17"/>
  <c r="G397" i="17"/>
  <c r="H397" i="17"/>
  <c r="I397" i="17"/>
  <c r="J397" i="17"/>
  <c r="K397" i="17"/>
  <c r="L397" i="17"/>
  <c r="M397" i="17"/>
  <c r="N397" i="17"/>
  <c r="D398" i="17"/>
  <c r="E398" i="17"/>
  <c r="F398" i="17"/>
  <c r="G398" i="17"/>
  <c r="H398" i="17"/>
  <c r="I398" i="17"/>
  <c r="J398" i="17"/>
  <c r="K398" i="17"/>
  <c r="L398" i="17"/>
  <c r="M398" i="17"/>
  <c r="N398" i="17"/>
  <c r="D399" i="17"/>
  <c r="E399" i="17"/>
  <c r="F399" i="17"/>
  <c r="G399" i="17"/>
  <c r="H399" i="17"/>
  <c r="I399" i="17"/>
  <c r="J399" i="17"/>
  <c r="K399" i="17"/>
  <c r="L399" i="17"/>
  <c r="M399" i="17"/>
  <c r="N399" i="17"/>
  <c r="D400" i="17"/>
  <c r="E400" i="17"/>
  <c r="F400" i="17"/>
  <c r="G400" i="17"/>
  <c r="H400" i="17"/>
  <c r="I400" i="17"/>
  <c r="J400" i="17"/>
  <c r="K400" i="17"/>
  <c r="L400" i="17"/>
  <c r="M400" i="17"/>
  <c r="N400" i="17"/>
  <c r="D401" i="17"/>
  <c r="E401" i="17"/>
  <c r="F401" i="17"/>
  <c r="G401" i="17"/>
  <c r="H401" i="17"/>
  <c r="I401" i="17"/>
  <c r="J401" i="17"/>
  <c r="K401" i="17"/>
  <c r="L401" i="17"/>
  <c r="M401" i="17"/>
  <c r="N401" i="17"/>
  <c r="D402" i="17"/>
  <c r="E402" i="17"/>
  <c r="F402" i="17"/>
  <c r="G402" i="17"/>
  <c r="H402" i="17"/>
  <c r="I402" i="17"/>
  <c r="J402" i="17"/>
  <c r="K402" i="17"/>
  <c r="L402" i="17"/>
  <c r="M402" i="17"/>
  <c r="N402" i="17"/>
  <c r="D403" i="17"/>
  <c r="E403" i="17"/>
  <c r="F403" i="17"/>
  <c r="G403" i="17"/>
  <c r="H403" i="17"/>
  <c r="I403" i="17"/>
  <c r="J403" i="17"/>
  <c r="K403" i="17"/>
  <c r="L403" i="17"/>
  <c r="M403" i="17"/>
  <c r="N403" i="17"/>
  <c r="D404" i="17"/>
  <c r="E404" i="17"/>
  <c r="F404" i="17"/>
  <c r="G404" i="17"/>
  <c r="H404" i="17"/>
  <c r="I404" i="17"/>
  <c r="J404" i="17"/>
  <c r="K404" i="17"/>
  <c r="L404" i="17"/>
  <c r="M404" i="17"/>
  <c r="N404" i="17"/>
  <c r="D405" i="17"/>
  <c r="E405" i="17"/>
  <c r="F405" i="17"/>
  <c r="G405" i="17"/>
  <c r="H405" i="17"/>
  <c r="I405" i="17"/>
  <c r="J405" i="17"/>
  <c r="K405" i="17"/>
  <c r="L405" i="17"/>
  <c r="M405" i="17"/>
  <c r="N405" i="17"/>
  <c r="D407" i="17"/>
  <c r="E407" i="17"/>
  <c r="F407" i="17"/>
  <c r="G407" i="17"/>
  <c r="H407" i="17"/>
  <c r="I407" i="17"/>
  <c r="J407" i="17"/>
  <c r="K407" i="17"/>
  <c r="L407" i="17"/>
  <c r="M407" i="17"/>
  <c r="N407" i="17"/>
  <c r="D408" i="17"/>
  <c r="E408" i="17"/>
  <c r="F408" i="17"/>
  <c r="G408" i="17"/>
  <c r="H408" i="17"/>
  <c r="I408" i="17"/>
  <c r="J408" i="17"/>
  <c r="K408" i="17"/>
  <c r="L408" i="17"/>
  <c r="M408" i="17"/>
  <c r="N408" i="17"/>
  <c r="D409" i="17"/>
  <c r="E409" i="17"/>
  <c r="F409" i="17"/>
  <c r="G409" i="17"/>
  <c r="H409" i="17"/>
  <c r="I409" i="17"/>
  <c r="J409" i="17"/>
  <c r="K409" i="17"/>
  <c r="L409" i="17"/>
  <c r="M409" i="17"/>
  <c r="N409" i="17"/>
  <c r="D410" i="17"/>
  <c r="E410" i="17"/>
  <c r="F410" i="17"/>
  <c r="G410" i="17"/>
  <c r="H410" i="17"/>
  <c r="I410" i="17"/>
  <c r="J410" i="17"/>
  <c r="K410" i="17"/>
  <c r="L410" i="17"/>
  <c r="M410" i="17"/>
  <c r="N410" i="17"/>
  <c r="D411" i="17"/>
  <c r="E411" i="17"/>
  <c r="F411" i="17"/>
  <c r="G411" i="17"/>
  <c r="H411" i="17"/>
  <c r="I411" i="17"/>
  <c r="J411" i="17"/>
  <c r="K411" i="17"/>
  <c r="L411" i="17"/>
  <c r="M411" i="17"/>
  <c r="N411" i="17"/>
  <c r="D421" i="17"/>
  <c r="E421" i="17"/>
  <c r="F421" i="17"/>
  <c r="G421" i="17"/>
  <c r="H421" i="17"/>
  <c r="I421" i="17"/>
  <c r="J421" i="17"/>
  <c r="K421" i="17"/>
  <c r="L421" i="17"/>
  <c r="M421" i="17"/>
  <c r="N421" i="17"/>
  <c r="D422" i="17"/>
  <c r="E422" i="17"/>
  <c r="F422" i="17"/>
  <c r="G422" i="17"/>
  <c r="H422" i="17"/>
  <c r="I422" i="17"/>
  <c r="J422" i="17"/>
  <c r="K422" i="17"/>
  <c r="L422" i="17"/>
  <c r="M422" i="17"/>
  <c r="N422" i="17"/>
  <c r="D423" i="17"/>
  <c r="E423" i="17"/>
  <c r="F423" i="17"/>
  <c r="G423" i="17"/>
  <c r="H423" i="17"/>
  <c r="I423" i="17"/>
  <c r="J423" i="17"/>
  <c r="K423" i="17"/>
  <c r="L423" i="17"/>
  <c r="M423" i="17"/>
  <c r="N423" i="17"/>
  <c r="D424" i="17"/>
  <c r="E424" i="17"/>
  <c r="F424" i="17"/>
  <c r="G424" i="17"/>
  <c r="H424" i="17"/>
  <c r="I424" i="17"/>
  <c r="J424" i="17"/>
  <c r="K424" i="17"/>
  <c r="L424" i="17"/>
  <c r="M424" i="17"/>
  <c r="N424" i="17"/>
  <c r="D425" i="17"/>
  <c r="E425" i="17"/>
  <c r="F425" i="17"/>
  <c r="G425" i="17"/>
  <c r="H425" i="17"/>
  <c r="I425" i="17"/>
  <c r="J425" i="17"/>
  <c r="K425" i="17"/>
  <c r="L425" i="17"/>
  <c r="M425" i="17"/>
  <c r="N425" i="17"/>
  <c r="D426" i="17"/>
  <c r="E426" i="17"/>
  <c r="F426" i="17"/>
  <c r="G426" i="17"/>
  <c r="H426" i="17"/>
  <c r="I426" i="17"/>
  <c r="J426" i="17"/>
  <c r="K426" i="17"/>
  <c r="L426" i="17"/>
  <c r="M426" i="17"/>
  <c r="N426" i="17"/>
  <c r="D427" i="17"/>
  <c r="E427" i="17"/>
  <c r="F427" i="17"/>
  <c r="G427" i="17"/>
  <c r="H427" i="17"/>
  <c r="I427" i="17"/>
  <c r="J427" i="17"/>
  <c r="K427" i="17"/>
  <c r="L427" i="17"/>
  <c r="M427" i="17"/>
  <c r="N427" i="17"/>
  <c r="D428" i="17"/>
  <c r="E428" i="17"/>
  <c r="F428" i="17"/>
  <c r="G428" i="17"/>
  <c r="H428" i="17"/>
  <c r="I428" i="17"/>
  <c r="J428" i="17"/>
  <c r="K428" i="17"/>
  <c r="L428" i="17"/>
  <c r="M428" i="17"/>
  <c r="N428" i="17"/>
  <c r="D429" i="17"/>
  <c r="E429" i="17"/>
  <c r="F429" i="17"/>
  <c r="G429" i="17"/>
  <c r="H429" i="17"/>
  <c r="I429" i="17"/>
  <c r="J429" i="17"/>
  <c r="K429" i="17"/>
  <c r="L429" i="17"/>
  <c r="M429" i="17"/>
  <c r="N429" i="17"/>
  <c r="D430" i="17"/>
  <c r="E430" i="17"/>
  <c r="F430" i="17"/>
  <c r="G430" i="17"/>
  <c r="H430" i="17"/>
  <c r="I430" i="17"/>
  <c r="J430" i="17"/>
  <c r="K430" i="17"/>
  <c r="L430" i="17"/>
  <c r="M430" i="17"/>
  <c r="N430" i="17"/>
  <c r="D431" i="17"/>
  <c r="E431" i="17"/>
  <c r="F431" i="17"/>
  <c r="G431" i="17"/>
  <c r="H431" i="17"/>
  <c r="I431" i="17"/>
  <c r="J431" i="17"/>
  <c r="K431" i="17"/>
  <c r="L431" i="17"/>
  <c r="M431" i="17"/>
  <c r="N431" i="17"/>
  <c r="D434" i="17"/>
  <c r="E434" i="17"/>
  <c r="F434" i="17"/>
  <c r="G434" i="17"/>
  <c r="H434" i="17"/>
  <c r="I434" i="17"/>
  <c r="J434" i="17"/>
  <c r="K434" i="17"/>
  <c r="L434" i="17"/>
  <c r="M434" i="17"/>
  <c r="N434" i="17"/>
  <c r="D435" i="17"/>
  <c r="E435" i="17"/>
  <c r="F435" i="17"/>
  <c r="G435" i="17"/>
  <c r="H435" i="17"/>
  <c r="I435" i="17"/>
  <c r="J435" i="17"/>
  <c r="K435" i="17"/>
  <c r="L435" i="17"/>
  <c r="M435" i="17"/>
  <c r="N435" i="17"/>
  <c r="D436" i="17"/>
  <c r="E436" i="17"/>
  <c r="F436" i="17"/>
  <c r="G436" i="17"/>
  <c r="H436" i="17"/>
  <c r="I436" i="17"/>
  <c r="J436" i="17"/>
  <c r="K436" i="17"/>
  <c r="L436" i="17"/>
  <c r="M436" i="17"/>
  <c r="N436" i="17"/>
  <c r="D437" i="17"/>
  <c r="E437" i="17"/>
  <c r="F437" i="17"/>
  <c r="G437" i="17"/>
  <c r="H437" i="17"/>
  <c r="I437" i="17"/>
  <c r="J437" i="17"/>
  <c r="K437" i="17"/>
  <c r="L437" i="17"/>
  <c r="M437" i="17"/>
  <c r="N437" i="17"/>
  <c r="D438" i="17"/>
  <c r="E438" i="17"/>
  <c r="F438" i="17"/>
  <c r="G438" i="17"/>
  <c r="H438" i="17"/>
  <c r="I438" i="17"/>
  <c r="J438" i="17"/>
  <c r="K438" i="17"/>
  <c r="L438" i="17"/>
  <c r="M438" i="17"/>
  <c r="N438" i="17"/>
  <c r="D439" i="17"/>
  <c r="E439" i="17"/>
  <c r="F439" i="17"/>
  <c r="G439" i="17"/>
  <c r="H439" i="17"/>
  <c r="I439" i="17"/>
  <c r="J439" i="17"/>
  <c r="K439" i="17"/>
  <c r="L439" i="17"/>
  <c r="M439" i="17"/>
  <c r="N439" i="17"/>
  <c r="D440" i="17"/>
  <c r="E440" i="17"/>
  <c r="F440" i="17"/>
  <c r="G440" i="17"/>
  <c r="H440" i="17"/>
  <c r="I440" i="17"/>
  <c r="J440" i="17"/>
  <c r="K440" i="17"/>
  <c r="L440" i="17"/>
  <c r="M440" i="17"/>
  <c r="N440" i="17"/>
  <c r="D441" i="17"/>
  <c r="E441" i="17"/>
  <c r="F441" i="17"/>
  <c r="G441" i="17"/>
  <c r="H441" i="17"/>
  <c r="I441" i="17"/>
  <c r="J441" i="17"/>
  <c r="K441" i="17"/>
  <c r="L441" i="17"/>
  <c r="M441" i="17"/>
  <c r="N441" i="17"/>
  <c r="D442" i="17"/>
  <c r="E442" i="17"/>
  <c r="F442" i="17"/>
  <c r="G442" i="17"/>
  <c r="H442" i="17"/>
  <c r="I442" i="17"/>
  <c r="J442" i="17"/>
  <c r="K442" i="17"/>
  <c r="L442" i="17"/>
  <c r="M442" i="17"/>
  <c r="N442" i="17"/>
  <c r="D443" i="17"/>
  <c r="E443" i="17"/>
  <c r="F443" i="17"/>
  <c r="G443" i="17"/>
  <c r="H443" i="17"/>
  <c r="I443" i="17"/>
  <c r="J443" i="17"/>
  <c r="K443" i="17"/>
  <c r="L443" i="17"/>
  <c r="M443" i="17"/>
  <c r="N443" i="17"/>
  <c r="D444" i="17"/>
  <c r="E444" i="17"/>
  <c r="F444" i="17"/>
  <c r="G444" i="17"/>
  <c r="H444" i="17"/>
  <c r="I444" i="17"/>
  <c r="J444" i="17"/>
  <c r="K444" i="17"/>
  <c r="L444" i="17"/>
  <c r="M444" i="17"/>
  <c r="N444" i="17"/>
  <c r="D446" i="17"/>
  <c r="E446" i="17"/>
  <c r="F446" i="17"/>
  <c r="G446" i="17"/>
  <c r="H446" i="17"/>
  <c r="I446" i="17"/>
  <c r="J446" i="17"/>
  <c r="K446" i="17"/>
  <c r="L446" i="17"/>
  <c r="M446" i="17"/>
  <c r="N446" i="17"/>
  <c r="D447" i="17"/>
  <c r="E447" i="17"/>
  <c r="F447" i="17"/>
  <c r="G447" i="17"/>
  <c r="H447" i="17"/>
  <c r="I447" i="17"/>
  <c r="J447" i="17"/>
  <c r="K447" i="17"/>
  <c r="L447" i="17"/>
  <c r="M447" i="17"/>
  <c r="N447" i="17"/>
  <c r="D448" i="17"/>
  <c r="E448" i="17"/>
  <c r="F448" i="17"/>
  <c r="G448" i="17"/>
  <c r="H448" i="17"/>
  <c r="I448" i="17"/>
  <c r="J448" i="17"/>
  <c r="K448" i="17"/>
  <c r="L448" i="17"/>
  <c r="M448" i="17"/>
  <c r="N448" i="17"/>
  <c r="D449" i="17"/>
  <c r="E449" i="17"/>
  <c r="F449" i="17"/>
  <c r="G449" i="17"/>
  <c r="H449" i="17"/>
  <c r="I449" i="17"/>
  <c r="J449" i="17"/>
  <c r="K449" i="17"/>
  <c r="L449" i="17"/>
  <c r="M449" i="17"/>
  <c r="N449" i="17"/>
  <c r="D450" i="17"/>
  <c r="E450" i="17"/>
  <c r="F450" i="17"/>
  <c r="G450" i="17"/>
  <c r="H450" i="17"/>
  <c r="I450" i="17"/>
  <c r="J450" i="17"/>
  <c r="K450" i="17"/>
  <c r="L450" i="17"/>
  <c r="M450" i="17"/>
  <c r="N450" i="17"/>
  <c r="D460" i="17"/>
  <c r="E460" i="17"/>
  <c r="F460" i="17"/>
  <c r="G460" i="17"/>
  <c r="H460" i="17"/>
  <c r="I460" i="17"/>
  <c r="J460" i="17"/>
  <c r="K460" i="17"/>
  <c r="L460" i="17"/>
  <c r="M460" i="17"/>
  <c r="N460" i="17"/>
  <c r="D461" i="17"/>
  <c r="E461" i="17"/>
  <c r="F461" i="17"/>
  <c r="G461" i="17"/>
  <c r="H461" i="17"/>
  <c r="I461" i="17"/>
  <c r="J461" i="17"/>
  <c r="K461" i="17"/>
  <c r="L461" i="17"/>
  <c r="M461" i="17"/>
  <c r="N461" i="17"/>
  <c r="D462" i="17"/>
  <c r="E462" i="17"/>
  <c r="F462" i="17"/>
  <c r="G462" i="17"/>
  <c r="H462" i="17"/>
  <c r="I462" i="17"/>
  <c r="J462" i="17"/>
  <c r="K462" i="17"/>
  <c r="L462" i="17"/>
  <c r="M462" i="17"/>
  <c r="N462" i="17"/>
  <c r="D463" i="17"/>
  <c r="E463" i="17"/>
  <c r="F463" i="17"/>
  <c r="G463" i="17"/>
  <c r="H463" i="17"/>
  <c r="I463" i="17"/>
  <c r="J463" i="17"/>
  <c r="K463" i="17"/>
  <c r="L463" i="17"/>
  <c r="M463" i="17"/>
  <c r="N463" i="17"/>
  <c r="D464" i="17"/>
  <c r="E464" i="17"/>
  <c r="F464" i="17"/>
  <c r="G464" i="17"/>
  <c r="H464" i="17"/>
  <c r="I464" i="17"/>
  <c r="J464" i="17"/>
  <c r="K464" i="17"/>
  <c r="L464" i="17"/>
  <c r="M464" i="17"/>
  <c r="N464" i="17"/>
  <c r="D465" i="17"/>
  <c r="E465" i="17"/>
  <c r="F465" i="17"/>
  <c r="G465" i="17"/>
  <c r="H465" i="17"/>
  <c r="I465" i="17"/>
  <c r="J465" i="17"/>
  <c r="K465" i="17"/>
  <c r="L465" i="17"/>
  <c r="M465" i="17"/>
  <c r="N465" i="17"/>
  <c r="D466" i="17"/>
  <c r="E466" i="17"/>
  <c r="F466" i="17"/>
  <c r="G466" i="17"/>
  <c r="H466" i="17"/>
  <c r="I466" i="17"/>
  <c r="J466" i="17"/>
  <c r="K466" i="17"/>
  <c r="L466" i="17"/>
  <c r="M466" i="17"/>
  <c r="N466" i="17"/>
  <c r="D467" i="17"/>
  <c r="E467" i="17"/>
  <c r="F467" i="17"/>
  <c r="G467" i="17"/>
  <c r="H467" i="17"/>
  <c r="I467" i="17"/>
  <c r="J467" i="17"/>
  <c r="K467" i="17"/>
  <c r="L467" i="17"/>
  <c r="M467" i="17"/>
  <c r="N467" i="17"/>
  <c r="D468" i="17"/>
  <c r="E468" i="17"/>
  <c r="F468" i="17"/>
  <c r="G468" i="17"/>
  <c r="H468" i="17"/>
  <c r="I468" i="17"/>
  <c r="J468" i="17"/>
  <c r="K468" i="17"/>
  <c r="L468" i="17"/>
  <c r="M468" i="17"/>
  <c r="N468" i="17"/>
  <c r="D469" i="17"/>
  <c r="E469" i="17"/>
  <c r="F469" i="17"/>
  <c r="G469" i="17"/>
  <c r="H469" i="17"/>
  <c r="I469" i="17"/>
  <c r="J469" i="17"/>
  <c r="K469" i="17"/>
  <c r="L469" i="17"/>
  <c r="M469" i="17"/>
  <c r="N469" i="17"/>
  <c r="D470" i="17"/>
  <c r="E470" i="17"/>
  <c r="F470" i="17"/>
  <c r="G470" i="17"/>
  <c r="H470" i="17"/>
  <c r="I470" i="17"/>
  <c r="J470" i="17"/>
  <c r="K470" i="17"/>
  <c r="L470" i="17"/>
  <c r="M470" i="17"/>
  <c r="N470" i="17"/>
  <c r="D539" i="17"/>
  <c r="E539" i="17"/>
  <c r="F539" i="17"/>
  <c r="G539" i="17"/>
  <c r="H539" i="17"/>
  <c r="I539" i="17"/>
  <c r="J539" i="17"/>
  <c r="K539" i="17"/>
  <c r="L539" i="17"/>
  <c r="M539" i="17"/>
  <c r="N539" i="17"/>
  <c r="D540" i="17"/>
  <c r="E540" i="17"/>
  <c r="F540" i="17"/>
  <c r="G540" i="17"/>
  <c r="H540" i="17"/>
  <c r="I540" i="17"/>
  <c r="J540" i="17"/>
  <c r="K540" i="17"/>
  <c r="L540" i="17"/>
  <c r="M540" i="17"/>
  <c r="N540" i="17"/>
  <c r="D541" i="17"/>
  <c r="E541" i="17"/>
  <c r="F541" i="17"/>
  <c r="G541" i="17"/>
  <c r="H541" i="17"/>
  <c r="I541" i="17"/>
  <c r="J541" i="17"/>
  <c r="K541" i="17"/>
  <c r="L541" i="17"/>
  <c r="M541" i="17"/>
  <c r="N541" i="17"/>
  <c r="D542" i="17"/>
  <c r="E542" i="17"/>
  <c r="F542" i="17"/>
  <c r="G542" i="17"/>
  <c r="H542" i="17"/>
  <c r="I542" i="17"/>
  <c r="J542" i="17"/>
  <c r="K542" i="17"/>
  <c r="L542" i="17"/>
  <c r="M542" i="17"/>
  <c r="N542" i="17"/>
  <c r="D543" i="17"/>
  <c r="E543" i="17"/>
  <c r="F543" i="17"/>
  <c r="G543" i="17"/>
  <c r="H543" i="17"/>
  <c r="I543" i="17"/>
  <c r="J543" i="17"/>
  <c r="K543" i="17"/>
  <c r="L543" i="17"/>
  <c r="M543" i="17"/>
  <c r="N543" i="17"/>
  <c r="F546" i="17"/>
  <c r="G547" i="17"/>
  <c r="H548" i="17"/>
  <c r="I549" i="17"/>
  <c r="J550" i="17"/>
  <c r="K551" i="17"/>
  <c r="L552" i="17"/>
  <c r="M553" i="17"/>
  <c r="N554" i="17"/>
  <c r="D565" i="17"/>
  <c r="D546" i="17" s="1"/>
  <c r="E565" i="17"/>
  <c r="E546" i="17" s="1"/>
  <c r="F565" i="17"/>
  <c r="G565" i="17"/>
  <c r="H565" i="17"/>
  <c r="H546" i="17" s="1"/>
  <c r="I565" i="17"/>
  <c r="I546" i="17" s="1"/>
  <c r="J565" i="17"/>
  <c r="J546" i="17" s="1"/>
  <c r="K565" i="17"/>
  <c r="K546" i="17" s="1"/>
  <c r="L565" i="17"/>
  <c r="L546" i="17" s="1"/>
  <c r="M565" i="17"/>
  <c r="N565" i="17"/>
  <c r="N546" i="17" s="1"/>
  <c r="D566" i="17"/>
  <c r="D547" i="17" s="1"/>
  <c r="E566" i="17"/>
  <c r="E547" i="17" s="1"/>
  <c r="F566" i="17"/>
  <c r="F547" i="17" s="1"/>
  <c r="G566" i="17"/>
  <c r="H566" i="17"/>
  <c r="I566" i="17"/>
  <c r="I547" i="17" s="1"/>
  <c r="J566" i="17"/>
  <c r="J547" i="17" s="1"/>
  <c r="K566" i="17"/>
  <c r="K547" i="17" s="1"/>
  <c r="L566" i="17"/>
  <c r="L547" i="17" s="1"/>
  <c r="M566" i="17"/>
  <c r="M547" i="17" s="1"/>
  <c r="N566" i="17"/>
  <c r="D567" i="17"/>
  <c r="D548" i="17" s="1"/>
  <c r="E567" i="17"/>
  <c r="E548" i="17" s="1"/>
  <c r="F567" i="17"/>
  <c r="F548" i="17" s="1"/>
  <c r="G567" i="17"/>
  <c r="G548" i="17" s="1"/>
  <c r="H567" i="17"/>
  <c r="I567" i="17"/>
  <c r="J567" i="17"/>
  <c r="J548" i="17" s="1"/>
  <c r="K567" i="17"/>
  <c r="K548" i="17" s="1"/>
  <c r="L567" i="17"/>
  <c r="L548" i="17" s="1"/>
  <c r="M567" i="17"/>
  <c r="M548" i="17" s="1"/>
  <c r="N567" i="17"/>
  <c r="N548" i="17" s="1"/>
  <c r="D568" i="17"/>
  <c r="E568" i="17"/>
  <c r="E549" i="17" s="1"/>
  <c r="F568" i="17"/>
  <c r="F549" i="17" s="1"/>
  <c r="G568" i="17"/>
  <c r="G549" i="17" s="1"/>
  <c r="H568" i="17"/>
  <c r="H549" i="17" s="1"/>
  <c r="I568" i="17"/>
  <c r="J568" i="17"/>
  <c r="K568" i="17"/>
  <c r="K549" i="17" s="1"/>
  <c r="L568" i="17"/>
  <c r="L549" i="17" s="1"/>
  <c r="M568" i="17"/>
  <c r="M549" i="17" s="1"/>
  <c r="N568" i="17"/>
  <c r="N549" i="17" s="1"/>
  <c r="D569" i="17"/>
  <c r="D550" i="17" s="1"/>
  <c r="E569" i="17"/>
  <c r="F569" i="17"/>
  <c r="F550" i="17" s="1"/>
  <c r="G569" i="17"/>
  <c r="G550" i="17" s="1"/>
  <c r="H569" i="17"/>
  <c r="H550" i="17" s="1"/>
  <c r="I569" i="17"/>
  <c r="I550" i="17" s="1"/>
  <c r="J569" i="17"/>
  <c r="K569" i="17"/>
  <c r="L569" i="17"/>
  <c r="L550" i="17" s="1"/>
  <c r="M569" i="17"/>
  <c r="M550" i="17" s="1"/>
  <c r="N569" i="17"/>
  <c r="N550" i="17" s="1"/>
  <c r="D570" i="17"/>
  <c r="D551" i="17" s="1"/>
  <c r="E570" i="17"/>
  <c r="E551" i="17" s="1"/>
  <c r="F570" i="17"/>
  <c r="G570" i="17"/>
  <c r="G551" i="17" s="1"/>
  <c r="H570" i="17"/>
  <c r="H551" i="17" s="1"/>
  <c r="I570" i="17"/>
  <c r="I551" i="17" s="1"/>
  <c r="J570" i="17"/>
  <c r="J551" i="17" s="1"/>
  <c r="K570" i="17"/>
  <c r="L570" i="17"/>
  <c r="M570" i="17"/>
  <c r="M551" i="17" s="1"/>
  <c r="N570" i="17"/>
  <c r="N551" i="17" s="1"/>
  <c r="D571" i="17"/>
  <c r="D552" i="17" s="1"/>
  <c r="E571" i="17"/>
  <c r="E552" i="17" s="1"/>
  <c r="F571" i="17"/>
  <c r="F552" i="17" s="1"/>
  <c r="G571" i="17"/>
  <c r="H571" i="17"/>
  <c r="H552" i="17" s="1"/>
  <c r="I571" i="17"/>
  <c r="I552" i="17" s="1"/>
  <c r="J571" i="17"/>
  <c r="J552" i="17" s="1"/>
  <c r="K571" i="17"/>
  <c r="K552" i="17" s="1"/>
  <c r="L571" i="17"/>
  <c r="M571" i="17"/>
  <c r="N571" i="17"/>
  <c r="N552" i="17" s="1"/>
  <c r="D572" i="17"/>
  <c r="D553" i="17" s="1"/>
  <c r="E572" i="17"/>
  <c r="E553" i="17" s="1"/>
  <c r="F572" i="17"/>
  <c r="F553" i="17" s="1"/>
  <c r="G572" i="17"/>
  <c r="G553" i="17" s="1"/>
  <c r="H572" i="17"/>
  <c r="I572" i="17"/>
  <c r="I553" i="17" s="1"/>
  <c r="J572" i="17"/>
  <c r="J553" i="17" s="1"/>
  <c r="K572" i="17"/>
  <c r="K553" i="17" s="1"/>
  <c r="L572" i="17"/>
  <c r="L553" i="17" s="1"/>
  <c r="M572" i="17"/>
  <c r="N572" i="17"/>
  <c r="D573" i="17"/>
  <c r="D554" i="17" s="1"/>
  <c r="E573" i="17"/>
  <c r="E554" i="17" s="1"/>
  <c r="F573" i="17"/>
  <c r="F554" i="17" s="1"/>
  <c r="G573" i="17"/>
  <c r="G554" i="17" s="1"/>
  <c r="H573" i="17"/>
  <c r="H554" i="17" s="1"/>
  <c r="I573" i="17"/>
  <c r="J573" i="17"/>
  <c r="J554" i="17" s="1"/>
  <c r="K573" i="17"/>
  <c r="K554" i="17" s="1"/>
  <c r="L573" i="17"/>
  <c r="L554" i="17" s="1"/>
  <c r="M573" i="17"/>
  <c r="M554" i="17" s="1"/>
  <c r="N573" i="17"/>
  <c r="D574" i="17"/>
  <c r="E574" i="17"/>
  <c r="E555" i="17" s="1"/>
  <c r="F574" i="17"/>
  <c r="F555" i="17" s="1"/>
  <c r="G574" i="17"/>
  <c r="G555" i="17" s="1"/>
  <c r="H574" i="17"/>
  <c r="H555" i="17" s="1"/>
  <c r="I574" i="17"/>
  <c r="I555" i="17" s="1"/>
  <c r="J574" i="17"/>
  <c r="K574" i="17"/>
  <c r="K555" i="17" s="1"/>
  <c r="L574" i="17"/>
  <c r="L555" i="17" s="1"/>
  <c r="M574" i="17"/>
  <c r="M555" i="17" s="1"/>
  <c r="N574" i="17"/>
  <c r="N555" i="17" s="1"/>
  <c r="D575" i="17"/>
  <c r="E575" i="17"/>
  <c r="F575" i="17"/>
  <c r="F556" i="17" s="1"/>
  <c r="G575" i="17"/>
  <c r="G556" i="17" s="1"/>
  <c r="H575" i="17"/>
  <c r="H556" i="17" s="1"/>
  <c r="I575" i="17"/>
  <c r="I556" i="17" s="1"/>
  <c r="J575" i="17"/>
  <c r="J556" i="17" s="1"/>
  <c r="K575" i="17"/>
  <c r="L575" i="17"/>
  <c r="L556" i="17" s="1"/>
  <c r="M575" i="17"/>
  <c r="M556" i="17" s="1"/>
  <c r="N575" i="17"/>
  <c r="N556" i="17" s="1"/>
  <c r="D578" i="17"/>
  <c r="D556" i="17" s="1"/>
  <c r="E578" i="17"/>
  <c r="F578" i="17"/>
  <c r="G578" i="17"/>
  <c r="G546" i="17" s="1"/>
  <c r="H578" i="17"/>
  <c r="I578" i="17"/>
  <c r="J578" i="17"/>
  <c r="K578" i="17"/>
  <c r="L578" i="17"/>
  <c r="M578" i="17"/>
  <c r="M546" i="17" s="1"/>
  <c r="N578" i="17"/>
  <c r="D579" i="17"/>
  <c r="E579" i="17"/>
  <c r="F579" i="17"/>
  <c r="G579" i="17"/>
  <c r="H579" i="17"/>
  <c r="H547" i="17" s="1"/>
  <c r="I579" i="17"/>
  <c r="J579" i="17"/>
  <c r="K579" i="17"/>
  <c r="L579" i="17"/>
  <c r="M579" i="17"/>
  <c r="N579" i="17"/>
  <c r="N547" i="17" s="1"/>
  <c r="D580" i="17"/>
  <c r="E580" i="17"/>
  <c r="F580" i="17"/>
  <c r="G580" i="17"/>
  <c r="H580" i="17"/>
  <c r="I580" i="17"/>
  <c r="I548" i="17" s="1"/>
  <c r="J580" i="17"/>
  <c r="K580" i="17"/>
  <c r="L580" i="17"/>
  <c r="M580" i="17"/>
  <c r="N580" i="17"/>
  <c r="D581" i="17"/>
  <c r="D549" i="17" s="1"/>
  <c r="E581" i="17"/>
  <c r="F581" i="17"/>
  <c r="G581" i="17"/>
  <c r="H581" i="17"/>
  <c r="I581" i="17"/>
  <c r="J581" i="17"/>
  <c r="J549" i="17" s="1"/>
  <c r="K581" i="17"/>
  <c r="L581" i="17"/>
  <c r="M581" i="17"/>
  <c r="N581" i="17"/>
  <c r="D582" i="17"/>
  <c r="E582" i="17"/>
  <c r="E550" i="17" s="1"/>
  <c r="F582" i="17"/>
  <c r="G582" i="17"/>
  <c r="H582" i="17"/>
  <c r="I582" i="17"/>
  <c r="J582" i="17"/>
  <c r="K582" i="17"/>
  <c r="K550" i="17" s="1"/>
  <c r="L582" i="17"/>
  <c r="M582" i="17"/>
  <c r="N582" i="17"/>
  <c r="D583" i="17"/>
  <c r="E583" i="17"/>
  <c r="F583" i="17"/>
  <c r="F551" i="17" s="1"/>
  <c r="G583" i="17"/>
  <c r="H583" i="17"/>
  <c r="I583" i="17"/>
  <c r="J583" i="17"/>
  <c r="K583" i="17"/>
  <c r="L583" i="17"/>
  <c r="L551" i="17" s="1"/>
  <c r="M583" i="17"/>
  <c r="N583" i="17"/>
  <c r="D584" i="17"/>
  <c r="E584" i="17"/>
  <c r="F584" i="17"/>
  <c r="G584" i="17"/>
  <c r="G552" i="17" s="1"/>
  <c r="H584" i="17"/>
  <c r="I584" i="17"/>
  <c r="J584" i="17"/>
  <c r="K584" i="17"/>
  <c r="L584" i="17"/>
  <c r="M584" i="17"/>
  <c r="M552" i="17" s="1"/>
  <c r="N584" i="17"/>
  <c r="D585" i="17"/>
  <c r="E585" i="17"/>
  <c r="F585" i="17"/>
  <c r="G585" i="17"/>
  <c r="H585" i="17"/>
  <c r="H553" i="17" s="1"/>
  <c r="I585" i="17"/>
  <c r="J585" i="17"/>
  <c r="K585" i="17"/>
  <c r="L585" i="17"/>
  <c r="M585" i="17"/>
  <c r="N585" i="17"/>
  <c r="N553" i="17" s="1"/>
  <c r="D586" i="17"/>
  <c r="E586" i="17"/>
  <c r="F586" i="17"/>
  <c r="G586" i="17"/>
  <c r="H586" i="17"/>
  <c r="I586" i="17"/>
  <c r="I554" i="17" s="1"/>
  <c r="J586" i="17"/>
  <c r="K586" i="17"/>
  <c r="L586" i="17"/>
  <c r="M586" i="17"/>
  <c r="N586" i="17"/>
  <c r="D587" i="17"/>
  <c r="D555" i="17" s="1"/>
  <c r="E587" i="17"/>
  <c r="F587" i="17"/>
  <c r="G587" i="17"/>
  <c r="H587" i="17"/>
  <c r="I587" i="17"/>
  <c r="J587" i="17"/>
  <c r="J555" i="17" s="1"/>
  <c r="K587" i="17"/>
  <c r="L587" i="17"/>
  <c r="M587" i="17"/>
  <c r="N587" i="17"/>
  <c r="D588" i="17"/>
  <c r="E588" i="17"/>
  <c r="E556" i="17" s="1"/>
  <c r="F588" i="17"/>
  <c r="G588" i="17"/>
  <c r="H588" i="17"/>
  <c r="I588" i="17"/>
  <c r="J588" i="17"/>
  <c r="K588" i="17"/>
  <c r="K556" i="17" s="1"/>
  <c r="L588" i="17"/>
  <c r="M588" i="17"/>
  <c r="N588" i="17"/>
  <c r="D602" i="17"/>
  <c r="E602" i="17"/>
  <c r="F602" i="17"/>
  <c r="G602" i="17"/>
  <c r="H602" i="17"/>
  <c r="I602" i="17"/>
  <c r="J602" i="17"/>
  <c r="K602" i="17"/>
  <c r="L602" i="17"/>
  <c r="M602" i="17"/>
  <c r="N602" i="17"/>
  <c r="D603" i="17"/>
  <c r="E603" i="17"/>
  <c r="F603" i="17"/>
  <c r="G603" i="17"/>
  <c r="H603" i="17"/>
  <c r="I603" i="17"/>
  <c r="J603" i="17"/>
  <c r="K603" i="17"/>
  <c r="L603" i="17"/>
  <c r="M603" i="17"/>
  <c r="N603" i="17"/>
  <c r="D604" i="17"/>
  <c r="E604" i="17"/>
  <c r="F604" i="17"/>
  <c r="G604" i="17"/>
  <c r="H604" i="17"/>
  <c r="I604" i="17"/>
  <c r="J604" i="17"/>
  <c r="K604" i="17"/>
  <c r="L604" i="17"/>
  <c r="M604" i="17"/>
  <c r="N604" i="17"/>
  <c r="D605" i="17"/>
  <c r="E605" i="17"/>
  <c r="F605" i="17"/>
  <c r="G605" i="17"/>
  <c r="H605" i="17"/>
  <c r="I605" i="17"/>
  <c r="J605" i="17"/>
  <c r="K605" i="17"/>
  <c r="L605" i="17"/>
  <c r="M605" i="17"/>
  <c r="N605" i="17"/>
  <c r="D606" i="17"/>
  <c r="E606" i="17"/>
  <c r="F606" i="17"/>
  <c r="G606" i="17"/>
  <c r="H606" i="17"/>
  <c r="I606" i="17"/>
  <c r="J606" i="17"/>
  <c r="K606" i="17"/>
  <c r="L606" i="17"/>
  <c r="M606" i="17"/>
  <c r="N606" i="17"/>
  <c r="D615" i="17"/>
  <c r="E615" i="17"/>
  <c r="F615" i="17"/>
  <c r="G615" i="17"/>
  <c r="H615" i="17"/>
  <c r="I615" i="17"/>
  <c r="J615" i="17"/>
  <c r="K615" i="17"/>
  <c r="L615" i="17"/>
  <c r="M615" i="17"/>
  <c r="N615" i="17"/>
  <c r="D616" i="17"/>
  <c r="E616" i="17"/>
  <c r="F616" i="17"/>
  <c r="G616" i="17"/>
  <c r="H616" i="17"/>
  <c r="I616" i="17"/>
  <c r="J616" i="17"/>
  <c r="K616" i="17"/>
  <c r="L616" i="17"/>
  <c r="M616" i="17"/>
  <c r="N616" i="17"/>
  <c r="D617" i="17"/>
  <c r="E617" i="17"/>
  <c r="F617" i="17"/>
  <c r="G617" i="17"/>
  <c r="H617" i="17"/>
  <c r="I617" i="17"/>
  <c r="J617" i="17"/>
  <c r="K617" i="17"/>
  <c r="L617" i="17"/>
  <c r="M617" i="17"/>
  <c r="N617" i="17"/>
  <c r="D618" i="17"/>
  <c r="E618" i="17"/>
  <c r="F618" i="17"/>
  <c r="G618" i="17"/>
  <c r="H618" i="17"/>
  <c r="I618" i="17"/>
  <c r="J618" i="17"/>
  <c r="K618" i="17"/>
  <c r="L618" i="17"/>
  <c r="M618" i="17"/>
  <c r="N618" i="17"/>
  <c r="D619" i="17"/>
  <c r="E619" i="17"/>
  <c r="F619" i="17"/>
  <c r="G619" i="17"/>
  <c r="H619" i="17"/>
  <c r="I619" i="17"/>
  <c r="J619" i="17"/>
  <c r="K619" i="17"/>
  <c r="L619" i="17"/>
  <c r="M619" i="17"/>
  <c r="N619" i="17"/>
  <c r="D620" i="17"/>
  <c r="E620" i="17"/>
  <c r="F620" i="17"/>
  <c r="G620" i="17"/>
  <c r="H620" i="17"/>
  <c r="I620" i="17"/>
  <c r="J620" i="17"/>
  <c r="K620" i="17"/>
  <c r="L620" i="17"/>
  <c r="M620" i="17"/>
  <c r="N620" i="17"/>
  <c r="D621" i="17"/>
  <c r="E621" i="17"/>
  <c r="F621" i="17"/>
  <c r="G621" i="17"/>
  <c r="H621" i="17"/>
  <c r="I621" i="17"/>
  <c r="J621" i="17"/>
  <c r="K621" i="17"/>
  <c r="L621" i="17"/>
  <c r="M621" i="17"/>
  <c r="N621" i="17"/>
  <c r="D622" i="17"/>
  <c r="E622" i="17"/>
  <c r="F622" i="17"/>
  <c r="G622" i="17"/>
  <c r="H622" i="17"/>
  <c r="I622" i="17"/>
  <c r="J622" i="17"/>
  <c r="K622" i="17"/>
  <c r="L622" i="17"/>
  <c r="M622" i="17"/>
  <c r="N622" i="17"/>
  <c r="D623" i="17"/>
  <c r="E623" i="17"/>
  <c r="F623" i="17"/>
  <c r="G623" i="17"/>
  <c r="H623" i="17"/>
  <c r="I623" i="17"/>
  <c r="J623" i="17"/>
  <c r="K623" i="17"/>
  <c r="L623" i="17"/>
  <c r="M623" i="17"/>
  <c r="N623" i="17"/>
  <c r="D624" i="17"/>
  <c r="E624" i="17"/>
  <c r="F624" i="17"/>
  <c r="G624" i="17"/>
  <c r="H624" i="17"/>
  <c r="I624" i="17"/>
  <c r="J624" i="17"/>
  <c r="K624" i="17"/>
  <c r="L624" i="17"/>
  <c r="M624" i="17"/>
  <c r="N624" i="17"/>
  <c r="D625" i="17"/>
  <c r="E625" i="17"/>
  <c r="F625" i="17"/>
  <c r="G625" i="17"/>
  <c r="H625" i="17"/>
  <c r="I625" i="17"/>
  <c r="J625" i="17"/>
  <c r="K625" i="17"/>
  <c r="L625" i="17"/>
  <c r="M625" i="17"/>
  <c r="N625" i="17"/>
  <c r="D628" i="17"/>
  <c r="E628" i="17"/>
  <c r="F628" i="17"/>
  <c r="G628" i="17"/>
  <c r="H628" i="17"/>
  <c r="I628" i="17"/>
  <c r="J628" i="17"/>
  <c r="K628" i="17"/>
  <c r="L628" i="17"/>
  <c r="M628" i="17"/>
  <c r="N628" i="17"/>
  <c r="D629" i="17"/>
  <c r="E629" i="17"/>
  <c r="F629" i="17"/>
  <c r="G629" i="17"/>
  <c r="H629" i="17"/>
  <c r="I629" i="17"/>
  <c r="J629" i="17"/>
  <c r="K629" i="17"/>
  <c r="L629" i="17"/>
  <c r="M629" i="17"/>
  <c r="N629" i="17"/>
  <c r="D630" i="17"/>
  <c r="E630" i="17"/>
  <c r="F630" i="17"/>
  <c r="G630" i="17"/>
  <c r="H630" i="17"/>
  <c r="I630" i="17"/>
  <c r="J630" i="17"/>
  <c r="K630" i="17"/>
  <c r="L630" i="17"/>
  <c r="M630" i="17"/>
  <c r="N630" i="17"/>
  <c r="D631" i="17"/>
  <c r="E631" i="17"/>
  <c r="F631" i="17"/>
  <c r="G631" i="17"/>
  <c r="H631" i="17"/>
  <c r="I631" i="17"/>
  <c r="J631" i="17"/>
  <c r="K631" i="17"/>
  <c r="L631" i="17"/>
  <c r="M631" i="17"/>
  <c r="N631" i="17"/>
  <c r="D632" i="17"/>
  <c r="E632" i="17"/>
  <c r="F632" i="17"/>
  <c r="G632" i="17"/>
  <c r="H632" i="17"/>
  <c r="I632" i="17"/>
  <c r="J632" i="17"/>
  <c r="K632" i="17"/>
  <c r="L632" i="17"/>
  <c r="M632" i="17"/>
  <c r="N632" i="17"/>
  <c r="D633" i="17"/>
  <c r="E633" i="17"/>
  <c r="F633" i="17"/>
  <c r="G633" i="17"/>
  <c r="H633" i="17"/>
  <c r="I633" i="17"/>
  <c r="J633" i="17"/>
  <c r="K633" i="17"/>
  <c r="L633" i="17"/>
  <c r="M633" i="17"/>
  <c r="N633" i="17"/>
  <c r="D634" i="17"/>
  <c r="E634" i="17"/>
  <c r="F634" i="17"/>
  <c r="G634" i="17"/>
  <c r="H634" i="17"/>
  <c r="I634" i="17"/>
  <c r="J634" i="17"/>
  <c r="K634" i="17"/>
  <c r="L634" i="17"/>
  <c r="M634" i="17"/>
  <c r="N634" i="17"/>
  <c r="D635" i="17"/>
  <c r="E635" i="17"/>
  <c r="F635" i="17"/>
  <c r="G635" i="17"/>
  <c r="H635" i="17"/>
  <c r="I635" i="17"/>
  <c r="J635" i="17"/>
  <c r="K635" i="17"/>
  <c r="L635" i="17"/>
  <c r="M635" i="17"/>
  <c r="N635" i="17"/>
  <c r="D636" i="17"/>
  <c r="E636" i="17"/>
  <c r="F636" i="17"/>
  <c r="G636" i="17"/>
  <c r="H636" i="17"/>
  <c r="I636" i="17"/>
  <c r="J636" i="17"/>
  <c r="K636" i="17"/>
  <c r="L636" i="17"/>
  <c r="M636" i="17"/>
  <c r="N636" i="17"/>
  <c r="D637" i="17"/>
  <c r="E637" i="17"/>
  <c r="F637" i="17"/>
  <c r="G637" i="17"/>
  <c r="H637" i="17"/>
  <c r="I637" i="17"/>
  <c r="J637" i="17"/>
  <c r="K637" i="17"/>
  <c r="L637" i="17"/>
  <c r="M637" i="17"/>
  <c r="N637" i="17"/>
  <c r="D638" i="17"/>
  <c r="E638" i="17"/>
  <c r="F638" i="17"/>
  <c r="G638" i="17"/>
  <c r="H638" i="17"/>
  <c r="I638" i="17"/>
  <c r="J638" i="17"/>
  <c r="K638" i="17"/>
  <c r="L638" i="17"/>
  <c r="M638" i="17"/>
  <c r="N638" i="17"/>
  <c r="D641" i="17"/>
  <c r="E641" i="17"/>
  <c r="F641" i="17"/>
  <c r="G641" i="17"/>
  <c r="H641" i="17"/>
  <c r="I641" i="17"/>
  <c r="J641" i="17"/>
  <c r="K641" i="17"/>
  <c r="L641" i="17"/>
  <c r="M641" i="17"/>
  <c r="N641" i="17"/>
  <c r="D642" i="17"/>
  <c r="E642" i="17"/>
  <c r="F642" i="17"/>
  <c r="G642" i="17"/>
  <c r="H642" i="17"/>
  <c r="I642" i="17"/>
  <c r="J642" i="17"/>
  <c r="K642" i="17"/>
  <c r="L642" i="17"/>
  <c r="M642" i="17"/>
  <c r="N642" i="17"/>
  <c r="D643" i="17"/>
  <c r="E643" i="17"/>
  <c r="F643" i="17"/>
  <c r="G643" i="17"/>
  <c r="H643" i="17"/>
  <c r="I643" i="17"/>
  <c r="J643" i="17"/>
  <c r="K643" i="17"/>
  <c r="L643" i="17"/>
  <c r="M643" i="17"/>
  <c r="N643" i="17"/>
  <c r="D644" i="17"/>
  <c r="E644" i="17"/>
  <c r="F644" i="17"/>
  <c r="G644" i="17"/>
  <c r="H644" i="17"/>
  <c r="I644" i="17"/>
  <c r="J644" i="17"/>
  <c r="K644" i="17"/>
  <c r="L644" i="17"/>
  <c r="M644" i="17"/>
  <c r="N644" i="17"/>
  <c r="D645" i="17"/>
  <c r="E645" i="17"/>
  <c r="F645" i="17"/>
  <c r="G645" i="17"/>
  <c r="H645" i="17"/>
  <c r="I645" i="17"/>
  <c r="J645" i="17"/>
  <c r="K645" i="17"/>
  <c r="L645" i="17"/>
  <c r="M645" i="17"/>
  <c r="N645" i="17"/>
  <c r="D646" i="17"/>
  <c r="E646" i="17"/>
  <c r="F646" i="17"/>
  <c r="G646" i="17"/>
  <c r="H646" i="17"/>
  <c r="I646" i="17"/>
  <c r="J646" i="17"/>
  <c r="K646" i="17"/>
  <c r="L646" i="17"/>
  <c r="M646" i="17"/>
  <c r="N646" i="17"/>
  <c r="D647" i="17"/>
  <c r="E647" i="17"/>
  <c r="F647" i="17"/>
  <c r="G647" i="17"/>
  <c r="H647" i="17"/>
  <c r="I647" i="17"/>
  <c r="J647" i="17"/>
  <c r="K647" i="17"/>
  <c r="L647" i="17"/>
  <c r="M647" i="17"/>
  <c r="N647" i="17"/>
  <c r="D648" i="17"/>
  <c r="E648" i="17"/>
  <c r="F648" i="17"/>
  <c r="G648" i="17"/>
  <c r="H648" i="17"/>
  <c r="I648" i="17"/>
  <c r="J648" i="17"/>
  <c r="K648" i="17"/>
  <c r="L648" i="17"/>
  <c r="M648" i="17"/>
  <c r="N648" i="17"/>
  <c r="D649" i="17"/>
  <c r="E649" i="17"/>
  <c r="F649" i="17"/>
  <c r="G649" i="17"/>
  <c r="H649" i="17"/>
  <c r="I649" i="17"/>
  <c r="J649" i="17"/>
  <c r="K649" i="17"/>
  <c r="L649" i="17"/>
  <c r="M649" i="17"/>
  <c r="N649" i="17"/>
  <c r="D650" i="17"/>
  <c r="E650" i="17"/>
  <c r="F650" i="17"/>
  <c r="G650" i="17"/>
  <c r="H650" i="17"/>
  <c r="I650" i="17"/>
  <c r="J650" i="17"/>
  <c r="K650" i="17"/>
  <c r="L650" i="17"/>
  <c r="M650" i="17"/>
  <c r="N650" i="17"/>
  <c r="D651" i="17"/>
  <c r="E651" i="17"/>
  <c r="F651" i="17"/>
  <c r="G651" i="17"/>
  <c r="H651" i="17"/>
  <c r="I651" i="17"/>
  <c r="J651" i="17"/>
  <c r="K651" i="17"/>
  <c r="L651" i="17"/>
  <c r="M651" i="17"/>
  <c r="N651" i="17"/>
  <c r="D654" i="17"/>
  <c r="E654" i="17"/>
  <c r="F654" i="17"/>
  <c r="G654" i="17"/>
  <c r="H654" i="17"/>
  <c r="I654" i="17"/>
  <c r="J654" i="17"/>
  <c r="K654" i="17"/>
  <c r="L654" i="17"/>
  <c r="M654" i="17"/>
  <c r="N654" i="17"/>
  <c r="D655" i="17"/>
  <c r="E655" i="17"/>
  <c r="F655" i="17"/>
  <c r="G655" i="17"/>
  <c r="H655" i="17"/>
  <c r="I655" i="17"/>
  <c r="J655" i="17"/>
  <c r="K655" i="17"/>
  <c r="L655" i="17"/>
  <c r="M655" i="17"/>
  <c r="N655" i="17"/>
  <c r="D656" i="17"/>
  <c r="E656" i="17"/>
  <c r="F656" i="17"/>
  <c r="G656" i="17"/>
  <c r="H656" i="17"/>
  <c r="I656" i="17"/>
  <c r="J656" i="17"/>
  <c r="K656" i="17"/>
  <c r="L656" i="17"/>
  <c r="M656" i="17"/>
  <c r="N656" i="17"/>
  <c r="D657" i="17"/>
  <c r="E657" i="17"/>
  <c r="F657" i="17"/>
  <c r="G657" i="17"/>
  <c r="H657" i="17"/>
  <c r="I657" i="17"/>
  <c r="J657" i="17"/>
  <c r="K657" i="17"/>
  <c r="L657" i="17"/>
  <c r="M657" i="17"/>
  <c r="N657" i="17"/>
  <c r="D658" i="17"/>
  <c r="E658" i="17"/>
  <c r="F658" i="17"/>
  <c r="G658" i="17"/>
  <c r="H658" i="17"/>
  <c r="I658" i="17"/>
  <c r="J658" i="17"/>
  <c r="K658" i="17"/>
  <c r="L658" i="17"/>
  <c r="M658" i="17"/>
  <c r="N658" i="17"/>
  <c r="D659" i="17"/>
  <c r="E659" i="17"/>
  <c r="F659" i="17"/>
  <c r="G659" i="17"/>
  <c r="H659" i="17"/>
  <c r="I659" i="17"/>
  <c r="J659" i="17"/>
  <c r="K659" i="17"/>
  <c r="L659" i="17"/>
  <c r="M659" i="17"/>
  <c r="N659" i="17"/>
  <c r="D660" i="17"/>
  <c r="E660" i="17"/>
  <c r="F660" i="17"/>
  <c r="G660" i="17"/>
  <c r="H660" i="17"/>
  <c r="I660" i="17"/>
  <c r="J660" i="17"/>
  <c r="K660" i="17"/>
  <c r="L660" i="17"/>
  <c r="M660" i="17"/>
  <c r="N660" i="17"/>
  <c r="D661" i="17"/>
  <c r="E661" i="17"/>
  <c r="F661" i="17"/>
  <c r="G661" i="17"/>
  <c r="H661" i="17"/>
  <c r="I661" i="17"/>
  <c r="J661" i="17"/>
  <c r="K661" i="17"/>
  <c r="L661" i="17"/>
  <c r="M661" i="17"/>
  <c r="N661" i="17"/>
  <c r="D662" i="17"/>
  <c r="E662" i="17"/>
  <c r="F662" i="17"/>
  <c r="G662" i="17"/>
  <c r="H662" i="17"/>
  <c r="I662" i="17"/>
  <c r="J662" i="17"/>
  <c r="K662" i="17"/>
  <c r="L662" i="17"/>
  <c r="M662" i="17"/>
  <c r="N662" i="17"/>
  <c r="D663" i="17"/>
  <c r="E663" i="17"/>
  <c r="F663" i="17"/>
  <c r="G663" i="17"/>
  <c r="H663" i="17"/>
  <c r="I663" i="17"/>
  <c r="J663" i="17"/>
  <c r="K663" i="17"/>
  <c r="L663" i="17"/>
  <c r="M663" i="17"/>
  <c r="N663" i="17"/>
  <c r="D664" i="17"/>
  <c r="E664" i="17"/>
  <c r="F664" i="17"/>
  <c r="G664" i="17"/>
  <c r="H664" i="17"/>
  <c r="I664" i="17"/>
  <c r="J664" i="17"/>
  <c r="K664" i="17"/>
  <c r="L664" i="17"/>
  <c r="M664" i="17"/>
  <c r="N664" i="17"/>
  <c r="D667" i="17"/>
  <c r="E667" i="17"/>
  <c r="F667" i="17"/>
  <c r="G667" i="17"/>
  <c r="H667" i="17"/>
  <c r="I667" i="17"/>
  <c r="J667" i="17"/>
  <c r="K667" i="17"/>
  <c r="L667" i="17"/>
  <c r="M667" i="17"/>
  <c r="N667" i="17"/>
  <c r="D668" i="17"/>
  <c r="E668" i="17"/>
  <c r="F668" i="17"/>
  <c r="G668" i="17"/>
  <c r="H668" i="17"/>
  <c r="I668" i="17"/>
  <c r="J668" i="17"/>
  <c r="K668" i="17"/>
  <c r="L668" i="17"/>
  <c r="M668" i="17"/>
  <c r="N668" i="17"/>
  <c r="D669" i="17"/>
  <c r="E669" i="17"/>
  <c r="F669" i="17"/>
  <c r="G669" i="17"/>
  <c r="H669" i="17"/>
  <c r="I669" i="17"/>
  <c r="J669" i="17"/>
  <c r="K669" i="17"/>
  <c r="L669" i="17"/>
  <c r="M669" i="17"/>
  <c r="N669" i="17"/>
  <c r="D670" i="17"/>
  <c r="E670" i="17"/>
  <c r="F670" i="17"/>
  <c r="G670" i="17"/>
  <c r="H670" i="17"/>
  <c r="I670" i="17"/>
  <c r="J670" i="17"/>
  <c r="K670" i="17"/>
  <c r="L670" i="17"/>
  <c r="M670" i="17"/>
  <c r="N670" i="17"/>
  <c r="D671" i="17"/>
  <c r="E671" i="17"/>
  <c r="F671" i="17"/>
  <c r="G671" i="17"/>
  <c r="H671" i="17"/>
  <c r="I671" i="17"/>
  <c r="J671" i="17"/>
  <c r="K671" i="17"/>
  <c r="L671" i="17"/>
  <c r="M671" i="17"/>
  <c r="N671" i="17"/>
  <c r="D672" i="17"/>
  <c r="E672" i="17"/>
  <c r="F672" i="17"/>
  <c r="G672" i="17"/>
  <c r="H672" i="17"/>
  <c r="I672" i="17"/>
  <c r="J672" i="17"/>
  <c r="K672" i="17"/>
  <c r="L672" i="17"/>
  <c r="M672" i="17"/>
  <c r="N672" i="17"/>
  <c r="D673" i="17"/>
  <c r="E673" i="17"/>
  <c r="F673" i="17"/>
  <c r="G673" i="17"/>
  <c r="H673" i="17"/>
  <c r="I673" i="17"/>
  <c r="J673" i="17"/>
  <c r="K673" i="17"/>
  <c r="L673" i="17"/>
  <c r="M673" i="17"/>
  <c r="N673" i="17"/>
  <c r="D674" i="17"/>
  <c r="E674" i="17"/>
  <c r="F674" i="17"/>
  <c r="G674" i="17"/>
  <c r="H674" i="17"/>
  <c r="I674" i="17"/>
  <c r="J674" i="17"/>
  <c r="K674" i="17"/>
  <c r="L674" i="17"/>
  <c r="M674" i="17"/>
  <c r="N674" i="17"/>
  <c r="D675" i="17"/>
  <c r="E675" i="17"/>
  <c r="F675" i="17"/>
  <c r="G675" i="17"/>
  <c r="H675" i="17"/>
  <c r="I675" i="17"/>
  <c r="J675" i="17"/>
  <c r="K675" i="17"/>
  <c r="L675" i="17"/>
  <c r="M675" i="17"/>
  <c r="N675" i="17"/>
  <c r="D676" i="17"/>
  <c r="E676" i="17"/>
  <c r="F676" i="17"/>
  <c r="G676" i="17"/>
  <c r="H676" i="17"/>
  <c r="I676" i="17"/>
  <c r="J676" i="17"/>
  <c r="K676" i="17"/>
  <c r="L676" i="17"/>
  <c r="M676" i="17"/>
  <c r="N676" i="17"/>
  <c r="D677" i="17"/>
  <c r="E677" i="17"/>
  <c r="F677" i="17"/>
  <c r="G677" i="17"/>
  <c r="H677" i="17"/>
  <c r="I677" i="17"/>
  <c r="J677" i="17"/>
  <c r="K677" i="17"/>
  <c r="L677" i="17"/>
  <c r="M677" i="17"/>
  <c r="N677" i="17"/>
  <c r="D680" i="17"/>
  <c r="E680" i="17"/>
  <c r="F680" i="17"/>
  <c r="G680" i="17"/>
  <c r="H680" i="17"/>
  <c r="I680" i="17"/>
  <c r="J680" i="17"/>
  <c r="K680" i="17"/>
  <c r="L680" i="17"/>
  <c r="M680" i="17"/>
  <c r="N680" i="17"/>
  <c r="D681" i="17"/>
  <c r="E681" i="17"/>
  <c r="F681" i="17"/>
  <c r="G681" i="17"/>
  <c r="H681" i="17"/>
  <c r="I681" i="17"/>
  <c r="J681" i="17"/>
  <c r="K681" i="17"/>
  <c r="L681" i="17"/>
  <c r="M681" i="17"/>
  <c r="N681" i="17"/>
  <c r="D682" i="17"/>
  <c r="E682" i="17"/>
  <c r="F682" i="17"/>
  <c r="G682" i="17"/>
  <c r="H682" i="17"/>
  <c r="I682" i="17"/>
  <c r="J682" i="17"/>
  <c r="K682" i="17"/>
  <c r="L682" i="17"/>
  <c r="M682" i="17"/>
  <c r="N682" i="17"/>
  <c r="D683" i="17"/>
  <c r="E683" i="17"/>
  <c r="F683" i="17"/>
  <c r="G683" i="17"/>
  <c r="H683" i="17"/>
  <c r="I683" i="17"/>
  <c r="J683" i="17"/>
  <c r="K683" i="17"/>
  <c r="L683" i="17"/>
  <c r="M683" i="17"/>
  <c r="N683" i="17"/>
  <c r="D684" i="17"/>
  <c r="E684" i="17"/>
  <c r="F684" i="17"/>
  <c r="G684" i="17"/>
  <c r="H684" i="17"/>
  <c r="I684" i="17"/>
  <c r="J684" i="17"/>
  <c r="K684" i="17"/>
  <c r="L684" i="17"/>
  <c r="M684" i="17"/>
  <c r="N684" i="17"/>
  <c r="D685" i="17"/>
  <c r="E685" i="17"/>
  <c r="F685" i="17"/>
  <c r="G685" i="17"/>
  <c r="H685" i="17"/>
  <c r="I685" i="17"/>
  <c r="J685" i="17"/>
  <c r="K685" i="17"/>
  <c r="L685" i="17"/>
  <c r="M685" i="17"/>
  <c r="N685" i="17"/>
  <c r="D686" i="17"/>
  <c r="E686" i="17"/>
  <c r="F686" i="17"/>
  <c r="G686" i="17"/>
  <c r="H686" i="17"/>
  <c r="I686" i="17"/>
  <c r="J686" i="17"/>
  <c r="K686" i="17"/>
  <c r="L686" i="17"/>
  <c r="M686" i="17"/>
  <c r="N686" i="17"/>
  <c r="D687" i="17"/>
  <c r="E687" i="17"/>
  <c r="F687" i="17"/>
  <c r="G687" i="17"/>
  <c r="H687" i="17"/>
  <c r="I687" i="17"/>
  <c r="J687" i="17"/>
  <c r="K687" i="17"/>
  <c r="L687" i="17"/>
  <c r="M687" i="17"/>
  <c r="N687" i="17"/>
  <c r="D688" i="17"/>
  <c r="E688" i="17"/>
  <c r="F688" i="17"/>
  <c r="G688" i="17"/>
  <c r="H688" i="17"/>
  <c r="I688" i="17"/>
  <c r="J688" i="17"/>
  <c r="K688" i="17"/>
  <c r="L688" i="17"/>
  <c r="M688" i="17"/>
  <c r="N688" i="17"/>
  <c r="D689" i="17"/>
  <c r="E689" i="17"/>
  <c r="F689" i="17"/>
  <c r="G689" i="17"/>
  <c r="H689" i="17"/>
  <c r="I689" i="17"/>
  <c r="J689" i="17"/>
  <c r="K689" i="17"/>
  <c r="L689" i="17"/>
  <c r="M689" i="17"/>
  <c r="N689" i="17"/>
  <c r="D690" i="17"/>
  <c r="E690" i="17"/>
  <c r="F690" i="17"/>
  <c r="G690" i="17"/>
  <c r="H690" i="17"/>
  <c r="I690" i="17"/>
  <c r="J690" i="17"/>
  <c r="K690" i="17"/>
  <c r="L690" i="17"/>
  <c r="M690" i="17"/>
  <c r="N690" i="17"/>
  <c r="D693" i="17"/>
  <c r="E693" i="17"/>
  <c r="F693" i="17"/>
  <c r="G693" i="17"/>
  <c r="H693" i="17"/>
  <c r="I693" i="17"/>
  <c r="J693" i="17"/>
  <c r="K693" i="17"/>
  <c r="L693" i="17"/>
  <c r="M693" i="17"/>
  <c r="N693" i="17"/>
  <c r="D694" i="17"/>
  <c r="E694" i="17"/>
  <c r="F694" i="17"/>
  <c r="G694" i="17"/>
  <c r="H694" i="17"/>
  <c r="I694" i="17"/>
  <c r="J694" i="17"/>
  <c r="K694" i="17"/>
  <c r="L694" i="17"/>
  <c r="M694" i="17"/>
  <c r="N694" i="17"/>
  <c r="D695" i="17"/>
  <c r="E695" i="17"/>
  <c r="F695" i="17"/>
  <c r="G695" i="17"/>
  <c r="H695" i="17"/>
  <c r="I695" i="17"/>
  <c r="J695" i="17"/>
  <c r="K695" i="17"/>
  <c r="L695" i="17"/>
  <c r="M695" i="17"/>
  <c r="N695" i="17"/>
  <c r="D696" i="17"/>
  <c r="E696" i="17"/>
  <c r="F696" i="17"/>
  <c r="G696" i="17"/>
  <c r="H696" i="17"/>
  <c r="I696" i="17"/>
  <c r="J696" i="17"/>
  <c r="K696" i="17"/>
  <c r="L696" i="17"/>
  <c r="M696" i="17"/>
  <c r="N696" i="17"/>
  <c r="D697" i="17"/>
  <c r="E697" i="17"/>
  <c r="F697" i="17"/>
  <c r="G697" i="17"/>
  <c r="H697" i="17"/>
  <c r="I697" i="17"/>
  <c r="J697" i="17"/>
  <c r="K697" i="17"/>
  <c r="L697" i="17"/>
  <c r="M697" i="17"/>
  <c r="N697" i="17"/>
  <c r="D698" i="17"/>
  <c r="E698" i="17"/>
  <c r="F698" i="17"/>
  <c r="G698" i="17"/>
  <c r="H698" i="17"/>
  <c r="I698" i="17"/>
  <c r="J698" i="17"/>
  <c r="K698" i="17"/>
  <c r="L698" i="17"/>
  <c r="M698" i="17"/>
  <c r="N698" i="17"/>
  <c r="D699" i="17"/>
  <c r="E699" i="17"/>
  <c r="F699" i="17"/>
  <c r="G699" i="17"/>
  <c r="H699" i="17"/>
  <c r="I699" i="17"/>
  <c r="J699" i="17"/>
  <c r="K699" i="17"/>
  <c r="L699" i="17"/>
  <c r="M699" i="17"/>
  <c r="N699" i="17"/>
  <c r="D700" i="17"/>
  <c r="E700" i="17"/>
  <c r="F700" i="17"/>
  <c r="G700" i="17"/>
  <c r="H700" i="17"/>
  <c r="I700" i="17"/>
  <c r="J700" i="17"/>
  <c r="K700" i="17"/>
  <c r="L700" i="17"/>
  <c r="M700" i="17"/>
  <c r="N700" i="17"/>
  <c r="D701" i="17"/>
  <c r="E701" i="17"/>
  <c r="F701" i="17"/>
  <c r="G701" i="17"/>
  <c r="H701" i="17"/>
  <c r="I701" i="17"/>
  <c r="J701" i="17"/>
  <c r="K701" i="17"/>
  <c r="L701" i="17"/>
  <c r="M701" i="17"/>
  <c r="N701" i="17"/>
  <c r="D702" i="17"/>
  <c r="E702" i="17"/>
  <c r="F702" i="17"/>
  <c r="G702" i="17"/>
  <c r="H702" i="17"/>
  <c r="I702" i="17"/>
  <c r="J702" i="17"/>
  <c r="K702" i="17"/>
  <c r="L702" i="17"/>
  <c r="M702" i="17"/>
  <c r="N702" i="17"/>
  <c r="D703" i="17"/>
  <c r="E703" i="17"/>
  <c r="F703" i="17"/>
  <c r="G703" i="17"/>
  <c r="H703" i="17"/>
  <c r="I703" i="17"/>
  <c r="J703" i="17"/>
  <c r="K703" i="17"/>
  <c r="L703" i="17"/>
  <c r="M703" i="17"/>
  <c r="N703" i="17"/>
  <c r="D706" i="17"/>
  <c r="E706" i="17"/>
  <c r="F706" i="17"/>
  <c r="G706" i="17"/>
  <c r="H706" i="17"/>
  <c r="I706" i="17"/>
  <c r="J706" i="17"/>
  <c r="K706" i="17"/>
  <c r="L706" i="17"/>
  <c r="M706" i="17"/>
  <c r="N706" i="17"/>
  <c r="D707" i="17"/>
  <c r="E707" i="17"/>
  <c r="F707" i="17"/>
  <c r="G707" i="17"/>
  <c r="H707" i="17"/>
  <c r="I707" i="17"/>
  <c r="J707" i="17"/>
  <c r="K707" i="17"/>
  <c r="L707" i="17"/>
  <c r="M707" i="17"/>
  <c r="N707" i="17"/>
  <c r="D708" i="17"/>
  <c r="E708" i="17"/>
  <c r="F708" i="17"/>
  <c r="G708" i="17"/>
  <c r="H708" i="17"/>
  <c r="I708" i="17"/>
  <c r="J708" i="17"/>
  <c r="K708" i="17"/>
  <c r="L708" i="17"/>
  <c r="M708" i="17"/>
  <c r="N708" i="17"/>
  <c r="D709" i="17"/>
  <c r="E709" i="17"/>
  <c r="F709" i="17"/>
  <c r="G709" i="17"/>
  <c r="H709" i="17"/>
  <c r="I709" i="17"/>
  <c r="J709" i="17"/>
  <c r="K709" i="17"/>
  <c r="L709" i="17"/>
  <c r="M709" i="17"/>
  <c r="N709" i="17"/>
  <c r="D710" i="17"/>
  <c r="E710" i="17"/>
  <c r="F710" i="17"/>
  <c r="G710" i="17"/>
  <c r="H710" i="17"/>
  <c r="I710" i="17"/>
  <c r="J710" i="17"/>
  <c r="K710" i="17"/>
  <c r="L710" i="17"/>
  <c r="M710" i="17"/>
  <c r="N710" i="17"/>
  <c r="D711" i="17"/>
  <c r="E711" i="17"/>
  <c r="F711" i="17"/>
  <c r="G711" i="17"/>
  <c r="H711" i="17"/>
  <c r="I711" i="17"/>
  <c r="J711" i="17"/>
  <c r="K711" i="17"/>
  <c r="L711" i="17"/>
  <c r="M711" i="17"/>
  <c r="N711" i="17"/>
  <c r="D712" i="17"/>
  <c r="E712" i="17"/>
  <c r="F712" i="17"/>
  <c r="G712" i="17"/>
  <c r="H712" i="17"/>
  <c r="I712" i="17"/>
  <c r="J712" i="17"/>
  <c r="K712" i="17"/>
  <c r="L712" i="17"/>
  <c r="M712" i="17"/>
  <c r="N712" i="17"/>
  <c r="D713" i="17"/>
  <c r="E713" i="17"/>
  <c r="F713" i="17"/>
  <c r="G713" i="17"/>
  <c r="H713" i="17"/>
  <c r="I713" i="17"/>
  <c r="J713" i="17"/>
  <c r="K713" i="17"/>
  <c r="L713" i="17"/>
  <c r="M713" i="17"/>
  <c r="N713" i="17"/>
  <c r="D714" i="17"/>
  <c r="E714" i="17"/>
  <c r="F714" i="17"/>
  <c r="G714" i="17"/>
  <c r="H714" i="17"/>
  <c r="I714" i="17"/>
  <c r="J714" i="17"/>
  <c r="K714" i="17"/>
  <c r="L714" i="17"/>
  <c r="M714" i="17"/>
  <c r="N714" i="17"/>
  <c r="D715" i="17"/>
  <c r="E715" i="17"/>
  <c r="F715" i="17"/>
  <c r="G715" i="17"/>
  <c r="H715" i="17"/>
  <c r="I715" i="17"/>
  <c r="J715" i="17"/>
  <c r="K715" i="17"/>
  <c r="L715" i="17"/>
  <c r="M715" i="17"/>
  <c r="N715" i="17"/>
  <c r="D716" i="17"/>
  <c r="E716" i="17"/>
  <c r="F716" i="17"/>
  <c r="G716" i="17"/>
  <c r="H716" i="17"/>
  <c r="I716" i="17"/>
  <c r="J716" i="17"/>
  <c r="K716" i="17"/>
  <c r="L716" i="17"/>
  <c r="M716" i="17"/>
  <c r="N716" i="17"/>
  <c r="D719" i="17"/>
  <c r="E719" i="17"/>
  <c r="F719" i="17"/>
  <c r="G719" i="17"/>
  <c r="H719" i="17"/>
  <c r="I719" i="17"/>
  <c r="J719" i="17"/>
  <c r="K719" i="17"/>
  <c r="L719" i="17"/>
  <c r="M719" i="17"/>
  <c r="N719" i="17"/>
  <c r="D720" i="17"/>
  <c r="E720" i="17"/>
  <c r="F720" i="17"/>
  <c r="G720" i="17"/>
  <c r="H720" i="17"/>
  <c r="I720" i="17"/>
  <c r="J720" i="17"/>
  <c r="K720" i="17"/>
  <c r="L720" i="17"/>
  <c r="M720" i="17"/>
  <c r="N720" i="17"/>
  <c r="D721" i="17"/>
  <c r="E721" i="17"/>
  <c r="F721" i="17"/>
  <c r="G721" i="17"/>
  <c r="H721" i="17"/>
  <c r="I721" i="17"/>
  <c r="J721" i="17"/>
  <c r="K721" i="17"/>
  <c r="L721" i="17"/>
  <c r="M721" i="17"/>
  <c r="N721" i="17"/>
  <c r="D722" i="17"/>
  <c r="E722" i="17"/>
  <c r="F722" i="17"/>
  <c r="G722" i="17"/>
  <c r="H722" i="17"/>
  <c r="I722" i="17"/>
  <c r="J722" i="17"/>
  <c r="K722" i="17"/>
  <c r="L722" i="17"/>
  <c r="M722" i="17"/>
  <c r="N722" i="17"/>
  <c r="D723" i="17"/>
  <c r="E723" i="17"/>
  <c r="F723" i="17"/>
  <c r="G723" i="17"/>
  <c r="H723" i="17"/>
  <c r="I723" i="17"/>
  <c r="J723" i="17"/>
  <c r="K723" i="17"/>
  <c r="L723" i="17"/>
  <c r="M723" i="17"/>
  <c r="N723" i="17"/>
  <c r="D724" i="17"/>
  <c r="E724" i="17"/>
  <c r="F724" i="17"/>
  <c r="G724" i="17"/>
  <c r="H724" i="17"/>
  <c r="I724" i="17"/>
  <c r="J724" i="17"/>
  <c r="K724" i="17"/>
  <c r="L724" i="17"/>
  <c r="M724" i="17"/>
  <c r="N724" i="17"/>
  <c r="D725" i="17"/>
  <c r="E725" i="17"/>
  <c r="F725" i="17"/>
  <c r="G725" i="17"/>
  <c r="H725" i="17"/>
  <c r="I725" i="17"/>
  <c r="J725" i="17"/>
  <c r="K725" i="17"/>
  <c r="L725" i="17"/>
  <c r="M725" i="17"/>
  <c r="N725" i="17"/>
  <c r="D726" i="17"/>
  <c r="E726" i="17"/>
  <c r="F726" i="17"/>
  <c r="G726" i="17"/>
  <c r="H726" i="17"/>
  <c r="I726" i="17"/>
  <c r="J726" i="17"/>
  <c r="K726" i="17"/>
  <c r="L726" i="17"/>
  <c r="M726" i="17"/>
  <c r="N726" i="17"/>
  <c r="D727" i="17"/>
  <c r="E727" i="17"/>
  <c r="F727" i="17"/>
  <c r="G727" i="17"/>
  <c r="H727" i="17"/>
  <c r="I727" i="17"/>
  <c r="J727" i="17"/>
  <c r="K727" i="17"/>
  <c r="L727" i="17"/>
  <c r="M727" i="17"/>
  <c r="N727" i="17"/>
  <c r="D728" i="17"/>
  <c r="E728" i="17"/>
  <c r="F728" i="17"/>
  <c r="G728" i="17"/>
  <c r="H728" i="17"/>
  <c r="I728" i="17"/>
  <c r="J728" i="17"/>
  <c r="K728" i="17"/>
  <c r="L728" i="17"/>
  <c r="M728" i="17"/>
  <c r="N728" i="17"/>
  <c r="D729" i="17"/>
  <c r="E729" i="17"/>
  <c r="F729" i="17"/>
  <c r="G729" i="17"/>
  <c r="H729" i="17"/>
  <c r="I729" i="17"/>
  <c r="J729" i="17"/>
  <c r="K729" i="17"/>
  <c r="L729" i="17"/>
  <c r="M729" i="17"/>
  <c r="N729" i="17"/>
  <c r="D743" i="17"/>
  <c r="E743" i="17"/>
  <c r="F743" i="17"/>
  <c r="G743" i="17"/>
  <c r="H743" i="17"/>
  <c r="I743" i="17"/>
  <c r="J743" i="17"/>
  <c r="K743" i="17"/>
  <c r="L743" i="17"/>
  <c r="M743" i="17"/>
  <c r="N743" i="17"/>
  <c r="D744" i="17"/>
  <c r="E744" i="17"/>
  <c r="F744" i="17"/>
  <c r="G744" i="17"/>
  <c r="H744" i="17"/>
  <c r="I744" i="17"/>
  <c r="J744" i="17"/>
  <c r="K744" i="17"/>
  <c r="L744" i="17"/>
  <c r="M744" i="17"/>
  <c r="N744" i="17"/>
  <c r="D745" i="17"/>
  <c r="E745" i="17"/>
  <c r="F745" i="17"/>
  <c r="G745" i="17"/>
  <c r="H745" i="17"/>
  <c r="I745" i="17"/>
  <c r="J745" i="17"/>
  <c r="K745" i="17"/>
  <c r="L745" i="17"/>
  <c r="M745" i="17"/>
  <c r="N745" i="17"/>
  <c r="D746" i="17"/>
  <c r="E746" i="17"/>
  <c r="F746" i="17"/>
  <c r="G746" i="17"/>
  <c r="H746" i="17"/>
  <c r="I746" i="17"/>
  <c r="J746" i="17"/>
  <c r="K746" i="17"/>
  <c r="L746" i="17"/>
  <c r="M746" i="17"/>
  <c r="N746" i="17"/>
  <c r="D747" i="17"/>
  <c r="E747" i="17"/>
  <c r="F747" i="17"/>
  <c r="G747" i="17"/>
  <c r="H747" i="17"/>
  <c r="I747" i="17"/>
  <c r="J747" i="17"/>
  <c r="K747" i="17"/>
  <c r="L747" i="17"/>
  <c r="M747" i="17"/>
  <c r="N747" i="17"/>
  <c r="D756" i="17"/>
  <c r="E756" i="17"/>
  <c r="F756" i="17"/>
  <c r="G756" i="17"/>
  <c r="H756" i="17"/>
  <c r="I756" i="17"/>
  <c r="J756" i="17"/>
  <c r="K756" i="17"/>
  <c r="L756" i="17"/>
  <c r="M756" i="17"/>
  <c r="N756" i="17"/>
  <c r="D757" i="17"/>
  <c r="E757" i="17"/>
  <c r="F757" i="17"/>
  <c r="G757" i="17"/>
  <c r="H757" i="17"/>
  <c r="I757" i="17"/>
  <c r="J757" i="17"/>
  <c r="K757" i="17"/>
  <c r="L757" i="17"/>
  <c r="M757" i="17"/>
  <c r="N757" i="17"/>
  <c r="D758" i="17"/>
  <c r="E758" i="17"/>
  <c r="F758" i="17"/>
  <c r="G758" i="17"/>
  <c r="H758" i="17"/>
  <c r="I758" i="17"/>
  <c r="J758" i="17"/>
  <c r="K758" i="17"/>
  <c r="L758" i="17"/>
  <c r="M758" i="17"/>
  <c r="N758" i="17"/>
  <c r="D759" i="17"/>
  <c r="E759" i="17"/>
  <c r="F759" i="17"/>
  <c r="G759" i="17"/>
  <c r="H759" i="17"/>
  <c r="I759" i="17"/>
  <c r="J759" i="17"/>
  <c r="K759" i="17"/>
  <c r="L759" i="17"/>
  <c r="M759" i="17"/>
  <c r="N759" i="17"/>
  <c r="D760" i="17"/>
  <c r="E760" i="17"/>
  <c r="F760" i="17"/>
  <c r="G760" i="17"/>
  <c r="H760" i="17"/>
  <c r="I760" i="17"/>
  <c r="J760" i="17"/>
  <c r="K760" i="17"/>
  <c r="L760" i="17"/>
  <c r="M760" i="17"/>
  <c r="N760" i="17"/>
  <c r="D761" i="17"/>
  <c r="E761" i="17"/>
  <c r="F761" i="17"/>
  <c r="G761" i="17"/>
  <c r="H761" i="17"/>
  <c r="I761" i="17"/>
  <c r="J761" i="17"/>
  <c r="K761" i="17"/>
  <c r="L761" i="17"/>
  <c r="M761" i="17"/>
  <c r="N761" i="17"/>
  <c r="D762" i="17"/>
  <c r="E762" i="17"/>
  <c r="F762" i="17"/>
  <c r="G762" i="17"/>
  <c r="H762" i="17"/>
  <c r="I762" i="17"/>
  <c r="J762" i="17"/>
  <c r="K762" i="17"/>
  <c r="L762" i="17"/>
  <c r="M762" i="17"/>
  <c r="N762" i="17"/>
  <c r="D763" i="17"/>
  <c r="E763" i="17"/>
  <c r="F763" i="17"/>
  <c r="G763" i="17"/>
  <c r="H763" i="17"/>
  <c r="I763" i="17"/>
  <c r="J763" i="17"/>
  <c r="K763" i="17"/>
  <c r="L763" i="17"/>
  <c r="M763" i="17"/>
  <c r="N763" i="17"/>
  <c r="D764" i="17"/>
  <c r="E764" i="17"/>
  <c r="F764" i="17"/>
  <c r="G764" i="17"/>
  <c r="H764" i="17"/>
  <c r="I764" i="17"/>
  <c r="J764" i="17"/>
  <c r="K764" i="17"/>
  <c r="L764" i="17"/>
  <c r="M764" i="17"/>
  <c r="N764" i="17"/>
  <c r="D765" i="17"/>
  <c r="E765" i="17"/>
  <c r="F765" i="17"/>
  <c r="G765" i="17"/>
  <c r="H765" i="17"/>
  <c r="I765" i="17"/>
  <c r="J765" i="17"/>
  <c r="K765" i="17"/>
  <c r="L765" i="17"/>
  <c r="M765" i="17"/>
  <c r="N765" i="17"/>
  <c r="D766" i="17"/>
  <c r="E766" i="17"/>
  <c r="F766" i="17"/>
  <c r="G766" i="17"/>
  <c r="H766" i="17"/>
  <c r="I766" i="17"/>
  <c r="J766" i="17"/>
  <c r="K766" i="17"/>
  <c r="L766" i="17"/>
  <c r="M766" i="17"/>
  <c r="N766" i="17"/>
  <c r="D769" i="17"/>
  <c r="E769" i="17"/>
  <c r="F769" i="17"/>
  <c r="G769" i="17"/>
  <c r="H769" i="17"/>
  <c r="I769" i="17"/>
  <c r="J769" i="17"/>
  <c r="K769" i="17"/>
  <c r="L769" i="17"/>
  <c r="M769" i="17"/>
  <c r="N769" i="17"/>
  <c r="D770" i="17"/>
  <c r="E770" i="17"/>
  <c r="F770" i="17"/>
  <c r="G770" i="17"/>
  <c r="H770" i="17"/>
  <c r="I770" i="17"/>
  <c r="J770" i="17"/>
  <c r="K770" i="17"/>
  <c r="L770" i="17"/>
  <c r="M770" i="17"/>
  <c r="N770" i="17"/>
  <c r="D771" i="17"/>
  <c r="E771" i="17"/>
  <c r="F771" i="17"/>
  <c r="G771" i="17"/>
  <c r="H771" i="17"/>
  <c r="I771" i="17"/>
  <c r="J771" i="17"/>
  <c r="K771" i="17"/>
  <c r="L771" i="17"/>
  <c r="M771" i="17"/>
  <c r="N771" i="17"/>
  <c r="D772" i="17"/>
  <c r="E772" i="17"/>
  <c r="F772" i="17"/>
  <c r="G772" i="17"/>
  <c r="H772" i="17"/>
  <c r="I772" i="17"/>
  <c r="J772" i="17"/>
  <c r="K772" i="17"/>
  <c r="L772" i="17"/>
  <c r="M772" i="17"/>
  <c r="N772" i="17"/>
  <c r="D773" i="17"/>
  <c r="E773" i="17"/>
  <c r="F773" i="17"/>
  <c r="G773" i="17"/>
  <c r="H773" i="17"/>
  <c r="I773" i="17"/>
  <c r="J773" i="17"/>
  <c r="K773" i="17"/>
  <c r="L773" i="17"/>
  <c r="M773" i="17"/>
  <c r="N773" i="17"/>
  <c r="D774" i="17"/>
  <c r="E774" i="17"/>
  <c r="F774" i="17"/>
  <c r="G774" i="17"/>
  <c r="H774" i="17"/>
  <c r="I774" i="17"/>
  <c r="J774" i="17"/>
  <c r="K774" i="17"/>
  <c r="L774" i="17"/>
  <c r="M774" i="17"/>
  <c r="N774" i="17"/>
  <c r="D775" i="17"/>
  <c r="E775" i="17"/>
  <c r="F775" i="17"/>
  <c r="G775" i="17"/>
  <c r="H775" i="17"/>
  <c r="I775" i="17"/>
  <c r="J775" i="17"/>
  <c r="K775" i="17"/>
  <c r="L775" i="17"/>
  <c r="M775" i="17"/>
  <c r="N775" i="17"/>
  <c r="D776" i="17"/>
  <c r="E776" i="17"/>
  <c r="F776" i="17"/>
  <c r="G776" i="17"/>
  <c r="H776" i="17"/>
  <c r="I776" i="17"/>
  <c r="J776" i="17"/>
  <c r="K776" i="17"/>
  <c r="L776" i="17"/>
  <c r="M776" i="17"/>
  <c r="N776" i="17"/>
  <c r="D777" i="17"/>
  <c r="E777" i="17"/>
  <c r="F777" i="17"/>
  <c r="G777" i="17"/>
  <c r="H777" i="17"/>
  <c r="I777" i="17"/>
  <c r="J777" i="17"/>
  <c r="K777" i="17"/>
  <c r="L777" i="17"/>
  <c r="M777" i="17"/>
  <c r="N777" i="17"/>
  <c r="D778" i="17"/>
  <c r="E778" i="17"/>
  <c r="F778" i="17"/>
  <c r="G778" i="17"/>
  <c r="H778" i="17"/>
  <c r="I778" i="17"/>
  <c r="J778" i="17"/>
  <c r="K778" i="17"/>
  <c r="L778" i="17"/>
  <c r="M778" i="17"/>
  <c r="N778" i="17"/>
  <c r="D779" i="17"/>
  <c r="E779" i="17"/>
  <c r="F779" i="17"/>
  <c r="G779" i="17"/>
  <c r="H779" i="17"/>
  <c r="I779" i="17"/>
  <c r="J779" i="17"/>
  <c r="K779" i="17"/>
  <c r="L779" i="17"/>
  <c r="M779" i="17"/>
  <c r="N779" i="17"/>
  <c r="D782" i="17"/>
  <c r="E782" i="17"/>
  <c r="F782" i="17"/>
  <c r="G782" i="17"/>
  <c r="H782" i="17"/>
  <c r="I782" i="17"/>
  <c r="J782" i="17"/>
  <c r="K782" i="17"/>
  <c r="L782" i="17"/>
  <c r="M782" i="17"/>
  <c r="N782" i="17"/>
  <c r="D783" i="17"/>
  <c r="E783" i="17"/>
  <c r="F783" i="17"/>
  <c r="G783" i="17"/>
  <c r="H783" i="17"/>
  <c r="I783" i="17"/>
  <c r="J783" i="17"/>
  <c r="K783" i="17"/>
  <c r="L783" i="17"/>
  <c r="M783" i="17"/>
  <c r="N783" i="17"/>
  <c r="D784" i="17"/>
  <c r="E784" i="17"/>
  <c r="F784" i="17"/>
  <c r="G784" i="17"/>
  <c r="H784" i="17"/>
  <c r="I784" i="17"/>
  <c r="J784" i="17"/>
  <c r="K784" i="17"/>
  <c r="L784" i="17"/>
  <c r="M784" i="17"/>
  <c r="N784" i="17"/>
  <c r="D785" i="17"/>
  <c r="E785" i="17"/>
  <c r="F785" i="17"/>
  <c r="G785" i="17"/>
  <c r="H785" i="17"/>
  <c r="I785" i="17"/>
  <c r="J785" i="17"/>
  <c r="K785" i="17"/>
  <c r="L785" i="17"/>
  <c r="M785" i="17"/>
  <c r="N785" i="17"/>
  <c r="D786" i="17"/>
  <c r="E786" i="17"/>
  <c r="F786" i="17"/>
  <c r="G786" i="17"/>
  <c r="H786" i="17"/>
  <c r="I786" i="17"/>
  <c r="J786" i="17"/>
  <c r="K786" i="17"/>
  <c r="L786" i="17"/>
  <c r="M786" i="17"/>
  <c r="N786" i="17"/>
  <c r="D787" i="17"/>
  <c r="E787" i="17"/>
  <c r="F787" i="17"/>
  <c r="G787" i="17"/>
  <c r="H787" i="17"/>
  <c r="I787" i="17"/>
  <c r="J787" i="17"/>
  <c r="K787" i="17"/>
  <c r="L787" i="17"/>
  <c r="M787" i="17"/>
  <c r="N787" i="17"/>
  <c r="D788" i="17"/>
  <c r="E788" i="17"/>
  <c r="F788" i="17"/>
  <c r="G788" i="17"/>
  <c r="H788" i="17"/>
  <c r="I788" i="17"/>
  <c r="J788" i="17"/>
  <c r="K788" i="17"/>
  <c r="L788" i="17"/>
  <c r="M788" i="17"/>
  <c r="N788" i="17"/>
  <c r="D789" i="17"/>
  <c r="E789" i="17"/>
  <c r="F789" i="17"/>
  <c r="G789" i="17"/>
  <c r="H789" i="17"/>
  <c r="I789" i="17"/>
  <c r="J789" i="17"/>
  <c r="K789" i="17"/>
  <c r="L789" i="17"/>
  <c r="M789" i="17"/>
  <c r="N789" i="17"/>
  <c r="D790" i="17"/>
  <c r="E790" i="17"/>
  <c r="F790" i="17"/>
  <c r="G790" i="17"/>
  <c r="H790" i="17"/>
  <c r="I790" i="17"/>
  <c r="J790" i="17"/>
  <c r="K790" i="17"/>
  <c r="L790" i="17"/>
  <c r="M790" i="17"/>
  <c r="N790" i="17"/>
  <c r="D791" i="17"/>
  <c r="E791" i="17"/>
  <c r="F791" i="17"/>
  <c r="G791" i="17"/>
  <c r="H791" i="17"/>
  <c r="I791" i="17"/>
  <c r="J791" i="17"/>
  <c r="K791" i="17"/>
  <c r="L791" i="17"/>
  <c r="M791" i="17"/>
  <c r="N791" i="17"/>
  <c r="D792" i="17"/>
  <c r="E792" i="17"/>
  <c r="F792" i="17"/>
  <c r="G792" i="17"/>
  <c r="H792" i="17"/>
  <c r="I792" i="17"/>
  <c r="J792" i="17"/>
  <c r="K792" i="17"/>
  <c r="L792" i="17"/>
  <c r="M792" i="17"/>
  <c r="N792" i="17"/>
  <c r="D806" i="17"/>
  <c r="E806" i="17"/>
  <c r="F806" i="17"/>
  <c r="G806" i="17"/>
  <c r="H806" i="17"/>
  <c r="I806" i="17"/>
  <c r="J806" i="17"/>
  <c r="K806" i="17"/>
  <c r="L806" i="17"/>
  <c r="M806" i="17"/>
  <c r="N806" i="17"/>
  <c r="D807" i="17"/>
  <c r="E807" i="17"/>
  <c r="F807" i="17"/>
  <c r="G807" i="17"/>
  <c r="H807" i="17"/>
  <c r="I807" i="17"/>
  <c r="J807" i="17"/>
  <c r="K807" i="17"/>
  <c r="L807" i="17"/>
  <c r="M807" i="17"/>
  <c r="N807" i="17"/>
  <c r="D808" i="17"/>
  <c r="E808" i="17"/>
  <c r="F808" i="17"/>
  <c r="G808" i="17"/>
  <c r="H808" i="17"/>
  <c r="I808" i="17"/>
  <c r="J808" i="17"/>
  <c r="K808" i="17"/>
  <c r="L808" i="17"/>
  <c r="M808" i="17"/>
  <c r="N808" i="17"/>
  <c r="D809" i="17"/>
  <c r="E809" i="17"/>
  <c r="F809" i="17"/>
  <c r="G809" i="17"/>
  <c r="H809" i="17"/>
  <c r="I809" i="17"/>
  <c r="J809" i="17"/>
  <c r="K809" i="17"/>
  <c r="L809" i="17"/>
  <c r="M809" i="17"/>
  <c r="N809" i="17"/>
  <c r="D810" i="17"/>
  <c r="E810" i="17"/>
  <c r="F810" i="17"/>
  <c r="G810" i="17"/>
  <c r="H810" i="17"/>
  <c r="I810" i="17"/>
  <c r="J810" i="17"/>
  <c r="K810" i="17"/>
  <c r="L810" i="17"/>
  <c r="M810" i="17"/>
  <c r="N810" i="17"/>
  <c r="D819" i="17"/>
  <c r="E819" i="17"/>
  <c r="F819" i="17"/>
  <c r="G819" i="17"/>
  <c r="H819" i="17"/>
  <c r="I819" i="17"/>
  <c r="J819" i="17"/>
  <c r="K819" i="17"/>
  <c r="L819" i="17"/>
  <c r="M819" i="17"/>
  <c r="N819" i="17"/>
  <c r="D820" i="17"/>
  <c r="E820" i="17"/>
  <c r="F820" i="17"/>
  <c r="G820" i="17"/>
  <c r="H820" i="17"/>
  <c r="I820" i="17"/>
  <c r="J820" i="17"/>
  <c r="K820" i="17"/>
  <c r="L820" i="17"/>
  <c r="M820" i="17"/>
  <c r="N820" i="17"/>
  <c r="D821" i="17"/>
  <c r="E821" i="17"/>
  <c r="F821" i="17"/>
  <c r="G821" i="17"/>
  <c r="H821" i="17"/>
  <c r="I821" i="17"/>
  <c r="J821" i="17"/>
  <c r="K821" i="17"/>
  <c r="L821" i="17"/>
  <c r="M821" i="17"/>
  <c r="N821" i="17"/>
  <c r="D822" i="17"/>
  <c r="E822" i="17"/>
  <c r="F822" i="17"/>
  <c r="G822" i="17"/>
  <c r="H822" i="17"/>
  <c r="I822" i="17"/>
  <c r="J822" i="17"/>
  <c r="K822" i="17"/>
  <c r="L822" i="17"/>
  <c r="M822" i="17"/>
  <c r="N822" i="17"/>
  <c r="D823" i="17"/>
  <c r="E823" i="17"/>
  <c r="F823" i="17"/>
  <c r="G823" i="17"/>
  <c r="H823" i="17"/>
  <c r="I823" i="17"/>
  <c r="J823" i="17"/>
  <c r="K823" i="17"/>
  <c r="L823" i="17"/>
  <c r="M823" i="17"/>
  <c r="N823" i="17"/>
  <c r="D824" i="17"/>
  <c r="E824" i="17"/>
  <c r="F824" i="17"/>
  <c r="G824" i="17"/>
  <c r="H824" i="17"/>
  <c r="I824" i="17"/>
  <c r="J824" i="17"/>
  <c r="K824" i="17"/>
  <c r="L824" i="17"/>
  <c r="M824" i="17"/>
  <c r="N824" i="17"/>
  <c r="D825" i="17"/>
  <c r="E825" i="17"/>
  <c r="F825" i="17"/>
  <c r="G825" i="17"/>
  <c r="H825" i="17"/>
  <c r="I825" i="17"/>
  <c r="J825" i="17"/>
  <c r="K825" i="17"/>
  <c r="L825" i="17"/>
  <c r="M825" i="17"/>
  <c r="N825" i="17"/>
  <c r="D826" i="17"/>
  <c r="E826" i="17"/>
  <c r="F826" i="17"/>
  <c r="G826" i="17"/>
  <c r="H826" i="17"/>
  <c r="I826" i="17"/>
  <c r="J826" i="17"/>
  <c r="K826" i="17"/>
  <c r="L826" i="17"/>
  <c r="M826" i="17"/>
  <c r="N826" i="17"/>
  <c r="D827" i="17"/>
  <c r="E827" i="17"/>
  <c r="F827" i="17"/>
  <c r="G827" i="17"/>
  <c r="H827" i="17"/>
  <c r="I827" i="17"/>
  <c r="J827" i="17"/>
  <c r="K827" i="17"/>
  <c r="L827" i="17"/>
  <c r="M827" i="17"/>
  <c r="N827" i="17"/>
  <c r="D828" i="17"/>
  <c r="E828" i="17"/>
  <c r="F828" i="17"/>
  <c r="G828" i="17"/>
  <c r="H828" i="17"/>
  <c r="I828" i="17"/>
  <c r="J828" i="17"/>
  <c r="K828" i="17"/>
  <c r="L828" i="17"/>
  <c r="M828" i="17"/>
  <c r="N828" i="17"/>
  <c r="D829" i="17"/>
  <c r="E829" i="17"/>
  <c r="F829" i="17"/>
  <c r="G829" i="17"/>
  <c r="H829" i="17"/>
  <c r="I829" i="17"/>
  <c r="J829" i="17"/>
  <c r="K829" i="17"/>
  <c r="L829" i="17"/>
  <c r="M829" i="17"/>
  <c r="N829" i="17"/>
  <c r="D832" i="17"/>
  <c r="E832" i="17"/>
  <c r="F832" i="17"/>
  <c r="G832" i="17"/>
  <c r="H832" i="17"/>
  <c r="I832" i="17"/>
  <c r="J832" i="17"/>
  <c r="K832" i="17"/>
  <c r="L832" i="17"/>
  <c r="M832" i="17"/>
  <c r="N832" i="17"/>
  <c r="D833" i="17"/>
  <c r="E833" i="17"/>
  <c r="F833" i="17"/>
  <c r="G833" i="17"/>
  <c r="H833" i="17"/>
  <c r="I833" i="17"/>
  <c r="J833" i="17"/>
  <c r="K833" i="17"/>
  <c r="L833" i="17"/>
  <c r="M833" i="17"/>
  <c r="N833" i="17"/>
  <c r="D834" i="17"/>
  <c r="E834" i="17"/>
  <c r="F834" i="17"/>
  <c r="G834" i="17"/>
  <c r="H834" i="17"/>
  <c r="I834" i="17"/>
  <c r="J834" i="17"/>
  <c r="K834" i="17"/>
  <c r="L834" i="17"/>
  <c r="M834" i="17"/>
  <c r="N834" i="17"/>
  <c r="D835" i="17"/>
  <c r="E835" i="17"/>
  <c r="F835" i="17"/>
  <c r="G835" i="17"/>
  <c r="H835" i="17"/>
  <c r="I835" i="17"/>
  <c r="J835" i="17"/>
  <c r="K835" i="17"/>
  <c r="L835" i="17"/>
  <c r="M835" i="17"/>
  <c r="N835" i="17"/>
  <c r="D836" i="17"/>
  <c r="E836" i="17"/>
  <c r="F836" i="17"/>
  <c r="G836" i="17"/>
  <c r="H836" i="17"/>
  <c r="I836" i="17"/>
  <c r="J836" i="17"/>
  <c r="K836" i="17"/>
  <c r="L836" i="17"/>
  <c r="M836" i="17"/>
  <c r="N836" i="17"/>
  <c r="D837" i="17"/>
  <c r="E837" i="17"/>
  <c r="F837" i="17"/>
  <c r="G837" i="17"/>
  <c r="H837" i="17"/>
  <c r="I837" i="17"/>
  <c r="J837" i="17"/>
  <c r="K837" i="17"/>
  <c r="L837" i="17"/>
  <c r="M837" i="17"/>
  <c r="N837" i="17"/>
  <c r="D838" i="17"/>
  <c r="E838" i="17"/>
  <c r="F838" i="17"/>
  <c r="G838" i="17"/>
  <c r="H838" i="17"/>
  <c r="I838" i="17"/>
  <c r="J838" i="17"/>
  <c r="K838" i="17"/>
  <c r="L838" i="17"/>
  <c r="M838" i="17"/>
  <c r="N838" i="17"/>
  <c r="D839" i="17"/>
  <c r="E839" i="17"/>
  <c r="F839" i="17"/>
  <c r="G839" i="17"/>
  <c r="H839" i="17"/>
  <c r="I839" i="17"/>
  <c r="J839" i="17"/>
  <c r="K839" i="17"/>
  <c r="L839" i="17"/>
  <c r="M839" i="17"/>
  <c r="N839" i="17"/>
  <c r="D840" i="17"/>
  <c r="E840" i="17"/>
  <c r="F840" i="17"/>
  <c r="G840" i="17"/>
  <c r="H840" i="17"/>
  <c r="I840" i="17"/>
  <c r="J840" i="17"/>
  <c r="K840" i="17"/>
  <c r="L840" i="17"/>
  <c r="M840" i="17"/>
  <c r="N840" i="17"/>
  <c r="D841" i="17"/>
  <c r="E841" i="17"/>
  <c r="F841" i="17"/>
  <c r="G841" i="17"/>
  <c r="H841" i="17"/>
  <c r="I841" i="17"/>
  <c r="J841" i="17"/>
  <c r="K841" i="17"/>
  <c r="L841" i="17"/>
  <c r="M841" i="17"/>
  <c r="N841" i="17"/>
  <c r="D842" i="17"/>
  <c r="E842" i="17"/>
  <c r="F842" i="17"/>
  <c r="G842" i="17"/>
  <c r="H842" i="17"/>
  <c r="I842" i="17"/>
  <c r="J842" i="17"/>
  <c r="K842" i="17"/>
  <c r="L842" i="17"/>
  <c r="M842" i="17"/>
  <c r="N842" i="17"/>
  <c r="D845" i="17"/>
  <c r="E845" i="17"/>
  <c r="F845" i="17"/>
  <c r="G845" i="17"/>
  <c r="H845" i="17"/>
  <c r="I845" i="17"/>
  <c r="J845" i="17"/>
  <c r="K845" i="17"/>
  <c r="L845" i="17"/>
  <c r="M845" i="17"/>
  <c r="N845" i="17"/>
  <c r="D846" i="17"/>
  <c r="E846" i="17"/>
  <c r="F846" i="17"/>
  <c r="G846" i="17"/>
  <c r="H846" i="17"/>
  <c r="I846" i="17"/>
  <c r="J846" i="17"/>
  <c r="K846" i="17"/>
  <c r="L846" i="17"/>
  <c r="M846" i="17"/>
  <c r="N846" i="17"/>
  <c r="D847" i="17"/>
  <c r="E847" i="17"/>
  <c r="F847" i="17"/>
  <c r="G847" i="17"/>
  <c r="H847" i="17"/>
  <c r="I847" i="17"/>
  <c r="J847" i="17"/>
  <c r="K847" i="17"/>
  <c r="L847" i="17"/>
  <c r="M847" i="17"/>
  <c r="N847" i="17"/>
  <c r="D848" i="17"/>
  <c r="E848" i="17"/>
  <c r="F848" i="17"/>
  <c r="G848" i="17"/>
  <c r="H848" i="17"/>
  <c r="I848" i="17"/>
  <c r="J848" i="17"/>
  <c r="K848" i="17"/>
  <c r="L848" i="17"/>
  <c r="M848" i="17"/>
  <c r="N848" i="17"/>
  <c r="D849" i="17"/>
  <c r="E849" i="17"/>
  <c r="F849" i="17"/>
  <c r="G849" i="17"/>
  <c r="H849" i="17"/>
  <c r="I849" i="17"/>
  <c r="J849" i="17"/>
  <c r="K849" i="17"/>
  <c r="L849" i="17"/>
  <c r="M849" i="17"/>
  <c r="N849" i="17"/>
  <c r="D850" i="17"/>
  <c r="E850" i="17"/>
  <c r="F850" i="17"/>
  <c r="G850" i="17"/>
  <c r="H850" i="17"/>
  <c r="I850" i="17"/>
  <c r="J850" i="17"/>
  <c r="K850" i="17"/>
  <c r="L850" i="17"/>
  <c r="M850" i="17"/>
  <c r="N850" i="17"/>
  <c r="D851" i="17"/>
  <c r="E851" i="17"/>
  <c r="F851" i="17"/>
  <c r="G851" i="17"/>
  <c r="H851" i="17"/>
  <c r="I851" i="17"/>
  <c r="J851" i="17"/>
  <c r="K851" i="17"/>
  <c r="L851" i="17"/>
  <c r="M851" i="17"/>
  <c r="N851" i="17"/>
  <c r="D852" i="17"/>
  <c r="E852" i="17"/>
  <c r="F852" i="17"/>
  <c r="G852" i="17"/>
  <c r="H852" i="17"/>
  <c r="I852" i="17"/>
  <c r="J852" i="17"/>
  <c r="K852" i="17"/>
  <c r="L852" i="17"/>
  <c r="M852" i="17"/>
  <c r="N852" i="17"/>
  <c r="D853" i="17"/>
  <c r="E853" i="17"/>
  <c r="F853" i="17"/>
  <c r="G853" i="17"/>
  <c r="H853" i="17"/>
  <c r="I853" i="17"/>
  <c r="J853" i="17"/>
  <c r="K853" i="17"/>
  <c r="L853" i="17"/>
  <c r="M853" i="17"/>
  <c r="N853" i="17"/>
  <c r="D854" i="17"/>
  <c r="E854" i="17"/>
  <c r="F854" i="17"/>
  <c r="G854" i="17"/>
  <c r="H854" i="17"/>
  <c r="I854" i="17"/>
  <c r="J854" i="17"/>
  <c r="K854" i="17"/>
  <c r="L854" i="17"/>
  <c r="M854" i="17"/>
  <c r="N854" i="17"/>
  <c r="D855" i="17"/>
  <c r="E855" i="17"/>
  <c r="F855" i="17"/>
  <c r="G855" i="17"/>
  <c r="H855" i="17"/>
  <c r="I855" i="17"/>
  <c r="J855" i="17"/>
  <c r="K855" i="17"/>
  <c r="L855" i="17"/>
  <c r="M855" i="17"/>
  <c r="N855" i="17"/>
  <c r="D858" i="17"/>
  <c r="E858" i="17"/>
  <c r="F858" i="17"/>
  <c r="G858" i="17"/>
  <c r="H858" i="17"/>
  <c r="I858" i="17"/>
  <c r="J858" i="17"/>
  <c r="K858" i="17"/>
  <c r="L858" i="17"/>
  <c r="M858" i="17"/>
  <c r="N858" i="17"/>
  <c r="D859" i="17"/>
  <c r="E859" i="17"/>
  <c r="F859" i="17"/>
  <c r="G859" i="17"/>
  <c r="H859" i="17"/>
  <c r="I859" i="17"/>
  <c r="J859" i="17"/>
  <c r="K859" i="17"/>
  <c r="L859" i="17"/>
  <c r="M859" i="17"/>
  <c r="N859" i="17"/>
  <c r="D860" i="17"/>
  <c r="E860" i="17"/>
  <c r="F860" i="17"/>
  <c r="G860" i="17"/>
  <c r="H860" i="17"/>
  <c r="I860" i="17"/>
  <c r="J860" i="17"/>
  <c r="K860" i="17"/>
  <c r="L860" i="17"/>
  <c r="M860" i="17"/>
  <c r="N860" i="17"/>
  <c r="D861" i="17"/>
  <c r="E861" i="17"/>
  <c r="F861" i="17"/>
  <c r="G861" i="17"/>
  <c r="H861" i="17"/>
  <c r="I861" i="17"/>
  <c r="J861" i="17"/>
  <c r="K861" i="17"/>
  <c r="L861" i="17"/>
  <c r="M861" i="17"/>
  <c r="N861" i="17"/>
  <c r="D862" i="17"/>
  <c r="E862" i="17"/>
  <c r="F862" i="17"/>
  <c r="G862" i="17"/>
  <c r="H862" i="17"/>
  <c r="I862" i="17"/>
  <c r="J862" i="17"/>
  <c r="K862" i="17"/>
  <c r="L862" i="17"/>
  <c r="M862" i="17"/>
  <c r="N862" i="17"/>
  <c r="D863" i="17"/>
  <c r="E863" i="17"/>
  <c r="F863" i="17"/>
  <c r="G863" i="17"/>
  <c r="H863" i="17"/>
  <c r="I863" i="17"/>
  <c r="J863" i="17"/>
  <c r="K863" i="17"/>
  <c r="L863" i="17"/>
  <c r="M863" i="17"/>
  <c r="N863" i="17"/>
  <c r="D864" i="17"/>
  <c r="E864" i="17"/>
  <c r="F864" i="17"/>
  <c r="G864" i="17"/>
  <c r="H864" i="17"/>
  <c r="I864" i="17"/>
  <c r="J864" i="17"/>
  <c r="K864" i="17"/>
  <c r="L864" i="17"/>
  <c r="M864" i="17"/>
  <c r="N864" i="17"/>
  <c r="D865" i="17"/>
  <c r="E865" i="17"/>
  <c r="F865" i="17"/>
  <c r="G865" i="17"/>
  <c r="H865" i="17"/>
  <c r="I865" i="17"/>
  <c r="J865" i="17"/>
  <c r="K865" i="17"/>
  <c r="L865" i="17"/>
  <c r="M865" i="17"/>
  <c r="N865" i="17"/>
  <c r="D866" i="17"/>
  <c r="E866" i="17"/>
  <c r="F866" i="17"/>
  <c r="G866" i="17"/>
  <c r="H866" i="17"/>
  <c r="I866" i="17"/>
  <c r="J866" i="17"/>
  <c r="K866" i="17"/>
  <c r="L866" i="17"/>
  <c r="M866" i="17"/>
  <c r="N866" i="17"/>
  <c r="D867" i="17"/>
  <c r="E867" i="17"/>
  <c r="F867" i="17"/>
  <c r="G867" i="17"/>
  <c r="H867" i="17"/>
  <c r="I867" i="17"/>
  <c r="J867" i="17"/>
  <c r="K867" i="17"/>
  <c r="L867" i="17"/>
  <c r="M867" i="17"/>
  <c r="N867" i="17"/>
  <c r="D868" i="17"/>
  <c r="E868" i="17"/>
  <c r="F868" i="17"/>
  <c r="G868" i="17"/>
  <c r="H868" i="17"/>
  <c r="I868" i="17"/>
  <c r="J868" i="17"/>
  <c r="K868" i="17"/>
  <c r="L868" i="17"/>
  <c r="M868" i="17"/>
  <c r="N868" i="17"/>
  <c r="D1066" i="17"/>
  <c r="E1066" i="17"/>
  <c r="F1066" i="17"/>
  <c r="G1066" i="17"/>
  <c r="H1066" i="17"/>
  <c r="I1066" i="17"/>
  <c r="J1066" i="17"/>
  <c r="K1066" i="17"/>
  <c r="L1066" i="17"/>
  <c r="M1066" i="17"/>
  <c r="N1066" i="17"/>
  <c r="D1067" i="17"/>
  <c r="E1067" i="17"/>
  <c r="F1067" i="17"/>
  <c r="G1067" i="17"/>
  <c r="H1067" i="17"/>
  <c r="I1067" i="17"/>
  <c r="J1067" i="17"/>
  <c r="K1067" i="17"/>
  <c r="L1067" i="17"/>
  <c r="M1067" i="17"/>
  <c r="N1067" i="17"/>
  <c r="D1068" i="17"/>
  <c r="E1068" i="17"/>
  <c r="F1068" i="17"/>
  <c r="G1068" i="17"/>
  <c r="H1068" i="17"/>
  <c r="I1068" i="17"/>
  <c r="J1068" i="17"/>
  <c r="K1068" i="17"/>
  <c r="L1068" i="17"/>
  <c r="M1068" i="17"/>
  <c r="N1068" i="17"/>
  <c r="D1069" i="17"/>
  <c r="E1069" i="17"/>
  <c r="F1069" i="17"/>
  <c r="G1069" i="17"/>
  <c r="H1069" i="17"/>
  <c r="I1069" i="17"/>
  <c r="J1069" i="17"/>
  <c r="K1069" i="17"/>
  <c r="L1069" i="17"/>
  <c r="M1069" i="17"/>
  <c r="N1069" i="17"/>
  <c r="D1076" i="17"/>
  <c r="E1076" i="17"/>
  <c r="F1076" i="17"/>
  <c r="G1076" i="17"/>
  <c r="H1076" i="17"/>
  <c r="I1076" i="17"/>
  <c r="J1076" i="17"/>
  <c r="K1076" i="17"/>
  <c r="L1076" i="17"/>
  <c r="M1076" i="17"/>
  <c r="N1076" i="17"/>
  <c r="D1077" i="17"/>
  <c r="E1077" i="17"/>
  <c r="F1077" i="17"/>
  <c r="G1077" i="17"/>
  <c r="H1077" i="17"/>
  <c r="I1077" i="17"/>
  <c r="J1077" i="17"/>
  <c r="K1077" i="17"/>
  <c r="L1077" i="17"/>
  <c r="M1077" i="17"/>
  <c r="N1077" i="17"/>
  <c r="D1078" i="17"/>
  <c r="E1078" i="17"/>
  <c r="F1078" i="17"/>
  <c r="G1078" i="17"/>
  <c r="H1078" i="17"/>
  <c r="I1078" i="17"/>
  <c r="J1078" i="17"/>
  <c r="K1078" i="17"/>
  <c r="L1078" i="17"/>
  <c r="M1078" i="17"/>
  <c r="N1078" i="17"/>
  <c r="D1079" i="17"/>
  <c r="E1079" i="17"/>
  <c r="F1079" i="17"/>
  <c r="G1079" i="17"/>
  <c r="H1079" i="17"/>
  <c r="I1079" i="17"/>
  <c r="J1079" i="17"/>
  <c r="K1079" i="17"/>
  <c r="L1079" i="17"/>
  <c r="M1079" i="17"/>
  <c r="N1079" i="17"/>
  <c r="D1080" i="17"/>
  <c r="E1080" i="17"/>
  <c r="F1080" i="17"/>
  <c r="G1080" i="17"/>
  <c r="H1080" i="17"/>
  <c r="I1080" i="17"/>
  <c r="J1080" i="17"/>
  <c r="K1080" i="17"/>
  <c r="L1080" i="17"/>
  <c r="M1080" i="17"/>
  <c r="N1080" i="17"/>
  <c r="D1083" i="17"/>
  <c r="E1083" i="17"/>
  <c r="F1083" i="17"/>
  <c r="G1083" i="17"/>
  <c r="H1083" i="17"/>
  <c r="I1083" i="17"/>
  <c r="J1083" i="17"/>
  <c r="K1083" i="17"/>
  <c r="L1083" i="17"/>
  <c r="M1083" i="17"/>
  <c r="N1083" i="17"/>
  <c r="D1084" i="17"/>
  <c r="E1084" i="17"/>
  <c r="F1084" i="17"/>
  <c r="G1084" i="17"/>
  <c r="H1084" i="17"/>
  <c r="I1084" i="17"/>
  <c r="J1084" i="17"/>
  <c r="K1084" i="17"/>
  <c r="L1084" i="17"/>
  <c r="M1084" i="17"/>
  <c r="N1084" i="17"/>
  <c r="D1085" i="17"/>
  <c r="E1085" i="17"/>
  <c r="F1085" i="17"/>
  <c r="G1085" i="17"/>
  <c r="H1085" i="17"/>
  <c r="I1085" i="17"/>
  <c r="J1085" i="17"/>
  <c r="K1085" i="17"/>
  <c r="L1085" i="17"/>
  <c r="M1085" i="17"/>
  <c r="N1085" i="17"/>
  <c r="D1086" i="17"/>
  <c r="E1086" i="17"/>
  <c r="F1086" i="17"/>
  <c r="G1086" i="17"/>
  <c r="H1086" i="17"/>
  <c r="I1086" i="17"/>
  <c r="J1086" i="17"/>
  <c r="K1086" i="17"/>
  <c r="L1086" i="17"/>
  <c r="M1086" i="17"/>
  <c r="N1086" i="17"/>
  <c r="D1087" i="17"/>
  <c r="E1087" i="17"/>
  <c r="F1087" i="17"/>
  <c r="G1087" i="17"/>
  <c r="H1087" i="17"/>
  <c r="I1087" i="17"/>
  <c r="J1087" i="17"/>
  <c r="K1087" i="17"/>
  <c r="L1087" i="17"/>
  <c r="M1087" i="17"/>
  <c r="N1087" i="17"/>
  <c r="D1088" i="17"/>
  <c r="E1088" i="17"/>
  <c r="F1088" i="17"/>
  <c r="G1088" i="17"/>
  <c r="H1088" i="17"/>
  <c r="I1088" i="17"/>
  <c r="J1088" i="17"/>
  <c r="K1088" i="17"/>
  <c r="L1088" i="17"/>
  <c r="M1088" i="17"/>
  <c r="N1088" i="17"/>
  <c r="D1089" i="17"/>
  <c r="E1089" i="17"/>
  <c r="F1089" i="17"/>
  <c r="G1089" i="17"/>
  <c r="H1089" i="17"/>
  <c r="I1089" i="17"/>
  <c r="J1089" i="17"/>
  <c r="K1089" i="17"/>
  <c r="L1089" i="17"/>
  <c r="M1089" i="17"/>
  <c r="N1089" i="17"/>
  <c r="D1090" i="17"/>
  <c r="E1090" i="17"/>
  <c r="F1090" i="17"/>
  <c r="G1090" i="17"/>
  <c r="H1090" i="17"/>
  <c r="I1090" i="17"/>
  <c r="J1090" i="17"/>
  <c r="K1090" i="17"/>
  <c r="L1090" i="17"/>
  <c r="M1090" i="17"/>
  <c r="N1090" i="17"/>
  <c r="D1091" i="17"/>
  <c r="E1091" i="17"/>
  <c r="F1091" i="17"/>
  <c r="G1091" i="17"/>
  <c r="H1091" i="17"/>
  <c r="I1091" i="17"/>
  <c r="J1091" i="17"/>
  <c r="K1091" i="17"/>
  <c r="L1091" i="17"/>
  <c r="M1091" i="17"/>
  <c r="N1091" i="17"/>
  <c r="D1092" i="17"/>
  <c r="E1092" i="17"/>
  <c r="F1092" i="17"/>
  <c r="G1092" i="17"/>
  <c r="H1092" i="17"/>
  <c r="I1092" i="17"/>
  <c r="J1092" i="17"/>
  <c r="K1092" i="17"/>
  <c r="L1092" i="17"/>
  <c r="M1092" i="17"/>
  <c r="N1092" i="17"/>
  <c r="D1093" i="17"/>
  <c r="E1093" i="17"/>
  <c r="F1093" i="17"/>
  <c r="G1093" i="17"/>
  <c r="H1093" i="17"/>
  <c r="I1093" i="17"/>
  <c r="J1093" i="17"/>
  <c r="K1093" i="17"/>
  <c r="L1093" i="17"/>
  <c r="M1093" i="17"/>
  <c r="N1093" i="17"/>
  <c r="D1094" i="17"/>
  <c r="E1094" i="17"/>
  <c r="F1094" i="17"/>
  <c r="G1094" i="17"/>
  <c r="H1094" i="17"/>
  <c r="I1094" i="17"/>
  <c r="J1094" i="17"/>
  <c r="K1094" i="17"/>
  <c r="L1094" i="17"/>
  <c r="M1094" i="17"/>
  <c r="N1094" i="17"/>
  <c r="D1097" i="17"/>
  <c r="E1097" i="17"/>
  <c r="F1097" i="17"/>
  <c r="G1097" i="17"/>
  <c r="H1097" i="17"/>
  <c r="I1097" i="17"/>
  <c r="J1097" i="17"/>
  <c r="K1097" i="17"/>
  <c r="L1097" i="17"/>
  <c r="M1097" i="17"/>
  <c r="N1097" i="17"/>
  <c r="D1098" i="17"/>
  <c r="E1098" i="17"/>
  <c r="F1098" i="17"/>
  <c r="G1098" i="17"/>
  <c r="H1098" i="17"/>
  <c r="I1098" i="17"/>
  <c r="J1098" i="17"/>
  <c r="K1098" i="17"/>
  <c r="L1098" i="17"/>
  <c r="M1098" i="17"/>
  <c r="N1098" i="17"/>
  <c r="D1099" i="17"/>
  <c r="E1099" i="17"/>
  <c r="F1099" i="17"/>
  <c r="G1099" i="17"/>
  <c r="H1099" i="17"/>
  <c r="I1099" i="17"/>
  <c r="J1099" i="17"/>
  <c r="K1099" i="17"/>
  <c r="L1099" i="17"/>
  <c r="M1099" i="17"/>
  <c r="N1099" i="17"/>
  <c r="D1100" i="17"/>
  <c r="E1100" i="17"/>
  <c r="F1100" i="17"/>
  <c r="G1100" i="17"/>
  <c r="H1100" i="17"/>
  <c r="I1100" i="17"/>
  <c r="J1100" i="17"/>
  <c r="K1100" i="17"/>
  <c r="L1100" i="17"/>
  <c r="M1100" i="17"/>
  <c r="N1100" i="17"/>
  <c r="D1101" i="17"/>
  <c r="E1101" i="17"/>
  <c r="F1101" i="17"/>
  <c r="G1101" i="17"/>
  <c r="H1101" i="17"/>
  <c r="I1101" i="17"/>
  <c r="J1101" i="17"/>
  <c r="K1101" i="17"/>
  <c r="L1101" i="17"/>
  <c r="M1101" i="17"/>
  <c r="N1101" i="17"/>
  <c r="D1102" i="17"/>
  <c r="E1102" i="17"/>
  <c r="F1102" i="17"/>
  <c r="G1102" i="17"/>
  <c r="H1102" i="17"/>
  <c r="I1102" i="17"/>
  <c r="J1102" i="17"/>
  <c r="K1102" i="17"/>
  <c r="L1102" i="17"/>
  <c r="M1102" i="17"/>
  <c r="N1102" i="17"/>
  <c r="D1103" i="17"/>
  <c r="E1103" i="17"/>
  <c r="F1103" i="17"/>
  <c r="G1103" i="17"/>
  <c r="H1103" i="17"/>
  <c r="I1103" i="17"/>
  <c r="J1103" i="17"/>
  <c r="K1103" i="17"/>
  <c r="L1103" i="17"/>
  <c r="M1103" i="17"/>
  <c r="N1103" i="17"/>
  <c r="D1104" i="17"/>
  <c r="E1104" i="17"/>
  <c r="F1104" i="17"/>
  <c r="G1104" i="17"/>
  <c r="H1104" i="17"/>
  <c r="I1104" i="17"/>
  <c r="J1104" i="17"/>
  <c r="K1104" i="17"/>
  <c r="L1104" i="17"/>
  <c r="M1104" i="17"/>
  <c r="N1104" i="17"/>
  <c r="D1105" i="17"/>
  <c r="E1105" i="17"/>
  <c r="F1105" i="17"/>
  <c r="G1105" i="17"/>
  <c r="H1105" i="17"/>
  <c r="I1105" i="17"/>
  <c r="J1105" i="17"/>
  <c r="K1105" i="17"/>
  <c r="L1105" i="17"/>
  <c r="M1105" i="17"/>
  <c r="N1105" i="17"/>
  <c r="D1108" i="17"/>
  <c r="E1108" i="17"/>
  <c r="F1108" i="17"/>
  <c r="G1108" i="17"/>
  <c r="H1108" i="17"/>
  <c r="I1108" i="17"/>
  <c r="J1108" i="17"/>
  <c r="K1108" i="17"/>
  <c r="L1108" i="17"/>
  <c r="M1108" i="17"/>
  <c r="N1108" i="17"/>
  <c r="D1109" i="17"/>
  <c r="E1109" i="17"/>
  <c r="F1109" i="17"/>
  <c r="G1109" i="17"/>
  <c r="H1109" i="17"/>
  <c r="I1109" i="17"/>
  <c r="J1109" i="17"/>
  <c r="K1109" i="17"/>
  <c r="L1109" i="17"/>
  <c r="M1109" i="17"/>
  <c r="N1109" i="17"/>
  <c r="D1110" i="17"/>
  <c r="E1110" i="17"/>
  <c r="F1110" i="17"/>
  <c r="G1110" i="17"/>
  <c r="H1110" i="17"/>
  <c r="I1110" i="17"/>
  <c r="J1110" i="17"/>
  <c r="K1110" i="17"/>
  <c r="L1110" i="17"/>
  <c r="M1110" i="17"/>
  <c r="N1110" i="17"/>
  <c r="D1111" i="17"/>
  <c r="E1111" i="17"/>
  <c r="F1111" i="17"/>
  <c r="G1111" i="17"/>
  <c r="H1111" i="17"/>
  <c r="I1111" i="17"/>
  <c r="J1111" i="17"/>
  <c r="K1111" i="17"/>
  <c r="L1111" i="17"/>
  <c r="M1111" i="17"/>
  <c r="N1111" i="17"/>
  <c r="D1112" i="17"/>
  <c r="E1112" i="17"/>
  <c r="F1112" i="17"/>
  <c r="G1112" i="17"/>
  <c r="H1112" i="17"/>
  <c r="I1112" i="17"/>
  <c r="J1112" i="17"/>
  <c r="K1112" i="17"/>
  <c r="L1112" i="17"/>
  <c r="M1112" i="17"/>
  <c r="N1112" i="17"/>
  <c r="D1113" i="17"/>
  <c r="E1113" i="17"/>
  <c r="F1113" i="17"/>
  <c r="G1113" i="17"/>
  <c r="H1113" i="17"/>
  <c r="I1113" i="17"/>
  <c r="J1113" i="17"/>
  <c r="K1113" i="17"/>
  <c r="L1113" i="17"/>
  <c r="M1113" i="17"/>
  <c r="N1113" i="17"/>
  <c r="D1114" i="17"/>
  <c r="E1114" i="17"/>
  <c r="F1114" i="17"/>
  <c r="G1114" i="17"/>
  <c r="H1114" i="17"/>
  <c r="I1114" i="17"/>
  <c r="J1114" i="17"/>
  <c r="K1114" i="17"/>
  <c r="L1114" i="17"/>
  <c r="M1114" i="17"/>
  <c r="N1114" i="17"/>
  <c r="D1117" i="17"/>
  <c r="E1117" i="17"/>
  <c r="F1117" i="17"/>
  <c r="G1117" i="17"/>
  <c r="H1117" i="17"/>
  <c r="I1117" i="17"/>
  <c r="J1117" i="17"/>
  <c r="K1117" i="17"/>
  <c r="L1117" i="17"/>
  <c r="M1117" i="17"/>
  <c r="N1117" i="17"/>
  <c r="D1118" i="17"/>
  <c r="E1118" i="17"/>
  <c r="F1118" i="17"/>
  <c r="G1118" i="17"/>
  <c r="H1118" i="17"/>
  <c r="I1118" i="17"/>
  <c r="J1118" i="17"/>
  <c r="K1118" i="17"/>
  <c r="L1118" i="17"/>
  <c r="M1118" i="17"/>
  <c r="N1118" i="17"/>
  <c r="D1119" i="17"/>
  <c r="E1119" i="17"/>
  <c r="F1119" i="17"/>
  <c r="G1119" i="17"/>
  <c r="H1119" i="17"/>
  <c r="I1119" i="17"/>
  <c r="J1119" i="17"/>
  <c r="K1119" i="17"/>
  <c r="L1119" i="17"/>
  <c r="M1119" i="17"/>
  <c r="N1119" i="17"/>
  <c r="D1120" i="17"/>
  <c r="E1120" i="17"/>
  <c r="F1120" i="17"/>
  <c r="G1120" i="17"/>
  <c r="H1120" i="17"/>
  <c r="I1120" i="17"/>
  <c r="J1120" i="17"/>
  <c r="K1120" i="17"/>
  <c r="L1120" i="17"/>
  <c r="M1120" i="17"/>
  <c r="N1120" i="17"/>
  <c r="D1121" i="17"/>
  <c r="E1121" i="17"/>
  <c r="F1121" i="17"/>
  <c r="G1121" i="17"/>
  <c r="H1121" i="17"/>
  <c r="I1121" i="17"/>
  <c r="J1121" i="17"/>
  <c r="K1121" i="17"/>
  <c r="L1121" i="17"/>
  <c r="M1121" i="17"/>
  <c r="N1121" i="17"/>
  <c r="D1122" i="17"/>
  <c r="E1122" i="17"/>
  <c r="F1122" i="17"/>
  <c r="G1122" i="17"/>
  <c r="H1122" i="17"/>
  <c r="I1122" i="17"/>
  <c r="J1122" i="17"/>
  <c r="K1122" i="17"/>
  <c r="L1122" i="17"/>
  <c r="M1122" i="17"/>
  <c r="N1122" i="17"/>
  <c r="D1123" i="17"/>
  <c r="E1123" i="17"/>
  <c r="F1123" i="17"/>
  <c r="G1123" i="17"/>
  <c r="H1123" i="17"/>
  <c r="I1123" i="17"/>
  <c r="J1123" i="17"/>
  <c r="K1123" i="17"/>
  <c r="L1123" i="17"/>
  <c r="M1123" i="17"/>
  <c r="N1123" i="17"/>
  <c r="D1126" i="17"/>
  <c r="E1126" i="17"/>
  <c r="F1126" i="17"/>
  <c r="G1126" i="17"/>
  <c r="H1126" i="17"/>
  <c r="I1126" i="17"/>
  <c r="J1126" i="17"/>
  <c r="K1126" i="17"/>
  <c r="L1126" i="17"/>
  <c r="M1126" i="17"/>
  <c r="N1126" i="17"/>
  <c r="D1127" i="17"/>
  <c r="E1127" i="17"/>
  <c r="F1127" i="17"/>
  <c r="G1127" i="17"/>
  <c r="H1127" i="17"/>
  <c r="I1127" i="17"/>
  <c r="J1127" i="17"/>
  <c r="K1127" i="17"/>
  <c r="L1127" i="17"/>
  <c r="M1127" i="17"/>
  <c r="N1127" i="17"/>
  <c r="D1128" i="17"/>
  <c r="E1128" i="17"/>
  <c r="F1128" i="17"/>
  <c r="G1128" i="17"/>
  <c r="H1128" i="17"/>
  <c r="I1128" i="17"/>
  <c r="J1128" i="17"/>
  <c r="K1128" i="17"/>
  <c r="L1128" i="17"/>
  <c r="M1128" i="17"/>
  <c r="N1128" i="17"/>
  <c r="D1129" i="17"/>
  <c r="E1129" i="17"/>
  <c r="F1129" i="17"/>
  <c r="G1129" i="17"/>
  <c r="H1129" i="17"/>
  <c r="I1129" i="17"/>
  <c r="J1129" i="17"/>
  <c r="K1129" i="17"/>
  <c r="L1129" i="17"/>
  <c r="M1129" i="17"/>
  <c r="N1129" i="17"/>
  <c r="D1130" i="17"/>
  <c r="E1130" i="17"/>
  <c r="F1130" i="17"/>
  <c r="G1130" i="17"/>
  <c r="H1130" i="17"/>
  <c r="I1130" i="17"/>
  <c r="J1130" i="17"/>
  <c r="K1130" i="17"/>
  <c r="L1130" i="17"/>
  <c r="M1130" i="17"/>
  <c r="N1130" i="17"/>
  <c r="D1131" i="17"/>
  <c r="E1131" i="17"/>
  <c r="F1131" i="17"/>
  <c r="G1131" i="17"/>
  <c r="H1131" i="17"/>
  <c r="I1131" i="17"/>
  <c r="J1131" i="17"/>
  <c r="K1131" i="17"/>
  <c r="L1131" i="17"/>
  <c r="M1131" i="17"/>
  <c r="N1131" i="17"/>
  <c r="D1132" i="17"/>
  <c r="E1132" i="17"/>
  <c r="F1132" i="17"/>
  <c r="G1132" i="17"/>
  <c r="H1132" i="17"/>
  <c r="I1132" i="17"/>
  <c r="J1132" i="17"/>
  <c r="K1132" i="17"/>
  <c r="L1132" i="17"/>
  <c r="M1132" i="17"/>
  <c r="N1132" i="17"/>
  <c r="D1133" i="17"/>
  <c r="E1133" i="17"/>
  <c r="F1133" i="17"/>
  <c r="G1133" i="17"/>
  <c r="H1133" i="17"/>
  <c r="I1133" i="17"/>
  <c r="J1133" i="17"/>
  <c r="K1133" i="17"/>
  <c r="L1133" i="17"/>
  <c r="M1133" i="17"/>
  <c r="N1133" i="17"/>
  <c r="D1134" i="17"/>
  <c r="E1134" i="17"/>
  <c r="F1134" i="17"/>
  <c r="G1134" i="17"/>
  <c r="H1134" i="17"/>
  <c r="I1134" i="17"/>
  <c r="J1134" i="17"/>
  <c r="K1134" i="17"/>
  <c r="L1134" i="17"/>
  <c r="M1134" i="17"/>
  <c r="N1134" i="17"/>
  <c r="D1135" i="17"/>
  <c r="E1135" i="17"/>
  <c r="F1135" i="17"/>
  <c r="G1135" i="17"/>
  <c r="H1135" i="17"/>
  <c r="I1135" i="17"/>
  <c r="J1135" i="17"/>
  <c r="K1135" i="17"/>
  <c r="L1135" i="17"/>
  <c r="M1135" i="17"/>
  <c r="N1135" i="17"/>
  <c r="D1136" i="17"/>
  <c r="E1136" i="17"/>
  <c r="F1136" i="17"/>
  <c r="G1136" i="17"/>
  <c r="H1136" i="17"/>
  <c r="I1136" i="17"/>
  <c r="J1136" i="17"/>
  <c r="K1136" i="17"/>
  <c r="L1136" i="17"/>
  <c r="M1136" i="17"/>
  <c r="N1136" i="17"/>
  <c r="D1137" i="17"/>
  <c r="E1137" i="17"/>
  <c r="F1137" i="17"/>
  <c r="G1137" i="17"/>
  <c r="H1137" i="17"/>
  <c r="I1137" i="17"/>
  <c r="J1137" i="17"/>
  <c r="K1137" i="17"/>
  <c r="L1137" i="17"/>
  <c r="M1137" i="17"/>
  <c r="N1137" i="17"/>
  <c r="D1138" i="17"/>
  <c r="E1138" i="17"/>
  <c r="F1138" i="17"/>
  <c r="G1138" i="17"/>
  <c r="H1138" i="17"/>
  <c r="I1138" i="17"/>
  <c r="J1138" i="17"/>
  <c r="K1138" i="17"/>
  <c r="L1138" i="17"/>
  <c r="M1138" i="17"/>
  <c r="N1138" i="17"/>
  <c r="D1153" i="17"/>
  <c r="E1153" i="17"/>
  <c r="F1153" i="17"/>
  <c r="G1153" i="17"/>
  <c r="H1153" i="17"/>
  <c r="I1153" i="17"/>
  <c r="J1153" i="17"/>
  <c r="K1153" i="17"/>
  <c r="L1153" i="17"/>
  <c r="M1153" i="17"/>
  <c r="N1153" i="17"/>
  <c r="D1154" i="17"/>
  <c r="E1154" i="17"/>
  <c r="F1154" i="17"/>
  <c r="G1154" i="17"/>
  <c r="H1154" i="17"/>
  <c r="I1154" i="17"/>
  <c r="J1154" i="17"/>
  <c r="K1154" i="17"/>
  <c r="L1154" i="17"/>
  <c r="M1154" i="17"/>
  <c r="N1154" i="17"/>
  <c r="D1155" i="17"/>
  <c r="E1155" i="17"/>
  <c r="F1155" i="17"/>
  <c r="G1155" i="17"/>
  <c r="H1155" i="17"/>
  <c r="I1155" i="17"/>
  <c r="J1155" i="17"/>
  <c r="K1155" i="17"/>
  <c r="L1155" i="17"/>
  <c r="M1155" i="17"/>
  <c r="N1155" i="17"/>
  <c r="D1156" i="17"/>
  <c r="E1156" i="17"/>
  <c r="F1156" i="17"/>
  <c r="G1156" i="17"/>
  <c r="H1156" i="17"/>
  <c r="I1156" i="17"/>
  <c r="J1156" i="17"/>
  <c r="K1156" i="17"/>
  <c r="L1156" i="17"/>
  <c r="M1156" i="17"/>
  <c r="N1156" i="17"/>
  <c r="D1157" i="17"/>
  <c r="E1157" i="17"/>
  <c r="F1157" i="17"/>
  <c r="G1157" i="17"/>
  <c r="H1157" i="17"/>
  <c r="I1157" i="17"/>
  <c r="J1157" i="17"/>
  <c r="K1157" i="17"/>
  <c r="L1157" i="17"/>
  <c r="M1157" i="17"/>
  <c r="N1157" i="17"/>
  <c r="D1160" i="17"/>
  <c r="K1160" i="17"/>
  <c r="E1161" i="17"/>
  <c r="L1161" i="17"/>
  <c r="F1162" i="17"/>
  <c r="M1162" i="17"/>
  <c r="G1163" i="17"/>
  <c r="N1163" i="17"/>
  <c r="H1164" i="17"/>
  <c r="D1166" i="17"/>
  <c r="E1166" i="17"/>
  <c r="F1166" i="17"/>
  <c r="F1160" i="17" s="1"/>
  <c r="G1166" i="17"/>
  <c r="G1160" i="17" s="1"/>
  <c r="H1166" i="17"/>
  <c r="H1160" i="17" s="1"/>
  <c r="I1166" i="17"/>
  <c r="I1160" i="17" s="1"/>
  <c r="J1166" i="17"/>
  <c r="J1160" i="17" s="1"/>
  <c r="K1166" i="17"/>
  <c r="L1166" i="17"/>
  <c r="L1160" i="17" s="1"/>
  <c r="M1166" i="17"/>
  <c r="M1160" i="17" s="1"/>
  <c r="N1166" i="17"/>
  <c r="N1160" i="17" s="1"/>
  <c r="D1167" i="17"/>
  <c r="D1161" i="17" s="1"/>
  <c r="E1167" i="17"/>
  <c r="F1167" i="17"/>
  <c r="G1167" i="17"/>
  <c r="G1161" i="17" s="1"/>
  <c r="H1167" i="17"/>
  <c r="H1161" i="17" s="1"/>
  <c r="I1167" i="17"/>
  <c r="I1161" i="17" s="1"/>
  <c r="J1167" i="17"/>
  <c r="J1161" i="17" s="1"/>
  <c r="K1167" i="17"/>
  <c r="K1161" i="17" s="1"/>
  <c r="L1167" i="17"/>
  <c r="M1167" i="17"/>
  <c r="M1161" i="17" s="1"/>
  <c r="N1167" i="17"/>
  <c r="N1161" i="17" s="1"/>
  <c r="D1168" i="17"/>
  <c r="D1162" i="17" s="1"/>
  <c r="E1168" i="17"/>
  <c r="E1162" i="17" s="1"/>
  <c r="F1168" i="17"/>
  <c r="G1168" i="17"/>
  <c r="H1168" i="17"/>
  <c r="H1162" i="17" s="1"/>
  <c r="I1168" i="17"/>
  <c r="I1162" i="17" s="1"/>
  <c r="J1168" i="17"/>
  <c r="J1162" i="17" s="1"/>
  <c r="K1168" i="17"/>
  <c r="K1162" i="17" s="1"/>
  <c r="L1168" i="17"/>
  <c r="L1162" i="17" s="1"/>
  <c r="M1168" i="17"/>
  <c r="N1168" i="17"/>
  <c r="N1162" i="17" s="1"/>
  <c r="D1169" i="17"/>
  <c r="D1163" i="17" s="1"/>
  <c r="E1169" i="17"/>
  <c r="E1163" i="17" s="1"/>
  <c r="F1169" i="17"/>
  <c r="F1163" i="17" s="1"/>
  <c r="G1169" i="17"/>
  <c r="H1169" i="17"/>
  <c r="I1169" i="17"/>
  <c r="I1163" i="17" s="1"/>
  <c r="J1169" i="17"/>
  <c r="J1163" i="17" s="1"/>
  <c r="K1169" i="17"/>
  <c r="K1163" i="17" s="1"/>
  <c r="L1169" i="17"/>
  <c r="L1163" i="17" s="1"/>
  <c r="M1169" i="17"/>
  <c r="M1163" i="17" s="1"/>
  <c r="N1169" i="17"/>
  <c r="D1170" i="17"/>
  <c r="D1164" i="17" s="1"/>
  <c r="E1170" i="17"/>
  <c r="E1164" i="17" s="1"/>
  <c r="F1170" i="17"/>
  <c r="F1164" i="17" s="1"/>
  <c r="G1170" i="17"/>
  <c r="G1164" i="17" s="1"/>
  <c r="H1170" i="17"/>
  <c r="I1170" i="17"/>
  <c r="J1170" i="17"/>
  <c r="J1164" i="17" s="1"/>
  <c r="K1170" i="17"/>
  <c r="K1164" i="17" s="1"/>
  <c r="L1170" i="17"/>
  <c r="L1164" i="17" s="1"/>
  <c r="M1170" i="17"/>
  <c r="M1164" i="17" s="1"/>
  <c r="N1170" i="17"/>
  <c r="N1164" i="17" s="1"/>
  <c r="D1172" i="17"/>
  <c r="E1172" i="17"/>
  <c r="F1172" i="17"/>
  <c r="G1172" i="17"/>
  <c r="H1172" i="17"/>
  <c r="I1172" i="17"/>
  <c r="J1172" i="17"/>
  <c r="K1172" i="17"/>
  <c r="L1172" i="17"/>
  <c r="M1172" i="17"/>
  <c r="N1172" i="17"/>
  <c r="D1173" i="17"/>
  <c r="E1173" i="17"/>
  <c r="F1173" i="17"/>
  <c r="G1173" i="17"/>
  <c r="H1173" i="17"/>
  <c r="I1173" i="17"/>
  <c r="J1173" i="17"/>
  <c r="K1173" i="17"/>
  <c r="L1173" i="17"/>
  <c r="M1173" i="17"/>
  <c r="N1173" i="17"/>
  <c r="D1174" i="17"/>
  <c r="E1174" i="17"/>
  <c r="F1174" i="17"/>
  <c r="G1174" i="17"/>
  <c r="H1174" i="17"/>
  <c r="I1174" i="17"/>
  <c r="J1174" i="17"/>
  <c r="K1174" i="17"/>
  <c r="L1174" i="17"/>
  <c r="M1174" i="17"/>
  <c r="N1174" i="17"/>
  <c r="D1175" i="17"/>
  <c r="E1175" i="17"/>
  <c r="F1175" i="17"/>
  <c r="G1175" i="17"/>
  <c r="H1175" i="17"/>
  <c r="I1175" i="17"/>
  <c r="J1175" i="17"/>
  <c r="K1175" i="17"/>
  <c r="L1175" i="17"/>
  <c r="M1175" i="17"/>
  <c r="N1175" i="17"/>
  <c r="D1176" i="17"/>
  <c r="E1176" i="17"/>
  <c r="F1176" i="17"/>
  <c r="G1176" i="17"/>
  <c r="H1176" i="17"/>
  <c r="I1176" i="17"/>
  <c r="J1176" i="17"/>
  <c r="K1176" i="17"/>
  <c r="L1176" i="17"/>
  <c r="M1176" i="17"/>
  <c r="N1176" i="17"/>
  <c r="D1178" i="17"/>
  <c r="E1178" i="17"/>
  <c r="F1178" i="17"/>
  <c r="G1178" i="17"/>
  <c r="H1178" i="17"/>
  <c r="I1178" i="17"/>
  <c r="J1178" i="17"/>
  <c r="K1178" i="17"/>
  <c r="L1178" i="17"/>
  <c r="M1178" i="17"/>
  <c r="N1178" i="17"/>
  <c r="D1179" i="17"/>
  <c r="E1179" i="17"/>
  <c r="F1179" i="17"/>
  <c r="G1179" i="17"/>
  <c r="H1179" i="17"/>
  <c r="I1179" i="17"/>
  <c r="J1179" i="17"/>
  <c r="K1179" i="17"/>
  <c r="L1179" i="17"/>
  <c r="M1179" i="17"/>
  <c r="N1179" i="17"/>
  <c r="D1180" i="17"/>
  <c r="E1180" i="17"/>
  <c r="F1180" i="17"/>
  <c r="G1180" i="17"/>
  <c r="H1180" i="17"/>
  <c r="I1180" i="17"/>
  <c r="J1180" i="17"/>
  <c r="K1180" i="17"/>
  <c r="L1180" i="17"/>
  <c r="M1180" i="17"/>
  <c r="N1180" i="17"/>
  <c r="D1181" i="17"/>
  <c r="E1181" i="17"/>
  <c r="F1181" i="17"/>
  <c r="G1181" i="17"/>
  <c r="H1181" i="17"/>
  <c r="I1181" i="17"/>
  <c r="J1181" i="17"/>
  <c r="K1181" i="17"/>
  <c r="L1181" i="17"/>
  <c r="M1181" i="17"/>
  <c r="N1181" i="17"/>
  <c r="D1182" i="17"/>
  <c r="E1182" i="17"/>
  <c r="F1182" i="17"/>
  <c r="G1182" i="17"/>
  <c r="H1182" i="17"/>
  <c r="I1182" i="17"/>
  <c r="J1182" i="17"/>
  <c r="K1182" i="17"/>
  <c r="L1182" i="17"/>
  <c r="M1182" i="17"/>
  <c r="N1182" i="17"/>
  <c r="D1184" i="17"/>
  <c r="E1184" i="17"/>
  <c r="F1184" i="17"/>
  <c r="G1184" i="17"/>
  <c r="H1184" i="17"/>
  <c r="I1184" i="17"/>
  <c r="J1184" i="17"/>
  <c r="K1184" i="17"/>
  <c r="L1184" i="17"/>
  <c r="M1184" i="17"/>
  <c r="N1184" i="17"/>
  <c r="D1185" i="17"/>
  <c r="E1185" i="17"/>
  <c r="F1185" i="17"/>
  <c r="G1185" i="17"/>
  <c r="H1185" i="17"/>
  <c r="I1185" i="17"/>
  <c r="J1185" i="17"/>
  <c r="K1185" i="17"/>
  <c r="L1185" i="17"/>
  <c r="M1185" i="17"/>
  <c r="N1185" i="17"/>
  <c r="D1186" i="17"/>
  <c r="E1186" i="17"/>
  <c r="F1186" i="17"/>
  <c r="G1186" i="17"/>
  <c r="H1186" i="17"/>
  <c r="I1186" i="17"/>
  <c r="J1186" i="17"/>
  <c r="K1186" i="17"/>
  <c r="L1186" i="17"/>
  <c r="M1186" i="17"/>
  <c r="N1186" i="17"/>
  <c r="D1187" i="17"/>
  <c r="E1187" i="17"/>
  <c r="F1187" i="17"/>
  <c r="G1187" i="17"/>
  <c r="H1187" i="17"/>
  <c r="I1187" i="17"/>
  <c r="J1187" i="17"/>
  <c r="K1187" i="17"/>
  <c r="L1187" i="17"/>
  <c r="M1187" i="17"/>
  <c r="N1187" i="17"/>
  <c r="D1188" i="17"/>
  <c r="E1188" i="17"/>
  <c r="F1188" i="17"/>
  <c r="G1188" i="17"/>
  <c r="H1188" i="17"/>
  <c r="I1188" i="17"/>
  <c r="J1188" i="17"/>
  <c r="K1188" i="17"/>
  <c r="L1188" i="17"/>
  <c r="M1188" i="17"/>
  <c r="N1188" i="17"/>
  <c r="D1190" i="17"/>
  <c r="E1190" i="17"/>
  <c r="E1160" i="17" s="1"/>
  <c r="F1190" i="17"/>
  <c r="G1190" i="17"/>
  <c r="H1190" i="17"/>
  <c r="I1190" i="17"/>
  <c r="J1190" i="17"/>
  <c r="K1190" i="17"/>
  <c r="L1190" i="17"/>
  <c r="M1190" i="17"/>
  <c r="N1190" i="17"/>
  <c r="D1191" i="17"/>
  <c r="E1191" i="17"/>
  <c r="F1191" i="17"/>
  <c r="F1161" i="17" s="1"/>
  <c r="G1191" i="17"/>
  <c r="H1191" i="17"/>
  <c r="I1191" i="17"/>
  <c r="J1191" i="17"/>
  <c r="K1191" i="17"/>
  <c r="L1191" i="17"/>
  <c r="M1191" i="17"/>
  <c r="N1191" i="17"/>
  <c r="D1192" i="17"/>
  <c r="E1192" i="17"/>
  <c r="F1192" i="17"/>
  <c r="G1192" i="17"/>
  <c r="G1162" i="17" s="1"/>
  <c r="H1192" i="17"/>
  <c r="I1192" i="17"/>
  <c r="J1192" i="17"/>
  <c r="K1192" i="17"/>
  <c r="L1192" i="17"/>
  <c r="M1192" i="17"/>
  <c r="N1192" i="17"/>
  <c r="D1193" i="17"/>
  <c r="E1193" i="17"/>
  <c r="F1193" i="17"/>
  <c r="G1193" i="17"/>
  <c r="H1193" i="17"/>
  <c r="H1163" i="17" s="1"/>
  <c r="I1193" i="17"/>
  <c r="J1193" i="17"/>
  <c r="K1193" i="17"/>
  <c r="L1193" i="17"/>
  <c r="M1193" i="17"/>
  <c r="N1193" i="17"/>
  <c r="D1194" i="17"/>
  <c r="E1194" i="17"/>
  <c r="F1194" i="17"/>
  <c r="G1194" i="17"/>
  <c r="H1194" i="17"/>
  <c r="I1194" i="17"/>
  <c r="I1164" i="17" s="1"/>
  <c r="J1194" i="17"/>
  <c r="K1194" i="17"/>
  <c r="L1194" i="17"/>
  <c r="M1194" i="17"/>
  <c r="N1194" i="17"/>
  <c r="D1197" i="17"/>
  <c r="E1197" i="17"/>
  <c r="F1197" i="17"/>
  <c r="G1197" i="17"/>
  <c r="H1197" i="17"/>
  <c r="I1197" i="17"/>
  <c r="J1197" i="17"/>
  <c r="K1197" i="17"/>
  <c r="L1197" i="17"/>
  <c r="M1197" i="17"/>
  <c r="N1197" i="17"/>
  <c r="D1198" i="17"/>
  <c r="E1198" i="17"/>
  <c r="F1198" i="17"/>
  <c r="G1198" i="17"/>
  <c r="H1198" i="17"/>
  <c r="I1198" i="17"/>
  <c r="J1198" i="17"/>
  <c r="K1198" i="17"/>
  <c r="L1198" i="17"/>
  <c r="M1198" i="17"/>
  <c r="N1198" i="17"/>
  <c r="D1199" i="17"/>
  <c r="E1199" i="17"/>
  <c r="F1199" i="17"/>
  <c r="G1199" i="17"/>
  <c r="H1199" i="17"/>
  <c r="I1199" i="17"/>
  <c r="J1199" i="17"/>
  <c r="K1199" i="17"/>
  <c r="L1199" i="17"/>
  <c r="M1199" i="17"/>
  <c r="N1199" i="17"/>
  <c r="D1200" i="17"/>
  <c r="E1200" i="17"/>
  <c r="F1200" i="17"/>
  <c r="G1200" i="17"/>
  <c r="H1200" i="17"/>
  <c r="I1200" i="17"/>
  <c r="J1200" i="17"/>
  <c r="K1200" i="17"/>
  <c r="L1200" i="17"/>
  <c r="M1200" i="17"/>
  <c r="N1200" i="17"/>
  <c r="D1201" i="17"/>
  <c r="E1201" i="17"/>
  <c r="F1201" i="17"/>
  <c r="G1201" i="17"/>
  <c r="H1201" i="17"/>
  <c r="I1201" i="17"/>
  <c r="J1201" i="17"/>
  <c r="K1201" i="17"/>
  <c r="L1201" i="17"/>
  <c r="M1201" i="17"/>
  <c r="N1201" i="17"/>
  <c r="D1238" i="17"/>
  <c r="E1238" i="17"/>
  <c r="F1238" i="17"/>
  <c r="G1238" i="17"/>
  <c r="H1238" i="17"/>
  <c r="I1238" i="17"/>
  <c r="J1238" i="17"/>
  <c r="K1238" i="17"/>
  <c r="L1238" i="17"/>
  <c r="M1238" i="17"/>
  <c r="N1238" i="17"/>
  <c r="X77" i="17"/>
  <c r="X78" i="17"/>
  <c r="X79" i="17"/>
  <c r="X80" i="17"/>
  <c r="X81" i="17"/>
  <c r="X82" i="17"/>
  <c r="X83" i="17"/>
  <c r="X84" i="17"/>
  <c r="X85" i="17"/>
  <c r="X86" i="17"/>
  <c r="X87" i="17"/>
  <c r="X90" i="17"/>
  <c r="X91" i="17"/>
  <c r="X92" i="17"/>
  <c r="X93" i="17"/>
  <c r="X94" i="17"/>
  <c r="X95" i="17"/>
  <c r="X96" i="17"/>
  <c r="X97" i="17"/>
  <c r="X98" i="17"/>
  <c r="X99" i="17"/>
  <c r="X100" i="17"/>
  <c r="X291" i="17"/>
  <c r="X292" i="17"/>
  <c r="X293" i="17"/>
  <c r="X294" i="17"/>
  <c r="X295" i="17"/>
  <c r="X296" i="17"/>
  <c r="X297" i="17"/>
  <c r="X298" i="17"/>
  <c r="X299" i="17"/>
  <c r="X300" i="17"/>
  <c r="X301" i="17"/>
  <c r="X304" i="17"/>
  <c r="X305" i="17"/>
  <c r="X306" i="17"/>
  <c r="X307" i="17"/>
  <c r="X308" i="17"/>
  <c r="X309" i="17"/>
  <c r="X310" i="17"/>
  <c r="X311" i="17"/>
  <c r="X312" i="17"/>
  <c r="X313" i="17"/>
  <c r="X314" i="17"/>
  <c r="X317" i="17"/>
  <c r="X318" i="17"/>
  <c r="X319" i="17"/>
  <c r="X320" i="17"/>
  <c r="X321" i="17"/>
  <c r="X322" i="17"/>
  <c r="X323" i="17"/>
  <c r="X324" i="17"/>
  <c r="X325" i="17"/>
  <c r="X326" i="17"/>
  <c r="X327" i="17"/>
  <c r="X330" i="17"/>
  <c r="X331" i="17"/>
  <c r="X332" i="17"/>
  <c r="X333" i="17"/>
  <c r="X334" i="17"/>
  <c r="X335" i="17"/>
  <c r="X336" i="17"/>
  <c r="X337" i="17"/>
  <c r="X338" i="17"/>
  <c r="X339" i="17"/>
  <c r="X340" i="17"/>
  <c r="X343" i="17"/>
  <c r="X344" i="17"/>
  <c r="X345" i="17"/>
  <c r="X346" i="17"/>
  <c r="X347" i="17"/>
  <c r="X348" i="17"/>
  <c r="X349" i="17"/>
  <c r="X350" i="17"/>
  <c r="X351" i="17"/>
  <c r="X352" i="17"/>
  <c r="X353" i="17"/>
  <c r="X356" i="17"/>
  <c r="X357" i="17"/>
  <c r="X358" i="17"/>
  <c r="X359" i="17"/>
  <c r="X360" i="17"/>
  <c r="X361" i="17"/>
  <c r="X362" i="17"/>
  <c r="X363" i="17"/>
  <c r="X364" i="17"/>
  <c r="X365" i="17"/>
  <c r="X366" i="17"/>
  <c r="X369" i="17"/>
  <c r="X370" i="17"/>
  <c r="X371" i="17"/>
  <c r="X372" i="17"/>
  <c r="X373" i="17"/>
  <c r="X374" i="17"/>
  <c r="X375" i="17"/>
  <c r="X376" i="17"/>
  <c r="X377" i="17"/>
  <c r="X378" i="17"/>
  <c r="X379" i="17"/>
  <c r="X395" i="17"/>
  <c r="X396" i="17"/>
  <c r="X397" i="17"/>
  <c r="X398" i="17"/>
  <c r="X399" i="17"/>
  <c r="X400" i="17"/>
  <c r="X401" i="17"/>
  <c r="X402" i="17"/>
  <c r="X403" i="17"/>
  <c r="X404" i="17"/>
  <c r="X405" i="17"/>
  <c r="X756" i="17"/>
  <c r="X757" i="17"/>
  <c r="X758" i="17"/>
  <c r="X759" i="17"/>
  <c r="X760" i="17"/>
  <c r="X761" i="17"/>
  <c r="X762" i="17"/>
  <c r="X763" i="17"/>
  <c r="X764" i="17"/>
  <c r="X765" i="17"/>
  <c r="X766" i="17"/>
  <c r="X819" i="17"/>
  <c r="X820" i="17"/>
  <c r="X821" i="17"/>
  <c r="X822" i="17"/>
  <c r="X823" i="17"/>
  <c r="X824" i="17"/>
  <c r="X825" i="17"/>
  <c r="X826" i="17"/>
  <c r="X827" i="17"/>
  <c r="X828" i="17"/>
  <c r="X829" i="17"/>
  <c r="X832" i="17"/>
  <c r="X833" i="17"/>
  <c r="X834" i="17"/>
  <c r="X835" i="17"/>
  <c r="X836" i="17"/>
  <c r="X837" i="17"/>
  <c r="X838" i="17"/>
  <c r="X839" i="17"/>
  <c r="X840" i="17"/>
  <c r="X841" i="17"/>
  <c r="X842" i="17"/>
  <c r="X1076" i="17"/>
  <c r="X1077" i="17"/>
  <c r="X1078" i="17"/>
  <c r="X1079" i="17"/>
  <c r="X1080" i="17"/>
  <c r="X1083" i="17"/>
  <c r="X1084" i="17"/>
  <c r="X1085" i="17"/>
  <c r="X1086" i="17"/>
  <c r="X1087" i="17"/>
  <c r="X1088" i="17"/>
  <c r="X1089" i="17"/>
  <c r="X1090" i="17"/>
  <c r="X1091" i="17"/>
  <c r="X1092" i="17"/>
  <c r="X1093" i="17"/>
  <c r="X1094" i="17"/>
  <c r="X1097" i="17"/>
  <c r="X1098" i="17"/>
  <c r="X1099" i="17"/>
  <c r="X1100" i="17"/>
  <c r="X1101" i="17"/>
  <c r="X1102" i="17"/>
  <c r="X1103" i="17"/>
  <c r="X1104" i="17"/>
  <c r="X1105" i="17"/>
  <c r="X1108" i="17"/>
  <c r="X1109" i="17"/>
  <c r="X1110" i="17"/>
  <c r="X1111" i="17"/>
  <c r="X1112" i="17"/>
  <c r="X1113" i="17"/>
  <c r="X1114" i="17"/>
  <c r="X1117" i="17"/>
  <c r="X1118" i="17"/>
  <c r="X1119" i="17"/>
  <c r="X1120" i="17"/>
  <c r="X1121" i="17"/>
  <c r="X1122" i="17"/>
  <c r="X1123" i="17"/>
  <c r="X1126" i="17"/>
  <c r="X1127" i="17"/>
  <c r="X1128" i="17"/>
  <c r="X1129" i="17"/>
  <c r="X1130" i="17"/>
  <c r="X1131" i="17"/>
  <c r="X1132" i="17"/>
  <c r="X1133" i="17"/>
  <c r="X1134" i="17"/>
  <c r="X1135" i="17"/>
  <c r="X1136" i="17"/>
  <c r="X1137" i="17"/>
  <c r="X1138" i="17"/>
  <c r="X1153" i="17"/>
  <c r="X1154" i="17"/>
  <c r="X1155" i="17"/>
  <c r="X1156" i="17"/>
  <c r="X1157" i="17"/>
  <c r="X1166" i="17"/>
  <c r="X1167" i="17"/>
  <c r="X1168" i="17"/>
  <c r="X1169" i="17"/>
  <c r="X1170" i="17"/>
  <c r="X1172" i="17"/>
  <c r="X1173" i="17"/>
  <c r="X1174" i="17"/>
  <c r="X1175" i="17"/>
  <c r="X1176" i="17"/>
  <c r="X1178" i="17"/>
  <c r="X1179" i="17"/>
  <c r="X1180" i="17"/>
  <c r="X1181" i="17"/>
  <c r="X1182" i="17"/>
  <c r="X1184" i="17"/>
  <c r="X1185" i="17"/>
  <c r="X1186" i="17"/>
  <c r="X1187" i="17"/>
  <c r="X1188" i="17"/>
  <c r="X1190" i="17"/>
  <c r="X1191" i="17"/>
  <c r="X1192" i="17"/>
  <c r="X1193" i="17"/>
  <c r="X1194" i="17"/>
  <c r="X1197" i="17"/>
  <c r="X1198" i="17"/>
  <c r="X1199" i="17"/>
  <c r="X1200" i="17"/>
  <c r="X1201" i="17"/>
  <c r="W1237" i="17"/>
  <c r="X1237" i="17"/>
  <c r="Y1237" i="17"/>
  <c r="Z1237" i="17"/>
  <c r="AA1237" i="17"/>
  <c r="AB1237" i="17"/>
  <c r="AC1237" i="17"/>
  <c r="AD1237" i="17"/>
  <c r="AE1237" i="17"/>
  <c r="AF1237" i="17"/>
  <c r="AG1237" i="17"/>
  <c r="D206" i="14"/>
  <c r="E206" i="14"/>
  <c r="F206" i="14"/>
  <c r="G206" i="14"/>
  <c r="H206"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2" i="14"/>
  <c r="Q233" i="14"/>
  <c r="Q234" i="14"/>
  <c r="Q235" i="14"/>
  <c r="Q236" i="14"/>
  <c r="Q237" i="14"/>
  <c r="Q238" i="14"/>
  <c r="Q239" i="14"/>
  <c r="Q240" i="14"/>
  <c r="Q241" i="14"/>
  <c r="Q242" i="14"/>
  <c r="Q243" i="14"/>
  <c r="Q244" i="14"/>
  <c r="Q245" i="14"/>
  <c r="Q246" i="14"/>
  <c r="Q247" i="14"/>
  <c r="Q248" i="14"/>
  <c r="Q249" i="14"/>
  <c r="Q250" i="14"/>
  <c r="Q251" i="14"/>
  <c r="Q252" i="14"/>
  <c r="Q253" i="14"/>
  <c r="Q254" i="14"/>
  <c r="Q255" i="14"/>
  <c r="Q256" i="14"/>
  <c r="Q257" i="14"/>
  <c r="Q258" i="14"/>
  <c r="Q259" i="14"/>
  <c r="Q260" i="14"/>
  <c r="Q261" i="14"/>
  <c r="Q262" i="14"/>
  <c r="Q263" i="14"/>
  <c r="Q264" i="14"/>
  <c r="Q265" i="14"/>
  <c r="Q266" i="14"/>
  <c r="Q267" i="14"/>
  <c r="Q268" i="14"/>
  <c r="Q269" i="14"/>
  <c r="Q270" i="14"/>
  <c r="Q271" i="14"/>
  <c r="Q272" i="14"/>
  <c r="Q273" i="14"/>
  <c r="Q274" i="14"/>
  <c r="Q275" i="14"/>
  <c r="Q276" i="14"/>
  <c r="Q277" i="14"/>
  <c r="Q278" i="14"/>
  <c r="Q279" i="14"/>
  <c r="Q280" i="14"/>
  <c r="Q281" i="14"/>
  <c r="Q282" i="14"/>
  <c r="Q283" i="14"/>
  <c r="Q284" i="14"/>
  <c r="Q285" i="14"/>
  <c r="Q286" i="14"/>
  <c r="Q287" i="14"/>
  <c r="Q288" i="14"/>
  <c r="Q289" i="14"/>
  <c r="Q290" i="14"/>
  <c r="Q291" i="14"/>
  <c r="Q293" i="14"/>
  <c r="Q294" i="14"/>
  <c r="Q295" i="14"/>
  <c r="Q296" i="14"/>
  <c r="Q297" i="14"/>
  <c r="Q298" i="14"/>
  <c r="Q299" i="14"/>
  <c r="Q300" i="14"/>
  <c r="Q301" i="14"/>
  <c r="Q302" i="14"/>
  <c r="Q303" i="14"/>
  <c r="Q304" i="14"/>
  <c r="Q305" i="14"/>
  <c r="Q306" i="14"/>
  <c r="Q307" i="14"/>
  <c r="Q308" i="14"/>
  <c r="Q309" i="14"/>
  <c r="Q310" i="14"/>
  <c r="Q311" i="14"/>
  <c r="Q312" i="14"/>
  <c r="Q313" i="14"/>
  <c r="Q314" i="14"/>
  <c r="Q315" i="14"/>
  <c r="Q316" i="14"/>
  <c r="Q317" i="14"/>
  <c r="Q318" i="14"/>
  <c r="Q319" i="14"/>
  <c r="Q320" i="14"/>
  <c r="Q321" i="14"/>
  <c r="Q322" i="14"/>
  <c r="Q323" i="14"/>
  <c r="Q324" i="14"/>
  <c r="Q325" i="14"/>
  <c r="Q326" i="14"/>
  <c r="Q327" i="14"/>
  <c r="Q328" i="14"/>
  <c r="Q329" i="14"/>
  <c r="Q330" i="14"/>
  <c r="Q331" i="14"/>
  <c r="Q332" i="14"/>
  <c r="Q333" i="14"/>
  <c r="Q334" i="14"/>
  <c r="Q335" i="14"/>
  <c r="Q336" i="14"/>
  <c r="Q337" i="14"/>
  <c r="Q339" i="14"/>
  <c r="Q340" i="14"/>
  <c r="Q341" i="14"/>
  <c r="Q342" i="14"/>
  <c r="Q343" i="14"/>
  <c r="Q344" i="14"/>
  <c r="Q345" i="14"/>
  <c r="Q346" i="14"/>
  <c r="Q347" i="14"/>
  <c r="Q348" i="14"/>
  <c r="Q349" i="14"/>
  <c r="Q350" i="14"/>
  <c r="Q351" i="14"/>
  <c r="Q352" i="14"/>
  <c r="Q353" i="14"/>
  <c r="Q354" i="14"/>
  <c r="Q355" i="14"/>
  <c r="Q356" i="14"/>
  <c r="Q357" i="14"/>
  <c r="Q358" i="14"/>
  <c r="Q359" i="14"/>
  <c r="Q360" i="14"/>
  <c r="Q361" i="14"/>
  <c r="Q362" i="14"/>
  <c r="Q363" i="14"/>
  <c r="Q364" i="14"/>
  <c r="Q365" i="14"/>
  <c r="Q366" i="14"/>
  <c r="Q367" i="14"/>
  <c r="Q368" i="14"/>
  <c r="Q369" i="14"/>
  <c r="Q370" i="14"/>
  <c r="Q371" i="14"/>
  <c r="Q372" i="14"/>
  <c r="Q373" i="14"/>
  <c r="Q375" i="14"/>
  <c r="Q376" i="14"/>
  <c r="Q377" i="14"/>
  <c r="Q378" i="14"/>
  <c r="Q379" i="14"/>
  <c r="Q380" i="14"/>
  <c r="Q381" i="14"/>
  <c r="Q382" i="14"/>
  <c r="Q383" i="14"/>
  <c r="Q384" i="14"/>
  <c r="Q385" i="14"/>
  <c r="Q386" i="14"/>
  <c r="Q387" i="14"/>
  <c r="Q388" i="14"/>
  <c r="Q389" i="14"/>
  <c r="Q390" i="14"/>
  <c r="Q391" i="14"/>
  <c r="Q392" i="14"/>
  <c r="Q393" i="14"/>
  <c r="Q394" i="14"/>
  <c r="Q395" i="14"/>
  <c r="Q396" i="14"/>
  <c r="Q397" i="14"/>
  <c r="Q398" i="14"/>
  <c r="Q399" i="14"/>
  <c r="Q400" i="14"/>
  <c r="Q401" i="14"/>
  <c r="Q402" i="14"/>
  <c r="Q403" i="14"/>
  <c r="Q404" i="14"/>
  <c r="Q405" i="14"/>
  <c r="Q406" i="14"/>
  <c r="Q407" i="14"/>
  <c r="Q408" i="14"/>
  <c r="Q409" i="14"/>
  <c r="Q411" i="14"/>
  <c r="Q412" i="14"/>
  <c r="Q413" i="14"/>
  <c r="Q414" i="14"/>
  <c r="Q415" i="14"/>
  <c r="Q416" i="14"/>
  <c r="Q417" i="14"/>
  <c r="Q418" i="14"/>
  <c r="Q419" i="14"/>
  <c r="Q420" i="14"/>
  <c r="Q421" i="14"/>
  <c r="Q422" i="14"/>
  <c r="Q423" i="14"/>
  <c r="Q424" i="14"/>
  <c r="Q425" i="14"/>
  <c r="Q426" i="14"/>
  <c r="Q427" i="14"/>
  <c r="Q428" i="14"/>
  <c r="Q429" i="14"/>
  <c r="Q430" i="14"/>
  <c r="Q431" i="14"/>
  <c r="Q432" i="14"/>
  <c r="Q433" i="14"/>
  <c r="Q434" i="14"/>
  <c r="Q435" i="14"/>
  <c r="Q436" i="14"/>
  <c r="Q437" i="14"/>
  <c r="Q438" i="14"/>
  <c r="Q439" i="14"/>
  <c r="Q440" i="14"/>
  <c r="Q441" i="14"/>
  <c r="Q442" i="14"/>
  <c r="Q443" i="14"/>
  <c r="Q444" i="14"/>
  <c r="Q445" i="14"/>
  <c r="Q446" i="14"/>
  <c r="Q447" i="14"/>
  <c r="Q448" i="14"/>
  <c r="Q449" i="14"/>
  <c r="Q450" i="14"/>
  <c r="Q451" i="14"/>
  <c r="Q452" i="14"/>
  <c r="Q453" i="14"/>
  <c r="Q454" i="14"/>
  <c r="Q455" i="14"/>
  <c r="Q456" i="14"/>
  <c r="Q457" i="14"/>
  <c r="Q458" i="14"/>
  <c r="Q459" i="14"/>
  <c r="Q460" i="14"/>
  <c r="Q461" i="14"/>
  <c r="Q462" i="14"/>
  <c r="Q463" i="14"/>
  <c r="Q464" i="14"/>
  <c r="Q465" i="14"/>
  <c r="Q466" i="14"/>
  <c r="Q467" i="14"/>
  <c r="Q468" i="14"/>
  <c r="Q469" i="14"/>
  <c r="Q470" i="14"/>
  <c r="Q471" i="14"/>
  <c r="Q472" i="14"/>
  <c r="Q473" i="14"/>
  <c r="Q474" i="14"/>
  <c r="Q475" i="14"/>
  <c r="Q477" i="14"/>
  <c r="Q478" i="14"/>
  <c r="Q479" i="14"/>
  <c r="Q480" i="14"/>
  <c r="Q481" i="14"/>
  <c r="Q482" i="14"/>
  <c r="Q483" i="14"/>
  <c r="Q484" i="14"/>
  <c r="Q485" i="14"/>
  <c r="Q486" i="14"/>
  <c r="Q487" i="14"/>
  <c r="Q488" i="14"/>
  <c r="Q489" i="14"/>
  <c r="Q490" i="14"/>
  <c r="Q491" i="14"/>
  <c r="Q492" i="14"/>
  <c r="Q493" i="14"/>
  <c r="Q494" i="14"/>
  <c r="Q495" i="14"/>
  <c r="Q496" i="14"/>
  <c r="Q497" i="14"/>
  <c r="Q498" i="14"/>
  <c r="Q499" i="14"/>
  <c r="Q500" i="14"/>
  <c r="Q501" i="14"/>
  <c r="Q503" i="14"/>
  <c r="Q504" i="14"/>
  <c r="Q505" i="14"/>
  <c r="Q506" i="14"/>
  <c r="Q507" i="14"/>
  <c r="Q508" i="14"/>
  <c r="Q509" i="14"/>
  <c r="Q510" i="14"/>
  <c r="Q511" i="14"/>
  <c r="Q512" i="14"/>
  <c r="Q513" i="14"/>
  <c r="Q514" i="14"/>
  <c r="Q515" i="14"/>
  <c r="Q516" i="14"/>
  <c r="Q517" i="14"/>
  <c r="Q518" i="14"/>
  <c r="Q519" i="14"/>
  <c r="Q520" i="14"/>
  <c r="Q521" i="14"/>
  <c r="Q522" i="14"/>
  <c r="Q523" i="14"/>
  <c r="Q524" i="14"/>
  <c r="Q525" i="14"/>
  <c r="Q526" i="14"/>
  <c r="Q527" i="14"/>
  <c r="Q529" i="14"/>
  <c r="Q530" i="14"/>
  <c r="Q531" i="14"/>
  <c r="Q532" i="14"/>
  <c r="Q533" i="14"/>
  <c r="Q534" i="14"/>
  <c r="Q535" i="14"/>
  <c r="Q536" i="14"/>
  <c r="Q537" i="14"/>
  <c r="Q538" i="14"/>
  <c r="Q539" i="14"/>
  <c r="Q540" i="14"/>
  <c r="Q541" i="14"/>
  <c r="Q542" i="14"/>
  <c r="Q543" i="14"/>
  <c r="Q544" i="14"/>
  <c r="Q545" i="14"/>
  <c r="Q546" i="14"/>
  <c r="Q547" i="14"/>
  <c r="Q548" i="14"/>
  <c r="Q549" i="14"/>
  <c r="Q550" i="14"/>
  <c r="Q551" i="14"/>
  <c r="Q552" i="14"/>
  <c r="Q553" i="14"/>
  <c r="Q555" i="14"/>
  <c r="Q556" i="14"/>
  <c r="Q557" i="14"/>
  <c r="Q558" i="14"/>
  <c r="Q559" i="14"/>
  <c r="Q560" i="14"/>
  <c r="Q561" i="14"/>
  <c r="Q562" i="14"/>
  <c r="Q563" i="14"/>
  <c r="Q564" i="14"/>
  <c r="Q565" i="14"/>
  <c r="Q566" i="14"/>
  <c r="Q567" i="14"/>
  <c r="Q568" i="14"/>
  <c r="Q569" i="14"/>
  <c r="Q570" i="14"/>
  <c r="Q571" i="14"/>
  <c r="Q572" i="14"/>
  <c r="Q573" i="14"/>
  <c r="Q574" i="14"/>
  <c r="Q575" i="14"/>
  <c r="Q576" i="14"/>
  <c r="Q577" i="14"/>
  <c r="Q578" i="14"/>
  <c r="Q579" i="14"/>
  <c r="Q581" i="14"/>
  <c r="Q582" i="14"/>
  <c r="Q583" i="14"/>
  <c r="Q584" i="14"/>
  <c r="Q585" i="14"/>
  <c r="Q586" i="14"/>
  <c r="Q587" i="14"/>
  <c r="Q588" i="14"/>
  <c r="Q589" i="14"/>
  <c r="Q590" i="14"/>
  <c r="Q591" i="14"/>
  <c r="Q592" i="14"/>
  <c r="Q593" i="14"/>
  <c r="Q594" i="14"/>
  <c r="Q595" i="14"/>
  <c r="Q596" i="14"/>
  <c r="Q597" i="14"/>
  <c r="Q598" i="14"/>
  <c r="Q599" i="14"/>
  <c r="Q600" i="14"/>
  <c r="Q601" i="14"/>
  <c r="Q602" i="14"/>
  <c r="Q603" i="14"/>
  <c r="Q604" i="14"/>
  <c r="Q605" i="14"/>
  <c r="Q607" i="14"/>
  <c r="Q608" i="14"/>
  <c r="Q609" i="14"/>
  <c r="Q610" i="14"/>
  <c r="Q611" i="14"/>
  <c r="Q612" i="14"/>
  <c r="Q613" i="14"/>
  <c r="Q614" i="14"/>
  <c r="Q615" i="14"/>
  <c r="Q616" i="14"/>
  <c r="Q617" i="14"/>
  <c r="Q618" i="14"/>
  <c r="Q619" i="14"/>
  <c r="Q620" i="14"/>
  <c r="Q621" i="14"/>
  <c r="Q622" i="14"/>
  <c r="Q623" i="14"/>
  <c r="Q624" i="14"/>
  <c r="Q625" i="14"/>
  <c r="Q626" i="14"/>
  <c r="Q627" i="14"/>
  <c r="Q628" i="14"/>
  <c r="Q629" i="14"/>
  <c r="Q630" i="14"/>
  <c r="Q631" i="14"/>
  <c r="Q633" i="14"/>
  <c r="Q634" i="14"/>
  <c r="Q635" i="14"/>
  <c r="Q636" i="14"/>
  <c r="Q637" i="14"/>
  <c r="Q638" i="14"/>
  <c r="Q639" i="14"/>
  <c r="Q640" i="14"/>
  <c r="Q641" i="14"/>
  <c r="Q642" i="14"/>
  <c r="Q643" i="14"/>
  <c r="Q644" i="14"/>
  <c r="Q645" i="14"/>
  <c r="Q646" i="14"/>
  <c r="Q647" i="14"/>
  <c r="Q648" i="14"/>
  <c r="Q649" i="14"/>
  <c r="Q650" i="14"/>
  <c r="Q651" i="14"/>
  <c r="Q652" i="14"/>
  <c r="Q653" i="14"/>
  <c r="Q654" i="14"/>
  <c r="Q655" i="14"/>
  <c r="Q656" i="14"/>
  <c r="Q657" i="14"/>
  <c r="F63" i="11" l="1"/>
  <c r="G58" i="8"/>
  <c r="Q409" i="11"/>
  <c r="Q410" i="11"/>
  <c r="Q411" i="11"/>
  <c r="Q412" i="11"/>
  <c r="Q413" i="11"/>
  <c r="Q414" i="11"/>
  <c r="Q415" i="11"/>
  <c r="Q416" i="11"/>
  <c r="Q417" i="11"/>
  <c r="Q418" i="11"/>
  <c r="Q419" i="11"/>
  <c r="Q420" i="11"/>
  <c r="Q421" i="11"/>
  <c r="Q422" i="11"/>
  <c r="Q423" i="11"/>
  <c r="Q424" i="11"/>
  <c r="Q425" i="11"/>
  <c r="Q426" i="11"/>
  <c r="Q427" i="11"/>
  <c r="Q428" i="11"/>
  <c r="Q429" i="11"/>
  <c r="Q430" i="11"/>
  <c r="Q431" i="11"/>
  <c r="Q432" i="11"/>
  <c r="Q433" i="11"/>
  <c r="Q434" i="11"/>
  <c r="Q435" i="11"/>
  <c r="Q436" i="11"/>
  <c r="Q437" i="11"/>
  <c r="Q438" i="11"/>
  <c r="Q439" i="11"/>
  <c r="Q440" i="11"/>
  <c r="Q441" i="11"/>
  <c r="Q442" i="11"/>
  <c r="Q443" i="11"/>
  <c r="Q444" i="11"/>
  <c r="Q445" i="11"/>
  <c r="Q446" i="11"/>
  <c r="Q447" i="11"/>
  <c r="Q448" i="11"/>
  <c r="Q449" i="11"/>
  <c r="Q450" i="11"/>
  <c r="Q451" i="11"/>
  <c r="Q452" i="11"/>
  <c r="Q453" i="11"/>
  <c r="Q454" i="11"/>
  <c r="Q455" i="11"/>
  <c r="Q456" i="11"/>
  <c r="Q457" i="11"/>
  <c r="Q458" i="11"/>
  <c r="Q459" i="11"/>
  <c r="Q460" i="11"/>
  <c r="Q461" i="11"/>
  <c r="Q462" i="11"/>
  <c r="Q463" i="11"/>
  <c r="Q465" i="11"/>
  <c r="Q466" i="11"/>
  <c r="Q467" i="11"/>
  <c r="Q468" i="11"/>
  <c r="Q469" i="11"/>
  <c r="Q470" i="11"/>
  <c r="Q471" i="11"/>
  <c r="Q472" i="11"/>
  <c r="Q473" i="11"/>
  <c r="Q474" i="11"/>
  <c r="Q475" i="11"/>
  <c r="Q476" i="11"/>
  <c r="Q477" i="11"/>
  <c r="Q478" i="11"/>
  <c r="Q479" i="11"/>
  <c r="Q480" i="11"/>
  <c r="Q481" i="11"/>
  <c r="Q482" i="11"/>
  <c r="Q483" i="11"/>
  <c r="Q484" i="11"/>
  <c r="Q485" i="11"/>
  <c r="Q486" i="11"/>
  <c r="Q487" i="11"/>
  <c r="Q488" i="11"/>
  <c r="Q489" i="11"/>
  <c r="Q490" i="11"/>
  <c r="Q491" i="11"/>
  <c r="Q492" i="11"/>
  <c r="Q493" i="11"/>
  <c r="Q494" i="11"/>
  <c r="Q495" i="11"/>
  <c r="Q496" i="11"/>
  <c r="Q497" i="11"/>
  <c r="Q498" i="11"/>
  <c r="Q499" i="11"/>
  <c r="Q500" i="11"/>
  <c r="Q501" i="11"/>
  <c r="Q502" i="11"/>
  <c r="Q503" i="11"/>
  <c r="Q504" i="11"/>
  <c r="Q505" i="11"/>
  <c r="Q506" i="11"/>
  <c r="Q507" i="11"/>
  <c r="Q508" i="11"/>
  <c r="Q509" i="11"/>
  <c r="Q510" i="11"/>
  <c r="Q511" i="11"/>
  <c r="Q512" i="11"/>
  <c r="Q513" i="11"/>
  <c r="Q514" i="11"/>
  <c r="Q515" i="11"/>
  <c r="Q516" i="11"/>
  <c r="Q517" i="11"/>
  <c r="Q518" i="11"/>
  <c r="Q519" i="11"/>
  <c r="Q521" i="11"/>
  <c r="Q522" i="11"/>
  <c r="Q523" i="11"/>
  <c r="Q524" i="11"/>
  <c r="Q525" i="11"/>
  <c r="Q526" i="11"/>
  <c r="Q527" i="11"/>
  <c r="Q528" i="11"/>
  <c r="Q529" i="11"/>
  <c r="Q530" i="11"/>
  <c r="Q531" i="11"/>
  <c r="Q532" i="11"/>
  <c r="Q533" i="11"/>
  <c r="Q534" i="11"/>
  <c r="Q535" i="11"/>
  <c r="Q536" i="11"/>
  <c r="Q537" i="11"/>
  <c r="Q538" i="11"/>
  <c r="Q539" i="11"/>
  <c r="Q540" i="11"/>
  <c r="Q541" i="11"/>
  <c r="Q542" i="11"/>
  <c r="Q543" i="11"/>
  <c r="Q544" i="11"/>
  <c r="Q545" i="11"/>
  <c r="Q546" i="11"/>
  <c r="Q547" i="11"/>
  <c r="Q548" i="11"/>
  <c r="Q549" i="11"/>
  <c r="Q550" i="11"/>
  <c r="Q551" i="11"/>
  <c r="Q552" i="11"/>
  <c r="Q553" i="11"/>
  <c r="Q554" i="11"/>
  <c r="Q555" i="11"/>
  <c r="Q556" i="11"/>
  <c r="Q557" i="11"/>
  <c r="Q558" i="11"/>
  <c r="Q559" i="11"/>
  <c r="Q560" i="11"/>
  <c r="Q561" i="11"/>
  <c r="Q562" i="11"/>
  <c r="Q563" i="11"/>
  <c r="Q564" i="11"/>
  <c r="Q565" i="11"/>
  <c r="Q566" i="11"/>
  <c r="Q567" i="11"/>
  <c r="Q568" i="11"/>
  <c r="Q569" i="11"/>
  <c r="Q570" i="11"/>
  <c r="Q571" i="11"/>
  <c r="Q572" i="11"/>
  <c r="Q573" i="11"/>
  <c r="Q574" i="11"/>
  <c r="Q575" i="11"/>
  <c r="Q577" i="11"/>
  <c r="Q578" i="11"/>
  <c r="Q579" i="11"/>
  <c r="Q580" i="11"/>
  <c r="Q581" i="11"/>
  <c r="Q582" i="11"/>
  <c r="Q583" i="11"/>
  <c r="Q584" i="11"/>
  <c r="Q585" i="11"/>
  <c r="Q586" i="11"/>
  <c r="Q587" i="11"/>
  <c r="Q588" i="11"/>
  <c r="Q589" i="11"/>
  <c r="Q590" i="11"/>
  <c r="Q591" i="11"/>
  <c r="Q592" i="11"/>
  <c r="Q593" i="11"/>
  <c r="Q594" i="11"/>
  <c r="Q595" i="11"/>
  <c r="Q596" i="11"/>
  <c r="Q597" i="11"/>
  <c r="Q598" i="11"/>
  <c r="Q599" i="11"/>
  <c r="Q600" i="11"/>
  <c r="Q601" i="11"/>
  <c r="Q602" i="11"/>
  <c r="Q603" i="11"/>
  <c r="Q604" i="11"/>
  <c r="Q605" i="11"/>
  <c r="Q606" i="11"/>
  <c r="Q607" i="11"/>
  <c r="Q608" i="11"/>
  <c r="Q609" i="11"/>
  <c r="Q610" i="11"/>
  <c r="Q611" i="11"/>
  <c r="Q612" i="11"/>
  <c r="Q613" i="11"/>
  <c r="Q614" i="11"/>
  <c r="Q615" i="11"/>
  <c r="Q616" i="11"/>
  <c r="Q617" i="11"/>
  <c r="Q618" i="11"/>
  <c r="Q619" i="11"/>
  <c r="Q620" i="11"/>
  <c r="Q621" i="11"/>
  <c r="Q622" i="11"/>
  <c r="Q623" i="11"/>
  <c r="Q624" i="11"/>
  <c r="Q625" i="11"/>
  <c r="Q626" i="11"/>
  <c r="Q627" i="11"/>
  <c r="Q628" i="11"/>
  <c r="Q629" i="11"/>
  <c r="Q630" i="11"/>
  <c r="Q631" i="11"/>
  <c r="Q633" i="11"/>
  <c r="Q634" i="11"/>
  <c r="Q635" i="11"/>
  <c r="Q636" i="11"/>
  <c r="Q637" i="11"/>
  <c r="Q638" i="11"/>
  <c r="Q639" i="11"/>
  <c r="Q640" i="11"/>
  <c r="Q641" i="11"/>
  <c r="Q642" i="11"/>
  <c r="Q643" i="11"/>
  <c r="Q644" i="11"/>
  <c r="Q645" i="11"/>
  <c r="Q646" i="11"/>
  <c r="Q647" i="11"/>
  <c r="Q648" i="11"/>
  <c r="Q649" i="11"/>
  <c r="Q650" i="11"/>
  <c r="Q651" i="11"/>
  <c r="Q652" i="11"/>
  <c r="Q653" i="11"/>
  <c r="Q654" i="11"/>
  <c r="Q655" i="11"/>
  <c r="Q656" i="11"/>
  <c r="Q657" i="11"/>
  <c r="Q658" i="11"/>
  <c r="Q659" i="11"/>
  <c r="Q660" i="11"/>
  <c r="Q661" i="11"/>
  <c r="Q662" i="11"/>
  <c r="Q663" i="11"/>
  <c r="Q664" i="11"/>
  <c r="Q665" i="11"/>
  <c r="Q666" i="11"/>
  <c r="Q667" i="11"/>
  <c r="Q668" i="11"/>
  <c r="Q669" i="11"/>
  <c r="Q670" i="11"/>
  <c r="Q671" i="11"/>
  <c r="Q672" i="11"/>
  <c r="Q673" i="11"/>
  <c r="Q674" i="11"/>
  <c r="Q675" i="11"/>
  <c r="Q676" i="11"/>
  <c r="Q677" i="11"/>
  <c r="Q678" i="11"/>
  <c r="Q679" i="11"/>
  <c r="Q680" i="11"/>
  <c r="Q681" i="11"/>
  <c r="Q682" i="11"/>
  <c r="Q683" i="11"/>
  <c r="Q684" i="11"/>
  <c r="Q685" i="11"/>
  <c r="Q686" i="11"/>
  <c r="Q687" i="11"/>
  <c r="Q689" i="11"/>
  <c r="Q690" i="11"/>
  <c r="Q691" i="11"/>
  <c r="Q692" i="11"/>
  <c r="Q693" i="11"/>
  <c r="Q694" i="11"/>
  <c r="Q695" i="11"/>
  <c r="Q696" i="11"/>
  <c r="Q697" i="11"/>
  <c r="Q698" i="11"/>
  <c r="Q699" i="11"/>
  <c r="Q700" i="11"/>
  <c r="Q701" i="11"/>
  <c r="Q702" i="11"/>
  <c r="Q703" i="11"/>
  <c r="Q704" i="11"/>
  <c r="Q705" i="11"/>
  <c r="Q706" i="11"/>
  <c r="Q707" i="11"/>
  <c r="Q708" i="11"/>
  <c r="Q709" i="11"/>
  <c r="Q710" i="11"/>
  <c r="Q711" i="11"/>
  <c r="Q712" i="11"/>
  <c r="Q713" i="11"/>
  <c r="Q714" i="11"/>
  <c r="Q715" i="11"/>
  <c r="Q716" i="11"/>
  <c r="Q717" i="11"/>
  <c r="Q718" i="11"/>
  <c r="Q719" i="11"/>
  <c r="Q720" i="11"/>
  <c r="Q721" i="11"/>
  <c r="Q722" i="11"/>
  <c r="Q723" i="11"/>
  <c r="Q724" i="11"/>
  <c r="Q725" i="11"/>
  <c r="Q726" i="11"/>
  <c r="Q727" i="11"/>
  <c r="Q728" i="11"/>
  <c r="Q729" i="11"/>
  <c r="Q730" i="11"/>
  <c r="Q731" i="11"/>
  <c r="Q732" i="11"/>
  <c r="Q733" i="11"/>
  <c r="Q734" i="11"/>
  <c r="Q735" i="11"/>
  <c r="Q736" i="11"/>
  <c r="Q737" i="11"/>
  <c r="Q738" i="11"/>
  <c r="Q739" i="11"/>
  <c r="Q740" i="11"/>
  <c r="Q741" i="11"/>
  <c r="Q742" i="11"/>
  <c r="Q743" i="11"/>
  <c r="Q745" i="11"/>
  <c r="Q746" i="11"/>
  <c r="Q747" i="11"/>
  <c r="Q748" i="11"/>
  <c r="Q749" i="11"/>
  <c r="Q750" i="11"/>
  <c r="Q751" i="11"/>
  <c r="Q752" i="11"/>
  <c r="Q753" i="11"/>
  <c r="Q754" i="11"/>
  <c r="Q755" i="11"/>
  <c r="Q756" i="11"/>
  <c r="Q757" i="11"/>
  <c r="Q758" i="11"/>
  <c r="Q759" i="11"/>
  <c r="Q760" i="11"/>
  <c r="Q761" i="11"/>
  <c r="Q762" i="11"/>
  <c r="Q763" i="11"/>
  <c r="Q764" i="11"/>
  <c r="Q765" i="11"/>
  <c r="Q766" i="11"/>
  <c r="Q767" i="11"/>
  <c r="Q768" i="11"/>
  <c r="Q769" i="11"/>
  <c r="Q770" i="11"/>
  <c r="Q771" i="11"/>
  <c r="Q772" i="11"/>
  <c r="Q773" i="11"/>
  <c r="Q774" i="11"/>
  <c r="Q775" i="11"/>
  <c r="Q776" i="11"/>
  <c r="Q777" i="11"/>
  <c r="Q778" i="11"/>
  <c r="Q779" i="11"/>
  <c r="Q780" i="11"/>
  <c r="Q781" i="11"/>
  <c r="Q782" i="11"/>
  <c r="Q783" i="11"/>
  <c r="Q784" i="11"/>
  <c r="Q785" i="11"/>
  <c r="Q786" i="11"/>
  <c r="Q787" i="11"/>
  <c r="Q788" i="11"/>
  <c r="Q789" i="11"/>
  <c r="Q790" i="11"/>
  <c r="Q791" i="11"/>
  <c r="Q792" i="11"/>
  <c r="Q793" i="11"/>
  <c r="Q794" i="11"/>
  <c r="Q795" i="11"/>
  <c r="Q796" i="11"/>
  <c r="Q797" i="11"/>
  <c r="Q798" i="11"/>
  <c r="Q799" i="11"/>
  <c r="Q801" i="11"/>
  <c r="Q802" i="11"/>
  <c r="Q803" i="11"/>
  <c r="Q804" i="11"/>
  <c r="Q805" i="11"/>
  <c r="Q806" i="11"/>
  <c r="Q807" i="11"/>
  <c r="Q808" i="11"/>
  <c r="Q809" i="11"/>
  <c r="Q810" i="11"/>
  <c r="Q811" i="11"/>
  <c r="Q812" i="11"/>
  <c r="Q813" i="11"/>
  <c r="Q814" i="11"/>
  <c r="Q815" i="11"/>
  <c r="Q816" i="11"/>
  <c r="Q817" i="11"/>
  <c r="Q818" i="11"/>
  <c r="Q819" i="11"/>
  <c r="Q820" i="11"/>
  <c r="Q821" i="11"/>
  <c r="Q822" i="11"/>
  <c r="Q823" i="11"/>
  <c r="Q824" i="11"/>
  <c r="Q825" i="11"/>
  <c r="Q826" i="11"/>
  <c r="Q827" i="11"/>
  <c r="Q828" i="11"/>
  <c r="Q829" i="11"/>
  <c r="Q830" i="11"/>
  <c r="Q831" i="11"/>
  <c r="Q832" i="11"/>
  <c r="Q833" i="11"/>
  <c r="Q834" i="11"/>
  <c r="Q835" i="11"/>
  <c r="Q836" i="11"/>
  <c r="Q837" i="11"/>
  <c r="Q838" i="11"/>
  <c r="Q839" i="11"/>
  <c r="Q840" i="11"/>
  <c r="Q841" i="11"/>
  <c r="Q842" i="11"/>
  <c r="Q843" i="11"/>
  <c r="Q844" i="11"/>
  <c r="Q845" i="11"/>
  <c r="Q846" i="11"/>
  <c r="Q847" i="11"/>
  <c r="Q848" i="11"/>
  <c r="Q849" i="11"/>
  <c r="Q850" i="11"/>
  <c r="Q851" i="11"/>
  <c r="Q852" i="11"/>
  <c r="Q853" i="11"/>
  <c r="Q854" i="11"/>
  <c r="Q855" i="11"/>
  <c r="Q857" i="11"/>
  <c r="Q858" i="11"/>
  <c r="Q859" i="11"/>
  <c r="Q860" i="11"/>
  <c r="Q861" i="11"/>
  <c r="Q862" i="11"/>
  <c r="Q863" i="11"/>
  <c r="Q864" i="11"/>
  <c r="Q865" i="11"/>
  <c r="Q866" i="11"/>
  <c r="Q867" i="11"/>
  <c r="Q868" i="11"/>
  <c r="Q869" i="11"/>
  <c r="Q870" i="11"/>
  <c r="Q871" i="11"/>
  <c r="Q872" i="11"/>
  <c r="Q873" i="11"/>
  <c r="Q874" i="11"/>
  <c r="Q875" i="11"/>
  <c r="Q876" i="11"/>
  <c r="Q877" i="11"/>
  <c r="Q878" i="11"/>
  <c r="Q879" i="11"/>
  <c r="Q880" i="11"/>
  <c r="Q881" i="11"/>
  <c r="Q882" i="11"/>
  <c r="Q883" i="11"/>
  <c r="Q884" i="11"/>
  <c r="Q885" i="11"/>
  <c r="Q886" i="11"/>
  <c r="Q887" i="11"/>
  <c r="Q888" i="11"/>
  <c r="Q889" i="11"/>
  <c r="Q890" i="11"/>
  <c r="Q891" i="11"/>
  <c r="Q892" i="11"/>
  <c r="Q893" i="11"/>
  <c r="Q894" i="11"/>
  <c r="Q895" i="11"/>
  <c r="Q896" i="11"/>
  <c r="Q897" i="11"/>
  <c r="Q898" i="11"/>
  <c r="Q899" i="11"/>
  <c r="Q900" i="11"/>
  <c r="Q901" i="11"/>
  <c r="Q902" i="11"/>
  <c r="Q903" i="11"/>
  <c r="Q904" i="11"/>
  <c r="Q905" i="11"/>
  <c r="Q906" i="11"/>
  <c r="Q907" i="11"/>
  <c r="Q908" i="11"/>
  <c r="Q909" i="11"/>
  <c r="Q910" i="11"/>
  <c r="Q911" i="11"/>
  <c r="Q913" i="11"/>
  <c r="Q914" i="11"/>
  <c r="Q915" i="11"/>
  <c r="Q916" i="11"/>
  <c r="Q917" i="11"/>
  <c r="Q918" i="11"/>
  <c r="Q919" i="11"/>
  <c r="Q920" i="11"/>
  <c r="Q921" i="11"/>
  <c r="Q922" i="11"/>
  <c r="Q923" i="11"/>
  <c r="Q924" i="11"/>
  <c r="Q925" i="11"/>
  <c r="Q926" i="11"/>
  <c r="Q927" i="11"/>
  <c r="Q928" i="11"/>
  <c r="Q929" i="11"/>
  <c r="Q930" i="11"/>
  <c r="Q931" i="11"/>
  <c r="Q932" i="11"/>
  <c r="Q933" i="11"/>
  <c r="Q934" i="11"/>
  <c r="Q935" i="11"/>
  <c r="Q936" i="11"/>
  <c r="Q937" i="11"/>
  <c r="Q938" i="11"/>
  <c r="Q939" i="11"/>
  <c r="Q940" i="11"/>
  <c r="Q941" i="11"/>
  <c r="Q942" i="11"/>
  <c r="Q943" i="11"/>
  <c r="Q944" i="11"/>
  <c r="Q945" i="11"/>
  <c r="Q946" i="11"/>
  <c r="Q947" i="11"/>
  <c r="Q948" i="11"/>
  <c r="Q949" i="11"/>
  <c r="Q950" i="11"/>
  <c r="Q951" i="11"/>
  <c r="Q952" i="11"/>
  <c r="Q953" i="11"/>
  <c r="Q954" i="11"/>
  <c r="Q955" i="11"/>
  <c r="Q956" i="11"/>
  <c r="Q957" i="11"/>
  <c r="Q958" i="11"/>
  <c r="Q959" i="11"/>
  <c r="Q960" i="11"/>
  <c r="Q961" i="11"/>
  <c r="Q962" i="11"/>
  <c r="Q963" i="11"/>
  <c r="Q964" i="11"/>
  <c r="Q965" i="11"/>
  <c r="Q966" i="11"/>
  <c r="Q967" i="11"/>
  <c r="Q969" i="11"/>
  <c r="Q970" i="11"/>
  <c r="Q971" i="11"/>
  <c r="Q972" i="11"/>
  <c r="Q973" i="11"/>
  <c r="Q974" i="11"/>
  <c r="Q975" i="11"/>
  <c r="Q976" i="11"/>
  <c r="Q977" i="11"/>
  <c r="Q978" i="11"/>
  <c r="Q979" i="11"/>
  <c r="Q980" i="11"/>
  <c r="Q981" i="11"/>
  <c r="Q982" i="11"/>
  <c r="Q983" i="11"/>
  <c r="Q984" i="11"/>
  <c r="Q985" i="11"/>
  <c r="Q986" i="11"/>
  <c r="Q987" i="11"/>
  <c r="Q988" i="11"/>
  <c r="Q989" i="11"/>
  <c r="Q990" i="11"/>
  <c r="Q991" i="11"/>
  <c r="Q992" i="11"/>
  <c r="Q993" i="11"/>
  <c r="Q994" i="11"/>
  <c r="Q995" i="11"/>
  <c r="Q996" i="11"/>
  <c r="Q997" i="11"/>
  <c r="Q998" i="11"/>
  <c r="Q999" i="11"/>
  <c r="Q1000" i="11"/>
  <c r="Q1001" i="11"/>
  <c r="Q1002" i="11"/>
  <c r="Q1003" i="11"/>
  <c r="Q1004" i="11"/>
  <c r="Q1005" i="11"/>
  <c r="Q1006" i="11"/>
  <c r="Q1007" i="11"/>
  <c r="Q1008" i="11"/>
  <c r="Q1009" i="11"/>
  <c r="Q1010" i="11"/>
  <c r="Q1011" i="11"/>
  <c r="Q1012" i="11"/>
  <c r="Q1013" i="11"/>
  <c r="Q1014" i="11"/>
  <c r="Q1015" i="11"/>
  <c r="Q1016" i="11"/>
  <c r="Q1017" i="11"/>
  <c r="Q1018" i="11"/>
  <c r="Q1019" i="11"/>
  <c r="Q1020" i="11"/>
  <c r="Q1021" i="11"/>
  <c r="Q1022" i="11"/>
  <c r="Q1023" i="11"/>
  <c r="Q1025" i="11"/>
  <c r="Q1026" i="11"/>
  <c r="Q1027" i="11"/>
  <c r="Q1028" i="11"/>
  <c r="Q1029" i="11"/>
  <c r="Q1030" i="11"/>
  <c r="Q1031" i="11"/>
  <c r="Q1032" i="11"/>
  <c r="Q1033" i="11"/>
  <c r="Q1034" i="11"/>
  <c r="Q1035" i="11"/>
  <c r="Q1036" i="11"/>
  <c r="Q1037" i="11"/>
  <c r="Q1038" i="11"/>
  <c r="Q1039" i="11"/>
  <c r="Q1040" i="11"/>
  <c r="Q1041" i="11"/>
  <c r="Q1042" i="11"/>
  <c r="Q1043" i="11"/>
  <c r="Q1044" i="11"/>
  <c r="Q1045" i="11"/>
  <c r="Q1046" i="11"/>
  <c r="Q1047" i="11"/>
  <c r="Q1048" i="11"/>
  <c r="Q1049" i="11"/>
  <c r="Q1050" i="11"/>
  <c r="Q1051" i="11"/>
  <c r="Q1052" i="11"/>
  <c r="Q1053" i="11"/>
  <c r="Q1054" i="11"/>
  <c r="Q1055" i="11"/>
  <c r="Q1056" i="11"/>
  <c r="Q1057" i="11"/>
  <c r="Q1058" i="11"/>
  <c r="Q1059" i="11"/>
  <c r="Q1060" i="11"/>
  <c r="Q1061" i="11"/>
  <c r="Q1062" i="11"/>
  <c r="Q1063" i="11"/>
  <c r="Q1064" i="11"/>
  <c r="Q1065" i="11"/>
  <c r="Q1066" i="11"/>
  <c r="Q1067" i="11"/>
  <c r="Q1068" i="11"/>
  <c r="Q1069" i="11"/>
  <c r="Q1070" i="11"/>
  <c r="Q1071" i="11"/>
  <c r="Q1072" i="11"/>
  <c r="Q1073" i="11"/>
  <c r="Q1074" i="11"/>
  <c r="Q1075" i="11"/>
  <c r="Q1076" i="11"/>
  <c r="Q1077" i="11"/>
  <c r="Q1078" i="11"/>
  <c r="Q1079" i="11"/>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795" i="10"/>
  <c r="R796" i="10"/>
  <c r="R797" i="10"/>
  <c r="R798" i="10"/>
  <c r="R799" i="10"/>
  <c r="R800" i="10"/>
  <c r="R801" i="10"/>
  <c r="R802" i="10"/>
  <c r="R803" i="10"/>
  <c r="R804" i="10"/>
  <c r="R806" i="10"/>
  <c r="R807" i="10"/>
  <c r="R808" i="10"/>
  <c r="R809" i="10"/>
  <c r="R810" i="10"/>
  <c r="R811" i="10"/>
  <c r="R812" i="10"/>
  <c r="R813" i="10"/>
  <c r="R814" i="10"/>
  <c r="R815" i="10"/>
  <c r="R816" i="10"/>
  <c r="R817" i="10"/>
  <c r="R818" i="10"/>
  <c r="R819" i="10"/>
  <c r="R820" i="10"/>
  <c r="R821" i="10"/>
  <c r="R822" i="10"/>
  <c r="R823" i="10"/>
  <c r="R824" i="10"/>
  <c r="R825" i="10"/>
  <c r="R826" i="10"/>
  <c r="R827" i="10"/>
  <c r="R828" i="10"/>
  <c r="R829" i="10"/>
  <c r="R830" i="10"/>
  <c r="R831" i="10"/>
  <c r="R832" i="10"/>
  <c r="R833" i="10"/>
  <c r="R834" i="10"/>
  <c r="R835" i="10"/>
  <c r="R836" i="10"/>
  <c r="R837" i="10"/>
  <c r="R838" i="10"/>
  <c r="R839" i="10"/>
  <c r="R840" i="10"/>
  <c r="R841" i="10"/>
  <c r="R842" i="10"/>
  <c r="R843" i="10"/>
  <c r="R844" i="10"/>
  <c r="R845" i="10"/>
  <c r="R846" i="10"/>
  <c r="R847" i="10"/>
  <c r="R848" i="10"/>
  <c r="R849" i="10"/>
  <c r="R850" i="10"/>
  <c r="R851" i="10"/>
  <c r="R852" i="10"/>
  <c r="R853" i="10"/>
  <c r="R854" i="10"/>
  <c r="R855" i="10"/>
  <c r="R856" i="10"/>
  <c r="R857" i="10"/>
  <c r="R858" i="10"/>
  <c r="R859" i="10"/>
  <c r="R860" i="10"/>
  <c r="R862" i="10"/>
  <c r="R863" i="10"/>
  <c r="R864" i="10"/>
  <c r="R865" i="10"/>
  <c r="R866" i="10"/>
  <c r="R867" i="10"/>
  <c r="R868" i="10"/>
  <c r="R869" i="10"/>
  <c r="R870" i="10"/>
  <c r="R871" i="10"/>
  <c r="R872" i="10"/>
  <c r="R873" i="10"/>
  <c r="R874" i="10"/>
  <c r="R875" i="10"/>
  <c r="R876" i="10"/>
  <c r="R877" i="10"/>
  <c r="R878" i="10"/>
  <c r="R879" i="10"/>
  <c r="R880" i="10"/>
  <c r="R881" i="10"/>
  <c r="R882" i="10"/>
  <c r="R883" i="10"/>
  <c r="R884" i="10"/>
  <c r="R885" i="10"/>
  <c r="R886" i="10"/>
  <c r="R887" i="10"/>
  <c r="R888" i="10"/>
  <c r="R889" i="10"/>
  <c r="R890" i="10"/>
  <c r="R891" i="10"/>
  <c r="R892" i="10"/>
  <c r="R893" i="10"/>
  <c r="R894" i="10"/>
  <c r="R895" i="10"/>
  <c r="R896" i="10"/>
  <c r="R897" i="10"/>
  <c r="R898" i="10"/>
  <c r="R899" i="10"/>
  <c r="R900" i="10"/>
  <c r="R901" i="10"/>
  <c r="R902" i="10"/>
  <c r="R903" i="10"/>
  <c r="R904" i="10"/>
  <c r="R905" i="10"/>
  <c r="R906" i="10"/>
  <c r="R907" i="10"/>
  <c r="R908" i="10"/>
  <c r="R909" i="10"/>
  <c r="R910" i="10"/>
  <c r="R911" i="10"/>
  <c r="R912" i="10"/>
  <c r="R913" i="10"/>
  <c r="R914" i="10"/>
  <c r="R915" i="10"/>
  <c r="R916" i="10"/>
  <c r="R918" i="10"/>
  <c r="R919" i="10"/>
  <c r="R920" i="10"/>
  <c r="R921" i="10"/>
  <c r="R922" i="10"/>
  <c r="R923" i="10"/>
  <c r="R924" i="10"/>
  <c r="R925" i="10"/>
  <c r="R926" i="10"/>
  <c r="R927" i="10"/>
  <c r="R928" i="10"/>
  <c r="R929" i="10"/>
  <c r="R930" i="10"/>
  <c r="R931" i="10"/>
  <c r="R932" i="10"/>
  <c r="R933" i="10"/>
  <c r="R934" i="10"/>
  <c r="R935" i="10"/>
  <c r="R936" i="10"/>
  <c r="R937" i="10"/>
  <c r="R938" i="10"/>
  <c r="R939" i="10"/>
  <c r="R940" i="10"/>
  <c r="R941" i="10"/>
  <c r="R942" i="10"/>
  <c r="R943" i="10"/>
  <c r="R944" i="10"/>
  <c r="R945" i="10"/>
  <c r="R946" i="10"/>
  <c r="R947" i="10"/>
  <c r="R948" i="10"/>
  <c r="R949" i="10"/>
  <c r="R950" i="10"/>
  <c r="R951" i="10"/>
  <c r="R952" i="10"/>
  <c r="R953" i="10"/>
  <c r="R954" i="10"/>
  <c r="R955" i="10"/>
  <c r="R956" i="10"/>
  <c r="R957" i="10"/>
  <c r="R958" i="10"/>
  <c r="R959" i="10"/>
  <c r="R960" i="10"/>
  <c r="R961" i="10"/>
  <c r="R962" i="10"/>
  <c r="R963" i="10"/>
  <c r="R964" i="10"/>
  <c r="R965" i="10"/>
  <c r="R966" i="10"/>
  <c r="R967" i="10"/>
  <c r="R968" i="10"/>
  <c r="R969" i="10"/>
  <c r="R970" i="10"/>
  <c r="R971" i="10"/>
  <c r="R972" i="10"/>
  <c r="R974" i="10"/>
  <c r="R975" i="10"/>
  <c r="R976" i="10"/>
  <c r="R977" i="10"/>
  <c r="R978" i="10"/>
  <c r="R979" i="10"/>
  <c r="R980" i="10"/>
  <c r="R981" i="10"/>
  <c r="R982" i="10"/>
  <c r="R983" i="10"/>
  <c r="R984" i="10"/>
  <c r="R985" i="10"/>
  <c r="R986" i="10"/>
  <c r="R987" i="10"/>
  <c r="R988" i="10"/>
  <c r="R989" i="10"/>
  <c r="R990" i="10"/>
  <c r="R991" i="10"/>
  <c r="R992" i="10"/>
  <c r="R993" i="10"/>
  <c r="R994" i="10"/>
  <c r="R995" i="10"/>
  <c r="R996" i="10"/>
  <c r="R997" i="10"/>
  <c r="R998" i="10"/>
  <c r="R999" i="10"/>
  <c r="R1000" i="10"/>
  <c r="R1001" i="10"/>
  <c r="R1002" i="10"/>
  <c r="R1003" i="10"/>
  <c r="R1004" i="10"/>
  <c r="R1005" i="10"/>
  <c r="R1006" i="10"/>
  <c r="R1007" i="10"/>
  <c r="R1008" i="10"/>
  <c r="R1009" i="10"/>
  <c r="R1010" i="10"/>
  <c r="R1011" i="10"/>
  <c r="R1012" i="10"/>
  <c r="R1013" i="10"/>
  <c r="R1014" i="10"/>
  <c r="R1015" i="10"/>
  <c r="R1016" i="10"/>
  <c r="R1017" i="10"/>
  <c r="R1018" i="10"/>
  <c r="R1019" i="10"/>
  <c r="R1020" i="10"/>
  <c r="R1021" i="10"/>
  <c r="R1022" i="10"/>
  <c r="R1023" i="10"/>
  <c r="R1024" i="10"/>
  <c r="R1025" i="10"/>
  <c r="R1026" i="10"/>
  <c r="R1027" i="10"/>
  <c r="R1028" i="10"/>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B37" i="5" l="1"/>
  <c r="C13" i="2"/>
  <c r="D13" i="2"/>
  <c r="I16" i="2"/>
  <c r="B2" i="17"/>
  <c r="N6" i="17"/>
  <c r="M6" i="17"/>
  <c r="L6" i="17"/>
  <c r="K6" i="17"/>
  <c r="D6" i="17"/>
  <c r="E6" i="17"/>
  <c r="F6" i="17"/>
  <c r="G6" i="17"/>
  <c r="H6" i="17"/>
  <c r="I6" i="17"/>
  <c r="J6" i="17"/>
  <c r="D8" i="17"/>
  <c r="E8" i="17"/>
  <c r="F8" i="17"/>
  <c r="G8" i="17"/>
  <c r="H8" i="17"/>
  <c r="I8" i="17"/>
  <c r="J8" i="17"/>
  <c r="K8" i="17"/>
  <c r="L8" i="17"/>
  <c r="M8" i="17"/>
  <c r="N8" i="17"/>
  <c r="W77" i="17"/>
  <c r="W78" i="17"/>
  <c r="W79" i="17"/>
  <c r="W80" i="17"/>
  <c r="W81" i="17"/>
  <c r="W82" i="17"/>
  <c r="W83" i="17"/>
  <c r="W84" i="17"/>
  <c r="W85" i="17"/>
  <c r="W86" i="17"/>
  <c r="W87" i="17"/>
  <c r="W90" i="17"/>
  <c r="W91" i="17"/>
  <c r="W92" i="17"/>
  <c r="W93" i="17"/>
  <c r="W94" i="17"/>
  <c r="W95" i="17"/>
  <c r="W96" i="17"/>
  <c r="W97" i="17"/>
  <c r="W98" i="17"/>
  <c r="W99" i="17"/>
  <c r="W100" i="17"/>
  <c r="M9" i="17" l="1"/>
  <c r="D9" i="17"/>
  <c r="H9" i="17"/>
  <c r="G9" i="17"/>
  <c r="N9" i="17"/>
  <c r="J9" i="17"/>
  <c r="I9" i="17"/>
  <c r="F9" i="17"/>
  <c r="E9" i="17"/>
  <c r="L9" i="17"/>
  <c r="K9" i="17"/>
  <c r="W291" i="17"/>
  <c r="W292" i="17"/>
  <c r="W293" i="17"/>
  <c r="W294" i="17"/>
  <c r="W295" i="17"/>
  <c r="W296" i="17"/>
  <c r="W297" i="17"/>
  <c r="W298" i="17"/>
  <c r="W299" i="17"/>
  <c r="W300" i="17"/>
  <c r="W301" i="17"/>
  <c r="W304" i="17"/>
  <c r="W305" i="17"/>
  <c r="W306" i="17"/>
  <c r="W307" i="17"/>
  <c r="W308" i="17"/>
  <c r="W309" i="17"/>
  <c r="W310" i="17"/>
  <c r="W311" i="17"/>
  <c r="W312" i="17"/>
  <c r="W313" i="17"/>
  <c r="W314" i="17"/>
  <c r="W317" i="17"/>
  <c r="W318" i="17"/>
  <c r="W319" i="17"/>
  <c r="W320" i="17"/>
  <c r="W321" i="17"/>
  <c r="W322" i="17"/>
  <c r="W323" i="17"/>
  <c r="W324" i="17"/>
  <c r="W325" i="17"/>
  <c r="W326" i="17"/>
  <c r="W327" i="17"/>
  <c r="W330" i="17"/>
  <c r="W331" i="17"/>
  <c r="W332" i="17"/>
  <c r="W333" i="17"/>
  <c r="W334" i="17"/>
  <c r="W335" i="17"/>
  <c r="W336" i="17"/>
  <c r="W337" i="17"/>
  <c r="W338" i="17"/>
  <c r="W339" i="17"/>
  <c r="W340" i="17"/>
  <c r="W343" i="17"/>
  <c r="W344" i="17"/>
  <c r="W345" i="17"/>
  <c r="W346" i="17"/>
  <c r="W347" i="17"/>
  <c r="W348" i="17"/>
  <c r="W349" i="17"/>
  <c r="W350" i="17"/>
  <c r="W351" i="17"/>
  <c r="W352" i="17"/>
  <c r="W353" i="17"/>
  <c r="W356" i="17"/>
  <c r="W357" i="17"/>
  <c r="W358" i="17"/>
  <c r="W359" i="17"/>
  <c r="W360" i="17"/>
  <c r="W361" i="17"/>
  <c r="W362" i="17"/>
  <c r="W363" i="17"/>
  <c r="W364" i="17"/>
  <c r="W365" i="17"/>
  <c r="W366" i="17"/>
  <c r="W369" i="17"/>
  <c r="W370" i="17"/>
  <c r="W371" i="17"/>
  <c r="W372" i="17"/>
  <c r="W373" i="17"/>
  <c r="W374" i="17"/>
  <c r="W375" i="17"/>
  <c r="W376" i="17"/>
  <c r="W377" i="17"/>
  <c r="W378" i="17"/>
  <c r="W379" i="17"/>
  <c r="W395" i="17" l="1"/>
  <c r="W396" i="17"/>
  <c r="W397" i="17"/>
  <c r="W398" i="17"/>
  <c r="W399" i="17"/>
  <c r="W400" i="17"/>
  <c r="W401" i="17"/>
  <c r="W402" i="17"/>
  <c r="W403" i="17"/>
  <c r="W404" i="17"/>
  <c r="W405" i="17"/>
  <c r="W421" i="17"/>
  <c r="W422" i="17"/>
  <c r="W423" i="17"/>
  <c r="W424" i="17"/>
  <c r="W425" i="17"/>
  <c r="W426" i="17"/>
  <c r="W427" i="17"/>
  <c r="W428" i="17"/>
  <c r="W429" i="17"/>
  <c r="W430" i="17"/>
  <c r="W431" i="17"/>
  <c r="W434" i="17"/>
  <c r="W435" i="17"/>
  <c r="W436" i="17"/>
  <c r="W437" i="17"/>
  <c r="W438" i="17"/>
  <c r="W439" i="17"/>
  <c r="W440" i="17"/>
  <c r="W441" i="17"/>
  <c r="W442" i="17"/>
  <c r="W443" i="17"/>
  <c r="W444" i="17"/>
  <c r="W460" i="17"/>
  <c r="W461" i="17"/>
  <c r="W462" i="17"/>
  <c r="W463" i="17"/>
  <c r="W464" i="17"/>
  <c r="W465" i="17"/>
  <c r="W466" i="17"/>
  <c r="W467" i="17"/>
  <c r="W468" i="17"/>
  <c r="W469" i="17"/>
  <c r="W470" i="17"/>
  <c r="W756" i="17"/>
  <c r="W757" i="17"/>
  <c r="W758" i="17"/>
  <c r="W759" i="17"/>
  <c r="W760" i="17"/>
  <c r="W761" i="17"/>
  <c r="W762" i="17"/>
  <c r="W763" i="17"/>
  <c r="W764" i="17"/>
  <c r="W765" i="17"/>
  <c r="W766" i="17"/>
  <c r="W819" i="17" l="1"/>
  <c r="W820" i="17"/>
  <c r="W821" i="17"/>
  <c r="W822" i="17"/>
  <c r="W823" i="17"/>
  <c r="W824" i="17"/>
  <c r="W825" i="17"/>
  <c r="W826" i="17"/>
  <c r="W827" i="17"/>
  <c r="W828" i="17"/>
  <c r="W829" i="17"/>
  <c r="W832" i="17"/>
  <c r="W833" i="17"/>
  <c r="W834" i="17"/>
  <c r="W835" i="17"/>
  <c r="W836" i="17"/>
  <c r="W837" i="17"/>
  <c r="W838" i="17"/>
  <c r="W839" i="17"/>
  <c r="W840" i="17"/>
  <c r="W841" i="17"/>
  <c r="W842" i="17"/>
  <c r="W1076" i="17"/>
  <c r="W1077" i="17"/>
  <c r="W1078" i="17"/>
  <c r="W1079" i="17"/>
  <c r="W1080" i="17"/>
  <c r="W1083" i="17"/>
  <c r="W1084" i="17"/>
  <c r="W1085" i="17"/>
  <c r="W1086" i="17"/>
  <c r="W1087" i="17"/>
  <c r="W1088" i="17"/>
  <c r="W1089" i="17"/>
  <c r="W1090" i="17"/>
  <c r="W1091" i="17"/>
  <c r="W1092" i="17"/>
  <c r="W1093" i="17"/>
  <c r="W1094" i="17"/>
  <c r="W1097" i="17"/>
  <c r="W1098" i="17"/>
  <c r="W1099" i="17"/>
  <c r="W1100" i="17"/>
  <c r="W1101" i="17"/>
  <c r="W1102" i="17"/>
  <c r="W1103" i="17"/>
  <c r="W1104" i="17"/>
  <c r="W1105" i="17"/>
  <c r="W1108" i="17"/>
  <c r="W1109" i="17"/>
  <c r="W1110" i="17"/>
  <c r="W1111" i="17"/>
  <c r="W1112" i="17"/>
  <c r="W1113" i="17"/>
  <c r="W1114" i="17"/>
  <c r="W1117" i="17"/>
  <c r="W1118" i="17"/>
  <c r="W1119" i="17"/>
  <c r="W1120" i="17"/>
  <c r="W1121" i="17"/>
  <c r="W1122" i="17"/>
  <c r="W1123" i="17"/>
  <c r="W1126" i="17"/>
  <c r="W1127" i="17"/>
  <c r="W1128" i="17"/>
  <c r="W1129" i="17"/>
  <c r="W1130" i="17"/>
  <c r="W1131" i="17"/>
  <c r="W1132" i="17"/>
  <c r="W1133" i="17"/>
  <c r="W1134" i="17"/>
  <c r="W1135" i="17"/>
  <c r="W1136" i="17"/>
  <c r="W1137" i="17"/>
  <c r="W1138" i="17"/>
  <c r="W1153" i="17"/>
  <c r="W1154" i="17"/>
  <c r="W1155" i="17"/>
  <c r="W1156" i="17"/>
  <c r="W1157" i="17"/>
  <c r="W1166" i="17"/>
  <c r="W1167" i="17"/>
  <c r="W1168" i="17"/>
  <c r="W1169" i="17"/>
  <c r="W1170" i="17"/>
  <c r="W1172" i="17"/>
  <c r="W1173" i="17"/>
  <c r="W1174" i="17"/>
  <c r="W1175" i="17"/>
  <c r="W1176" i="17"/>
  <c r="W1178" i="17"/>
  <c r="W1179" i="17"/>
  <c r="W1180" i="17"/>
  <c r="W1181" i="17"/>
  <c r="W1182" i="17"/>
  <c r="W1184" i="17"/>
  <c r="W1185" i="17"/>
  <c r="W1186" i="17"/>
  <c r="W1187" i="17"/>
  <c r="W1188" i="17"/>
  <c r="W1190" i="17"/>
  <c r="W1191" i="17"/>
  <c r="W1192" i="17"/>
  <c r="W1193" i="17"/>
  <c r="W1194" i="17"/>
  <c r="W1197" i="17"/>
  <c r="W1198" i="17"/>
  <c r="W1199" i="17"/>
  <c r="W1200" i="17"/>
  <c r="W1201" i="17"/>
  <c r="AG1236" i="17"/>
  <c r="AF1236" i="17"/>
  <c r="AE1236" i="17"/>
  <c r="AD1236" i="17"/>
  <c r="W1236" i="17"/>
  <c r="X1236" i="17"/>
  <c r="Y1236" i="17"/>
  <c r="Z1236" i="17"/>
  <c r="AA1236" i="17"/>
  <c r="AB1236" i="17"/>
  <c r="AC1236" i="17"/>
  <c r="B2" i="16"/>
  <c r="H7" i="16"/>
  <c r="H9" i="16" s="1"/>
  <c r="G7" i="16"/>
  <c r="F7" i="16" s="1"/>
  <c r="E7" i="16" s="1"/>
  <c r="D7" i="16" s="1"/>
  <c r="D9" i="16" s="1"/>
  <c r="B2" i="15"/>
  <c r="H7" i="15"/>
  <c r="H9" i="15" s="1"/>
  <c r="G7" i="15"/>
  <c r="F7" i="15" s="1"/>
  <c r="E7" i="15" s="1"/>
  <c r="D7" i="15" s="1"/>
  <c r="D9" i="15" s="1"/>
  <c r="B2" i="14"/>
  <c r="H7"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B2" i="13"/>
  <c r="H7" i="13"/>
  <c r="G7" i="13" s="1"/>
  <c r="F7" i="13" s="1"/>
  <c r="E7" i="13" s="1"/>
  <c r="D7" i="13" s="1"/>
  <c r="D9" i="13" s="1"/>
  <c r="B2" i="12"/>
  <c r="H7" i="12"/>
  <c r="G7" i="12" s="1"/>
  <c r="F7" i="12" s="1"/>
  <c r="E7" i="12" s="1"/>
  <c r="D7" i="12" s="1"/>
  <c r="D9" i="12" s="1"/>
  <c r="B2" i="11"/>
  <c r="H7" i="11"/>
  <c r="H9" i="11" l="1"/>
  <c r="H9" i="14"/>
  <c r="H9" i="13"/>
  <c r="H205" i="14"/>
  <c r="G7" i="11"/>
  <c r="G9" i="11" s="1"/>
  <c r="E9" i="12"/>
  <c r="G9" i="13"/>
  <c r="F9" i="13"/>
  <c r="G7" i="14"/>
  <c r="G9" i="16"/>
  <c r="F9" i="16"/>
  <c r="E9" i="16"/>
  <c r="G9" i="15"/>
  <c r="H9" i="12"/>
  <c r="F9" i="15"/>
  <c r="G9" i="12"/>
  <c r="E9" i="15"/>
  <c r="F9" i="12"/>
  <c r="E9" i="13"/>
  <c r="P409" i="11"/>
  <c r="P410" i="11"/>
  <c r="P411" i="11"/>
  <c r="P412" i="11"/>
  <c r="P413" i="11"/>
  <c r="P414" i="11"/>
  <c r="P415" i="11"/>
  <c r="P416" i="11"/>
  <c r="P417" i="11"/>
  <c r="P418" i="11"/>
  <c r="P419" i="11"/>
  <c r="P420" i="11"/>
  <c r="P421" i="11"/>
  <c r="P422" i="11"/>
  <c r="P423" i="11"/>
  <c r="P424" i="11"/>
  <c r="P425" i="11"/>
  <c r="P426" i="11"/>
  <c r="P427" i="11"/>
  <c r="P428" i="11"/>
  <c r="P429" i="11"/>
  <c r="P430" i="11"/>
  <c r="P431" i="11"/>
  <c r="P432" i="11"/>
  <c r="P433" i="11"/>
  <c r="P434" i="11"/>
  <c r="P435" i="11"/>
  <c r="P436" i="11"/>
  <c r="P437" i="11"/>
  <c r="P438" i="11"/>
  <c r="P439" i="11"/>
  <c r="P440" i="11"/>
  <c r="P441" i="11"/>
  <c r="P442" i="11"/>
  <c r="P443" i="11"/>
  <c r="P444" i="11"/>
  <c r="P445" i="11"/>
  <c r="P446" i="11"/>
  <c r="P447" i="11"/>
  <c r="P448" i="11"/>
  <c r="P449" i="11"/>
  <c r="P450" i="11"/>
  <c r="P451" i="11"/>
  <c r="P452" i="11"/>
  <c r="P453" i="11"/>
  <c r="P454" i="11"/>
  <c r="P455" i="11"/>
  <c r="P456" i="11"/>
  <c r="P457" i="11"/>
  <c r="P458" i="11"/>
  <c r="P459" i="11"/>
  <c r="P460" i="11"/>
  <c r="P461" i="11"/>
  <c r="P462" i="11"/>
  <c r="P463" i="11"/>
  <c r="P465" i="11"/>
  <c r="P466" i="11"/>
  <c r="P467" i="11"/>
  <c r="P468" i="11"/>
  <c r="P469" i="11"/>
  <c r="P470" i="11"/>
  <c r="P471" i="11"/>
  <c r="P472" i="11"/>
  <c r="P473" i="11"/>
  <c r="P474" i="11"/>
  <c r="P475" i="11"/>
  <c r="P476" i="11"/>
  <c r="P477" i="11"/>
  <c r="P478" i="11"/>
  <c r="P479" i="11"/>
  <c r="P480" i="11"/>
  <c r="P481" i="11"/>
  <c r="P482" i="11"/>
  <c r="P483" i="11"/>
  <c r="P484" i="11"/>
  <c r="P485" i="11"/>
  <c r="P486" i="11"/>
  <c r="P487" i="11"/>
  <c r="P488" i="11"/>
  <c r="P489" i="11"/>
  <c r="P490" i="11"/>
  <c r="P491" i="11"/>
  <c r="P492" i="11"/>
  <c r="P493" i="11"/>
  <c r="P494" i="11"/>
  <c r="P495" i="11"/>
  <c r="P496" i="11"/>
  <c r="P497" i="11"/>
  <c r="P498" i="11"/>
  <c r="P499" i="11"/>
  <c r="P500" i="11"/>
  <c r="P501" i="11"/>
  <c r="P502" i="11"/>
  <c r="P503" i="11"/>
  <c r="P504" i="11"/>
  <c r="P505" i="11"/>
  <c r="P506" i="11"/>
  <c r="P507" i="11"/>
  <c r="P508" i="11"/>
  <c r="P509" i="11"/>
  <c r="P510" i="11"/>
  <c r="P511" i="11"/>
  <c r="P512" i="11"/>
  <c r="P513" i="11"/>
  <c r="P514" i="11"/>
  <c r="P515" i="11"/>
  <c r="P516" i="11"/>
  <c r="P517" i="11"/>
  <c r="P518" i="11"/>
  <c r="P519" i="11"/>
  <c r="P521" i="11"/>
  <c r="P522" i="11"/>
  <c r="P523" i="11"/>
  <c r="P524" i="11"/>
  <c r="P525" i="11"/>
  <c r="P526" i="11"/>
  <c r="P527" i="11"/>
  <c r="P528" i="11"/>
  <c r="P529" i="11"/>
  <c r="P530" i="11"/>
  <c r="P531" i="11"/>
  <c r="P532" i="11"/>
  <c r="P533" i="11"/>
  <c r="P534" i="11"/>
  <c r="P535" i="11"/>
  <c r="P536" i="11"/>
  <c r="P537" i="11"/>
  <c r="P538" i="11"/>
  <c r="P539" i="11"/>
  <c r="P540" i="11"/>
  <c r="P541" i="11"/>
  <c r="P542" i="11"/>
  <c r="P543" i="11"/>
  <c r="P544" i="11"/>
  <c r="P545" i="11"/>
  <c r="P546" i="11"/>
  <c r="P547" i="11"/>
  <c r="P548" i="11"/>
  <c r="P549" i="11"/>
  <c r="P550" i="11"/>
  <c r="P551" i="11"/>
  <c r="P552" i="11"/>
  <c r="P553" i="11"/>
  <c r="P554" i="11"/>
  <c r="P555" i="11"/>
  <c r="P556" i="11"/>
  <c r="P557" i="11"/>
  <c r="P558" i="11"/>
  <c r="P559" i="11"/>
  <c r="P560" i="11"/>
  <c r="P561" i="11"/>
  <c r="P562" i="11"/>
  <c r="P563" i="11"/>
  <c r="P564" i="11"/>
  <c r="P565" i="11"/>
  <c r="P566" i="11"/>
  <c r="P567" i="11"/>
  <c r="P568" i="11"/>
  <c r="P569" i="11"/>
  <c r="P570" i="11"/>
  <c r="P571" i="11"/>
  <c r="P572" i="11"/>
  <c r="P573" i="11"/>
  <c r="P574" i="11"/>
  <c r="P575" i="11"/>
  <c r="P577" i="11"/>
  <c r="P578" i="11"/>
  <c r="P579" i="11"/>
  <c r="P580" i="11"/>
  <c r="P581" i="11"/>
  <c r="P582" i="11"/>
  <c r="P583" i="11"/>
  <c r="P584" i="11"/>
  <c r="P585" i="11"/>
  <c r="P586" i="11"/>
  <c r="P587" i="11"/>
  <c r="P588" i="11"/>
  <c r="P589" i="11"/>
  <c r="P590" i="11"/>
  <c r="P591" i="11"/>
  <c r="P592" i="11"/>
  <c r="P593" i="11"/>
  <c r="P594" i="11"/>
  <c r="P595" i="11"/>
  <c r="P596" i="11"/>
  <c r="P597" i="11"/>
  <c r="P598" i="11"/>
  <c r="P599" i="11"/>
  <c r="P600" i="11"/>
  <c r="P601" i="11"/>
  <c r="P602" i="11"/>
  <c r="P603" i="11"/>
  <c r="P604" i="11"/>
  <c r="P605" i="11"/>
  <c r="P606" i="11"/>
  <c r="P607" i="11"/>
  <c r="P608" i="11"/>
  <c r="P609" i="11"/>
  <c r="P610" i="11"/>
  <c r="P611" i="11"/>
  <c r="P612" i="11"/>
  <c r="P613" i="11"/>
  <c r="P614" i="11"/>
  <c r="P615" i="11"/>
  <c r="P616" i="11"/>
  <c r="P617" i="11"/>
  <c r="P618" i="11"/>
  <c r="P619" i="11"/>
  <c r="P620" i="11"/>
  <c r="P621" i="11"/>
  <c r="P622" i="11"/>
  <c r="P623" i="11"/>
  <c r="P624" i="11"/>
  <c r="P625" i="11"/>
  <c r="P626" i="11"/>
  <c r="P627" i="11"/>
  <c r="P628" i="11"/>
  <c r="P629" i="11"/>
  <c r="P630" i="11"/>
  <c r="P631" i="11"/>
  <c r="P633" i="11"/>
  <c r="P634" i="11"/>
  <c r="P635" i="11"/>
  <c r="P636" i="11"/>
  <c r="P637" i="11"/>
  <c r="P638" i="11"/>
  <c r="P639" i="11"/>
  <c r="P640" i="11"/>
  <c r="P641" i="11"/>
  <c r="P642" i="11"/>
  <c r="P643" i="11"/>
  <c r="P644" i="11"/>
  <c r="P645" i="11"/>
  <c r="P646" i="11"/>
  <c r="P647" i="11"/>
  <c r="P648" i="11"/>
  <c r="P649" i="11"/>
  <c r="P650" i="11"/>
  <c r="P651" i="11"/>
  <c r="P652" i="11"/>
  <c r="P653" i="11"/>
  <c r="P654" i="11"/>
  <c r="P655" i="11"/>
  <c r="P656" i="11"/>
  <c r="P657" i="11"/>
  <c r="P658" i="11"/>
  <c r="P659" i="11"/>
  <c r="P660" i="11"/>
  <c r="P661" i="11"/>
  <c r="P662" i="11"/>
  <c r="P663" i="11"/>
  <c r="P664" i="11"/>
  <c r="P665" i="11"/>
  <c r="P666" i="11"/>
  <c r="P667" i="11"/>
  <c r="P668" i="11"/>
  <c r="P669" i="11"/>
  <c r="P670" i="11"/>
  <c r="P671" i="11"/>
  <c r="P672" i="11"/>
  <c r="P673" i="11"/>
  <c r="P674" i="11"/>
  <c r="P675" i="11"/>
  <c r="P676" i="11"/>
  <c r="P677" i="11"/>
  <c r="P678" i="11"/>
  <c r="P679" i="11"/>
  <c r="P680" i="11"/>
  <c r="P681" i="11"/>
  <c r="P682" i="11"/>
  <c r="P683" i="11"/>
  <c r="P684" i="11"/>
  <c r="P685" i="11"/>
  <c r="P686" i="11"/>
  <c r="P687" i="11"/>
  <c r="P689" i="11"/>
  <c r="P690" i="11"/>
  <c r="P691" i="11"/>
  <c r="P692" i="11"/>
  <c r="P693" i="11"/>
  <c r="P694" i="11"/>
  <c r="P695" i="11"/>
  <c r="P696" i="11"/>
  <c r="P697" i="11"/>
  <c r="P698" i="11"/>
  <c r="P699" i="11"/>
  <c r="P700" i="11"/>
  <c r="P701" i="11"/>
  <c r="P702" i="11"/>
  <c r="P703" i="11"/>
  <c r="P704" i="11"/>
  <c r="P705" i="11"/>
  <c r="P706" i="11"/>
  <c r="P707" i="11"/>
  <c r="P708" i="11"/>
  <c r="P709" i="11"/>
  <c r="P710" i="11"/>
  <c r="P711" i="11"/>
  <c r="P712" i="11"/>
  <c r="P713" i="11"/>
  <c r="P714" i="11"/>
  <c r="P715" i="11"/>
  <c r="P716" i="11"/>
  <c r="P717" i="11"/>
  <c r="P718" i="11"/>
  <c r="P719" i="11"/>
  <c r="P720" i="11"/>
  <c r="P721" i="11"/>
  <c r="P722" i="11"/>
  <c r="P723" i="11"/>
  <c r="P724" i="11"/>
  <c r="P725" i="11"/>
  <c r="P726" i="11"/>
  <c r="P727" i="11"/>
  <c r="P728" i="11"/>
  <c r="P729" i="11"/>
  <c r="P730" i="11"/>
  <c r="P731" i="11"/>
  <c r="P732" i="11"/>
  <c r="P733" i="11"/>
  <c r="P734" i="11"/>
  <c r="P735" i="11"/>
  <c r="P736" i="11"/>
  <c r="P737" i="11"/>
  <c r="P738" i="11"/>
  <c r="P739" i="11"/>
  <c r="P740" i="11"/>
  <c r="P741" i="11"/>
  <c r="P742" i="11"/>
  <c r="P743" i="11"/>
  <c r="P745" i="11"/>
  <c r="P746" i="11"/>
  <c r="P747" i="11"/>
  <c r="P748" i="11"/>
  <c r="P749" i="11"/>
  <c r="P750" i="11"/>
  <c r="P751" i="11"/>
  <c r="P752" i="11"/>
  <c r="P753" i="11"/>
  <c r="P754" i="11"/>
  <c r="P755" i="11"/>
  <c r="P756" i="11"/>
  <c r="P757" i="11"/>
  <c r="P758" i="11"/>
  <c r="P759" i="11"/>
  <c r="P760" i="11"/>
  <c r="P761" i="11"/>
  <c r="P762" i="11"/>
  <c r="P763" i="11"/>
  <c r="P764" i="11"/>
  <c r="P765" i="11"/>
  <c r="P766" i="11"/>
  <c r="P767" i="11"/>
  <c r="P768" i="11"/>
  <c r="P769" i="11"/>
  <c r="P770" i="11"/>
  <c r="P771" i="11"/>
  <c r="P772" i="11"/>
  <c r="P773" i="11"/>
  <c r="P774" i="11"/>
  <c r="P775" i="11"/>
  <c r="P776" i="11"/>
  <c r="P777" i="11"/>
  <c r="P778" i="11"/>
  <c r="P779" i="11"/>
  <c r="P780" i="11"/>
  <c r="P781" i="11"/>
  <c r="P782" i="11"/>
  <c r="P783" i="11"/>
  <c r="P784" i="11"/>
  <c r="P785" i="11"/>
  <c r="P786" i="11"/>
  <c r="P787" i="11"/>
  <c r="P788" i="11"/>
  <c r="P789" i="11"/>
  <c r="P790" i="11"/>
  <c r="P791" i="11"/>
  <c r="P792" i="11"/>
  <c r="P793" i="11"/>
  <c r="P794" i="11"/>
  <c r="P795" i="11"/>
  <c r="P796" i="11"/>
  <c r="P797" i="11"/>
  <c r="P798" i="11"/>
  <c r="P799" i="11"/>
  <c r="P801" i="11"/>
  <c r="P802" i="11"/>
  <c r="P803" i="11"/>
  <c r="P804" i="11"/>
  <c r="P805" i="11"/>
  <c r="P806" i="11"/>
  <c r="P807" i="11"/>
  <c r="P808" i="11"/>
  <c r="P809" i="11"/>
  <c r="P810" i="11"/>
  <c r="P811" i="11"/>
  <c r="P812" i="11"/>
  <c r="P813" i="11"/>
  <c r="P814" i="11"/>
  <c r="P815" i="11"/>
  <c r="P816" i="11"/>
  <c r="P817" i="11"/>
  <c r="P818" i="11"/>
  <c r="P819" i="11"/>
  <c r="P820" i="11"/>
  <c r="P821" i="11"/>
  <c r="P822" i="11"/>
  <c r="P823" i="11"/>
  <c r="P824" i="11"/>
  <c r="P825" i="11"/>
  <c r="P826" i="11"/>
  <c r="P827" i="11"/>
  <c r="P828" i="11"/>
  <c r="P829" i="11"/>
  <c r="P830" i="11"/>
  <c r="P831" i="11"/>
  <c r="P832" i="11"/>
  <c r="P833" i="11"/>
  <c r="P834" i="11"/>
  <c r="P835" i="11"/>
  <c r="P836" i="11"/>
  <c r="P837" i="11"/>
  <c r="P838" i="11"/>
  <c r="P839" i="11"/>
  <c r="P840" i="11"/>
  <c r="P841" i="11"/>
  <c r="P842" i="11"/>
  <c r="P843" i="11"/>
  <c r="P844" i="11"/>
  <c r="P845" i="11"/>
  <c r="P846" i="11"/>
  <c r="P847" i="11"/>
  <c r="P848" i="11"/>
  <c r="P849" i="11"/>
  <c r="P850" i="11"/>
  <c r="P851" i="11"/>
  <c r="P852" i="11"/>
  <c r="P853" i="11"/>
  <c r="P854" i="11"/>
  <c r="P855" i="11"/>
  <c r="P857" i="11"/>
  <c r="P858" i="11"/>
  <c r="P859" i="11"/>
  <c r="P860" i="11"/>
  <c r="P861" i="11"/>
  <c r="P862" i="11"/>
  <c r="P863" i="11"/>
  <c r="P864" i="11"/>
  <c r="P865" i="11"/>
  <c r="P866" i="11"/>
  <c r="P867" i="11"/>
  <c r="P868" i="11"/>
  <c r="P869" i="11"/>
  <c r="P870" i="11"/>
  <c r="P871" i="11"/>
  <c r="P872" i="11"/>
  <c r="P873" i="11"/>
  <c r="P874" i="11"/>
  <c r="P875" i="11"/>
  <c r="P876" i="11"/>
  <c r="P877" i="11"/>
  <c r="P878" i="11"/>
  <c r="P879" i="11"/>
  <c r="P880" i="11"/>
  <c r="P881" i="11"/>
  <c r="P882" i="11"/>
  <c r="P883" i="11"/>
  <c r="P884" i="11"/>
  <c r="P885" i="11"/>
  <c r="P886" i="11"/>
  <c r="P887" i="11"/>
  <c r="P888" i="11"/>
  <c r="P889" i="11"/>
  <c r="P890" i="11"/>
  <c r="P891" i="11"/>
  <c r="P892" i="11"/>
  <c r="P893" i="11"/>
  <c r="P894" i="11"/>
  <c r="P895" i="11"/>
  <c r="P896" i="11"/>
  <c r="P897" i="11"/>
  <c r="P898" i="11"/>
  <c r="P899" i="11"/>
  <c r="P900" i="11"/>
  <c r="P901" i="11"/>
  <c r="P902" i="11"/>
  <c r="P903" i="11"/>
  <c r="P904" i="11"/>
  <c r="P905" i="11"/>
  <c r="P906" i="11"/>
  <c r="P907" i="11"/>
  <c r="P908" i="11"/>
  <c r="P909" i="11"/>
  <c r="P910" i="11"/>
  <c r="P911" i="11"/>
  <c r="P913" i="11"/>
  <c r="P914" i="11"/>
  <c r="P915" i="11"/>
  <c r="P916" i="11"/>
  <c r="P917" i="11"/>
  <c r="P918" i="11"/>
  <c r="P919" i="11"/>
  <c r="P920" i="11"/>
  <c r="P921" i="11"/>
  <c r="P922" i="11"/>
  <c r="P923" i="11"/>
  <c r="P924" i="11"/>
  <c r="P925" i="11"/>
  <c r="P926" i="11"/>
  <c r="P927" i="11"/>
  <c r="P928" i="11"/>
  <c r="P929" i="11"/>
  <c r="P930" i="11"/>
  <c r="P931" i="11"/>
  <c r="P932" i="11"/>
  <c r="P933" i="11"/>
  <c r="P934" i="11"/>
  <c r="P935" i="11"/>
  <c r="P936" i="11"/>
  <c r="P937" i="11"/>
  <c r="P938" i="11"/>
  <c r="P939" i="11"/>
  <c r="P940" i="11"/>
  <c r="P941" i="11"/>
  <c r="P942" i="11"/>
  <c r="P943" i="11"/>
  <c r="P944" i="11"/>
  <c r="P945" i="11"/>
  <c r="P946" i="11"/>
  <c r="P947" i="11"/>
  <c r="P948" i="11"/>
  <c r="P949" i="11"/>
  <c r="P950" i="11"/>
  <c r="P951" i="11"/>
  <c r="P952" i="11"/>
  <c r="P953" i="11"/>
  <c r="P954" i="11"/>
  <c r="P955" i="11"/>
  <c r="P956" i="11"/>
  <c r="P957" i="11"/>
  <c r="P958" i="11"/>
  <c r="P959" i="11"/>
  <c r="P960" i="11"/>
  <c r="P961" i="11"/>
  <c r="P962" i="11"/>
  <c r="P963" i="11"/>
  <c r="P964" i="11"/>
  <c r="P965" i="11"/>
  <c r="P966" i="11"/>
  <c r="P967" i="11"/>
  <c r="P969" i="11"/>
  <c r="P970" i="11"/>
  <c r="P971" i="11"/>
  <c r="P972" i="11"/>
  <c r="P973" i="11"/>
  <c r="P974" i="11"/>
  <c r="P975" i="11"/>
  <c r="P976" i="11"/>
  <c r="P977" i="11"/>
  <c r="P978" i="11"/>
  <c r="P979" i="11"/>
  <c r="P980" i="11"/>
  <c r="P981" i="11"/>
  <c r="P982" i="11"/>
  <c r="P983" i="11"/>
  <c r="P984" i="11"/>
  <c r="P985" i="11"/>
  <c r="P986" i="11"/>
  <c r="P987" i="11"/>
  <c r="P988" i="11"/>
  <c r="P989" i="11"/>
  <c r="P990" i="11"/>
  <c r="P991" i="11"/>
  <c r="P992" i="11"/>
  <c r="P993" i="11"/>
  <c r="P994" i="11"/>
  <c r="P995" i="11"/>
  <c r="P996" i="11"/>
  <c r="P997" i="11"/>
  <c r="P998" i="11"/>
  <c r="P999" i="11"/>
  <c r="P1000" i="11"/>
  <c r="P1001" i="11"/>
  <c r="P1002" i="11"/>
  <c r="P1003" i="11"/>
  <c r="P1004" i="11"/>
  <c r="P1005" i="11"/>
  <c r="P1006" i="11"/>
  <c r="P1007" i="11"/>
  <c r="P1008" i="11"/>
  <c r="P1009" i="11"/>
  <c r="P1010" i="11"/>
  <c r="P1011" i="11"/>
  <c r="P1012" i="11"/>
  <c r="P1013" i="11"/>
  <c r="P1014" i="11"/>
  <c r="P1015" i="11"/>
  <c r="P1016" i="11"/>
  <c r="P1017" i="11"/>
  <c r="P1018" i="11"/>
  <c r="P1019" i="11"/>
  <c r="P1020" i="11"/>
  <c r="P1021" i="11"/>
  <c r="P1022" i="11"/>
  <c r="P1023" i="11"/>
  <c r="P1025" i="11"/>
  <c r="P1026" i="11"/>
  <c r="P1027" i="11"/>
  <c r="P1028" i="11"/>
  <c r="P1029" i="11"/>
  <c r="P1030" i="11"/>
  <c r="P1031" i="11"/>
  <c r="P1032" i="11"/>
  <c r="P1033" i="11"/>
  <c r="P1034" i="11"/>
  <c r="P1035" i="11"/>
  <c r="P1036" i="11"/>
  <c r="P1037" i="11"/>
  <c r="P1038" i="11"/>
  <c r="P1039" i="11"/>
  <c r="P1040" i="11"/>
  <c r="P1041" i="11"/>
  <c r="P1042" i="11"/>
  <c r="P1043" i="11"/>
  <c r="P1044" i="11"/>
  <c r="P1045" i="11"/>
  <c r="P1046" i="11"/>
  <c r="P1047" i="11"/>
  <c r="P1048" i="11"/>
  <c r="P1049" i="11"/>
  <c r="P1050" i="11"/>
  <c r="P1051" i="11"/>
  <c r="P1052" i="11"/>
  <c r="P1053" i="11"/>
  <c r="P1054" i="11"/>
  <c r="P1055" i="11"/>
  <c r="P1056" i="11"/>
  <c r="P1057" i="11"/>
  <c r="P1058" i="11"/>
  <c r="P1059" i="11"/>
  <c r="P1060" i="11"/>
  <c r="P1061" i="11"/>
  <c r="P1062" i="11"/>
  <c r="P1063" i="11"/>
  <c r="P1064" i="11"/>
  <c r="P1065" i="11"/>
  <c r="P1066" i="11"/>
  <c r="P1067" i="11"/>
  <c r="P1068" i="11"/>
  <c r="P1069" i="11"/>
  <c r="P1070" i="11"/>
  <c r="P1071" i="11"/>
  <c r="P1072" i="11"/>
  <c r="P1073" i="11"/>
  <c r="P1074" i="11"/>
  <c r="P1075" i="11"/>
  <c r="P1076" i="11"/>
  <c r="P1077" i="11"/>
  <c r="P1078" i="11"/>
  <c r="P1079" i="11"/>
  <c r="B2" i="10"/>
  <c r="H7" i="10"/>
  <c r="G7" i="10"/>
  <c r="F7" i="10" l="1"/>
  <c r="F9" i="10" s="1"/>
  <c r="H9" i="10"/>
  <c r="F7" i="11"/>
  <c r="F7" i="14"/>
  <c r="G205" i="14"/>
  <c r="G9" i="14"/>
  <c r="G9" i="10"/>
  <c r="E7" i="10"/>
  <c r="Q302" i="10"/>
  <c r="Q303" i="10"/>
  <c r="Q304" i="10"/>
  <c r="Q305" i="10"/>
  <c r="Q306" i="10"/>
  <c r="Q307" i="10"/>
  <c r="Q308" i="10"/>
  <c r="Q309" i="10"/>
  <c r="Q310" i="10"/>
  <c r="Q311" i="10"/>
  <c r="Q312" i="10"/>
  <c r="Q313" i="10"/>
  <c r="Q314" i="10"/>
  <c r="Q315" i="10"/>
  <c r="Q316" i="10"/>
  <c r="Q317" i="10"/>
  <c r="Q318" i="10"/>
  <c r="Q319" i="10"/>
  <c r="Q320" i="10"/>
  <c r="Q321" i="10"/>
  <c r="Q322" i="10"/>
  <c r="Q323" i="10"/>
  <c r="Q324" i="10"/>
  <c r="Q325" i="10"/>
  <c r="Q326" i="10"/>
  <c r="Q327" i="10"/>
  <c r="Q328" i="10"/>
  <c r="Q329" i="10"/>
  <c r="Q330" i="10"/>
  <c r="Q331" i="10"/>
  <c r="Q332" i="10"/>
  <c r="Q333" i="10"/>
  <c r="Q334" i="10"/>
  <c r="Q335" i="10"/>
  <c r="Q336" i="10"/>
  <c r="Q337" i="10"/>
  <c r="Q338" i="10"/>
  <c r="Q339" i="10"/>
  <c r="Q340" i="10"/>
  <c r="Q341" i="10"/>
  <c r="Q342" i="10"/>
  <c r="Q343" i="10"/>
  <c r="Q344" i="10"/>
  <c r="Q345" i="10"/>
  <c r="Q346" i="10"/>
  <c r="Q347" i="10"/>
  <c r="Q348" i="10"/>
  <c r="Q349" i="10"/>
  <c r="Q350" i="10"/>
  <c r="Q351" i="10"/>
  <c r="Q352" i="10"/>
  <c r="Q353" i="10"/>
  <c r="Q354" i="10"/>
  <c r="Q355" i="10"/>
  <c r="Q356"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412" i="10"/>
  <c r="Q414" i="10"/>
  <c r="Q415" i="10"/>
  <c r="Q416" i="10"/>
  <c r="Q417" i="10"/>
  <c r="Q418" i="10"/>
  <c r="Q419" i="10"/>
  <c r="Q420" i="10"/>
  <c r="Q421" i="10"/>
  <c r="Q422" i="10"/>
  <c r="Q423" i="10"/>
  <c r="Q424" i="10"/>
  <c r="Q425" i="10"/>
  <c r="Q426" i="10"/>
  <c r="Q427" i="10"/>
  <c r="Q428" i="10"/>
  <c r="Q429" i="10"/>
  <c r="Q430" i="10"/>
  <c r="Q431" i="10"/>
  <c r="Q432" i="10"/>
  <c r="Q433" i="10"/>
  <c r="Q434" i="10"/>
  <c r="Q435" i="10"/>
  <c r="Q436" i="10"/>
  <c r="Q437" i="10"/>
  <c r="Q438" i="10"/>
  <c r="Q439" i="10"/>
  <c r="Q440" i="10"/>
  <c r="Q441" i="10"/>
  <c r="Q442" i="10"/>
  <c r="Q443" i="10"/>
  <c r="Q444" i="10"/>
  <c r="Q445" i="10"/>
  <c r="Q446" i="10"/>
  <c r="Q447" i="10"/>
  <c r="Q448" i="10"/>
  <c r="Q449" i="10"/>
  <c r="Q450" i="10"/>
  <c r="Q451" i="10"/>
  <c r="Q452" i="10"/>
  <c r="Q453" i="10"/>
  <c r="Q454" i="10"/>
  <c r="Q455" i="10"/>
  <c r="Q456" i="10"/>
  <c r="Q457" i="10"/>
  <c r="Q458" i="10"/>
  <c r="Q459" i="10"/>
  <c r="Q460" i="10"/>
  <c r="Q461" i="10"/>
  <c r="Q462" i="10"/>
  <c r="Q463" i="10"/>
  <c r="Q464" i="10"/>
  <c r="Q465" i="10"/>
  <c r="Q466" i="10"/>
  <c r="Q467" i="10"/>
  <c r="Q468" i="10"/>
  <c r="Q470" i="10"/>
  <c r="Q471" i="10"/>
  <c r="Q472" i="10"/>
  <c r="Q473" i="10"/>
  <c r="Q474" i="10"/>
  <c r="Q475" i="10"/>
  <c r="Q476" i="10"/>
  <c r="Q477" i="10"/>
  <c r="Q478" i="10"/>
  <c r="Q479" i="10"/>
  <c r="Q480" i="10"/>
  <c r="Q481" i="10"/>
  <c r="Q482" i="10"/>
  <c r="Q483" i="10"/>
  <c r="Q484" i="10"/>
  <c r="Q485" i="10"/>
  <c r="Q486" i="10"/>
  <c r="Q487" i="10"/>
  <c r="Q488" i="10"/>
  <c r="Q489" i="10"/>
  <c r="Q490" i="10"/>
  <c r="Q491" i="10"/>
  <c r="Q492" i="10"/>
  <c r="Q493" i="10"/>
  <c r="Q494" i="10"/>
  <c r="Q495" i="10"/>
  <c r="Q496" i="10"/>
  <c r="Q497" i="10"/>
  <c r="Q498" i="10"/>
  <c r="Q499" i="10"/>
  <c r="Q500" i="10"/>
  <c r="Q501" i="10"/>
  <c r="Q502" i="10"/>
  <c r="Q503" i="10"/>
  <c r="Q504" i="10"/>
  <c r="Q505" i="10"/>
  <c r="Q506" i="10"/>
  <c r="Q507" i="10"/>
  <c r="Q508" i="10"/>
  <c r="Q509" i="10"/>
  <c r="Q510" i="10"/>
  <c r="Q511" i="10"/>
  <c r="Q512" i="10"/>
  <c r="Q513" i="10"/>
  <c r="Q514" i="10"/>
  <c r="Q515" i="10"/>
  <c r="Q516" i="10"/>
  <c r="Q517" i="10"/>
  <c r="Q518" i="10"/>
  <c r="Q519" i="10"/>
  <c r="Q520" i="10"/>
  <c r="Q521" i="10"/>
  <c r="Q522" i="10"/>
  <c r="Q523" i="10"/>
  <c r="Q524" i="10"/>
  <c r="Q526" i="10"/>
  <c r="Q527" i="10"/>
  <c r="Q528" i="10"/>
  <c r="Q529" i="10"/>
  <c r="Q530" i="10"/>
  <c r="Q531" i="10"/>
  <c r="Q532" i="10"/>
  <c r="Q533" i="10"/>
  <c r="Q534" i="10"/>
  <c r="Q535" i="10"/>
  <c r="Q536" i="10"/>
  <c r="Q537" i="10"/>
  <c r="Q538" i="10"/>
  <c r="Q539" i="10"/>
  <c r="Q540" i="10"/>
  <c r="Q541" i="10"/>
  <c r="Q542" i="10"/>
  <c r="Q543" i="10"/>
  <c r="Q544" i="10"/>
  <c r="Q545" i="10"/>
  <c r="Q546" i="10"/>
  <c r="Q547" i="10"/>
  <c r="Q548" i="10"/>
  <c r="Q549" i="10"/>
  <c r="Q550" i="10"/>
  <c r="Q551" i="10"/>
  <c r="Q552" i="10"/>
  <c r="Q553" i="10"/>
  <c r="Q554" i="10"/>
  <c r="Q555" i="10"/>
  <c r="Q556" i="10"/>
  <c r="Q557" i="10"/>
  <c r="Q558" i="10"/>
  <c r="Q559" i="10"/>
  <c r="Q560" i="10"/>
  <c r="Q561" i="10"/>
  <c r="Q562" i="10"/>
  <c r="Q563" i="10"/>
  <c r="Q564" i="10"/>
  <c r="Q565" i="10"/>
  <c r="Q566" i="10"/>
  <c r="Q567" i="10"/>
  <c r="Q568" i="10"/>
  <c r="Q569" i="10"/>
  <c r="Q570" i="10"/>
  <c r="Q571" i="10"/>
  <c r="Q572" i="10"/>
  <c r="Q573" i="10"/>
  <c r="Q574" i="10"/>
  <c r="Q575" i="10"/>
  <c r="Q576" i="10"/>
  <c r="Q577" i="10"/>
  <c r="Q578" i="10"/>
  <c r="Q579" i="10"/>
  <c r="Q580" i="10"/>
  <c r="Q582" i="10"/>
  <c r="Q583" i="10"/>
  <c r="Q584" i="10"/>
  <c r="Q585" i="10"/>
  <c r="Q586" i="10"/>
  <c r="Q587" i="10"/>
  <c r="Q588" i="10"/>
  <c r="Q589" i="10"/>
  <c r="Q590" i="10"/>
  <c r="Q591" i="10"/>
  <c r="Q592" i="10"/>
  <c r="Q593" i="10"/>
  <c r="Q594" i="10"/>
  <c r="Q595" i="10"/>
  <c r="Q596" i="10"/>
  <c r="Q597" i="10"/>
  <c r="Q598" i="10"/>
  <c r="Q599" i="10"/>
  <c r="Q600" i="10"/>
  <c r="Q601" i="10"/>
  <c r="Q602" i="10"/>
  <c r="Q603" i="10"/>
  <c r="Q604" i="10"/>
  <c r="Q605" i="10"/>
  <c r="Q606" i="10"/>
  <c r="Q607" i="10"/>
  <c r="Q608" i="10"/>
  <c r="Q609" i="10"/>
  <c r="Q610" i="10"/>
  <c r="Q611" i="10"/>
  <c r="Q612" i="10"/>
  <c r="Q613" i="10"/>
  <c r="Q614" i="10"/>
  <c r="Q615" i="10"/>
  <c r="Q616" i="10"/>
  <c r="Q617" i="10"/>
  <c r="Q618" i="10"/>
  <c r="Q619" i="10"/>
  <c r="Q620" i="10"/>
  <c r="Q621" i="10"/>
  <c r="Q622" i="10"/>
  <c r="Q623" i="10"/>
  <c r="Q624" i="10"/>
  <c r="Q625" i="10"/>
  <c r="Q626" i="10"/>
  <c r="Q627" i="10"/>
  <c r="Q628" i="10"/>
  <c r="Q629" i="10"/>
  <c r="Q630" i="10"/>
  <c r="Q631" i="10"/>
  <c r="Q632" i="10"/>
  <c r="Q633" i="10"/>
  <c r="Q634" i="10"/>
  <c r="Q635" i="10"/>
  <c r="Q636" i="10"/>
  <c r="Q638" i="10"/>
  <c r="Q639" i="10"/>
  <c r="Q640" i="10"/>
  <c r="Q641" i="10"/>
  <c r="Q642" i="10"/>
  <c r="Q643" i="10"/>
  <c r="Q644" i="10"/>
  <c r="Q645" i="10"/>
  <c r="Q646" i="10"/>
  <c r="Q647" i="10"/>
  <c r="Q648" i="10"/>
  <c r="Q649" i="10"/>
  <c r="Q650" i="10"/>
  <c r="Q651" i="10"/>
  <c r="Q652" i="10"/>
  <c r="Q653" i="10"/>
  <c r="Q654" i="10"/>
  <c r="Q655" i="10"/>
  <c r="Q656" i="10"/>
  <c r="Q657" i="10"/>
  <c r="Q658" i="10"/>
  <c r="Q659" i="10"/>
  <c r="Q660" i="10"/>
  <c r="Q661" i="10"/>
  <c r="Q662" i="10"/>
  <c r="Q663" i="10"/>
  <c r="Q664" i="10"/>
  <c r="Q665" i="10"/>
  <c r="Q666" i="10"/>
  <c r="Q667" i="10"/>
  <c r="Q668" i="10"/>
  <c r="Q669" i="10"/>
  <c r="Q670" i="10"/>
  <c r="Q671" i="10"/>
  <c r="Q672" i="10"/>
  <c r="Q673" i="10"/>
  <c r="Q674" i="10"/>
  <c r="Q675" i="10"/>
  <c r="Q676" i="10"/>
  <c r="Q677" i="10"/>
  <c r="Q678" i="10"/>
  <c r="Q679" i="10"/>
  <c r="Q680" i="10"/>
  <c r="Q681" i="10"/>
  <c r="Q682" i="10"/>
  <c r="Q683" i="10"/>
  <c r="Q684" i="10"/>
  <c r="Q685" i="10"/>
  <c r="Q686" i="10"/>
  <c r="Q687" i="10"/>
  <c r="Q688" i="10"/>
  <c r="Q689" i="10"/>
  <c r="Q690" i="10"/>
  <c r="Q691" i="10"/>
  <c r="Q692" i="10"/>
  <c r="Q694" i="10"/>
  <c r="Q695" i="10"/>
  <c r="Q696" i="10"/>
  <c r="Q697" i="10"/>
  <c r="Q698" i="10"/>
  <c r="Q699" i="10"/>
  <c r="Q700" i="10"/>
  <c r="Q701" i="10"/>
  <c r="Q702" i="10"/>
  <c r="Q703" i="10"/>
  <c r="Q704" i="10"/>
  <c r="Q705" i="10"/>
  <c r="Q706" i="10"/>
  <c r="Q707" i="10"/>
  <c r="Q708" i="10"/>
  <c r="Q709" i="10"/>
  <c r="Q710" i="10"/>
  <c r="Q711" i="10"/>
  <c r="Q712" i="10"/>
  <c r="Q713" i="10"/>
  <c r="Q714" i="10"/>
  <c r="Q715" i="10"/>
  <c r="Q716" i="10"/>
  <c r="Q717" i="10"/>
  <c r="Q718" i="10"/>
  <c r="Q719" i="10"/>
  <c r="Q720" i="10"/>
  <c r="Q721" i="10"/>
  <c r="Q722" i="10"/>
  <c r="Q723" i="10"/>
  <c r="Q724" i="10"/>
  <c r="Q725" i="10"/>
  <c r="Q726" i="10"/>
  <c r="Q727" i="10"/>
  <c r="Q728" i="10"/>
  <c r="Q729" i="10"/>
  <c r="Q730" i="10"/>
  <c r="Q731" i="10"/>
  <c r="Q732" i="10"/>
  <c r="Q733" i="10"/>
  <c r="Q734" i="10"/>
  <c r="Q735" i="10"/>
  <c r="Q736" i="10"/>
  <c r="Q737" i="10"/>
  <c r="Q738" i="10"/>
  <c r="Q739" i="10"/>
  <c r="Q740" i="10"/>
  <c r="Q741" i="10"/>
  <c r="Q742" i="10"/>
  <c r="Q743" i="10"/>
  <c r="Q744" i="10"/>
  <c r="Q745" i="10"/>
  <c r="Q746" i="10"/>
  <c r="Q747" i="10"/>
  <c r="Q748" i="10"/>
  <c r="Q750" i="10"/>
  <c r="Q751" i="10"/>
  <c r="Q752" i="10"/>
  <c r="Q753" i="10"/>
  <c r="Q754" i="10"/>
  <c r="Q755" i="10"/>
  <c r="Q756" i="10"/>
  <c r="Q757" i="10"/>
  <c r="Q758" i="10"/>
  <c r="Q759" i="10"/>
  <c r="Q760" i="10"/>
  <c r="Q761" i="10"/>
  <c r="Q762" i="10"/>
  <c r="Q763" i="10"/>
  <c r="Q764" i="10"/>
  <c r="Q765" i="10"/>
  <c r="Q766" i="10"/>
  <c r="Q767" i="10"/>
  <c r="Q768" i="10"/>
  <c r="Q769" i="10"/>
  <c r="Q770" i="10"/>
  <c r="Q771" i="10"/>
  <c r="Q772" i="10"/>
  <c r="Q773" i="10"/>
  <c r="Q774" i="10"/>
  <c r="Q775" i="10"/>
  <c r="Q776" i="10"/>
  <c r="Q777" i="10"/>
  <c r="Q778" i="10"/>
  <c r="Q779" i="10"/>
  <c r="Q780" i="10"/>
  <c r="Q781" i="10"/>
  <c r="Q782" i="10"/>
  <c r="Q783" i="10"/>
  <c r="Q784" i="10"/>
  <c r="Q785" i="10"/>
  <c r="Q786" i="10"/>
  <c r="Q787" i="10"/>
  <c r="Q788" i="10"/>
  <c r="Q789" i="10"/>
  <c r="Q790" i="10"/>
  <c r="Q791" i="10"/>
  <c r="Q792" i="10"/>
  <c r="Q793" i="10"/>
  <c r="Q794" i="10"/>
  <c r="Q795" i="10"/>
  <c r="Q796" i="10"/>
  <c r="Q797" i="10"/>
  <c r="Q798" i="10"/>
  <c r="Q799" i="10"/>
  <c r="Q800" i="10"/>
  <c r="Q801" i="10"/>
  <c r="Q802" i="10"/>
  <c r="Q803" i="10"/>
  <c r="Q804" i="10"/>
  <c r="Q806" i="10"/>
  <c r="Q807" i="10"/>
  <c r="Q808" i="10"/>
  <c r="Q809" i="10"/>
  <c r="Q810" i="10"/>
  <c r="Q811" i="10"/>
  <c r="Q812" i="10"/>
  <c r="Q813" i="10"/>
  <c r="Q814" i="10"/>
  <c r="Q815" i="10"/>
  <c r="Q816" i="10"/>
  <c r="Q817" i="10"/>
  <c r="Q818" i="10"/>
  <c r="Q819" i="10"/>
  <c r="Q820" i="10"/>
  <c r="Q821" i="10"/>
  <c r="Q822" i="10"/>
  <c r="Q823" i="10"/>
  <c r="Q824" i="10"/>
  <c r="Q825" i="10"/>
  <c r="Q826" i="10"/>
  <c r="Q827" i="10"/>
  <c r="Q828" i="10"/>
  <c r="Q829" i="10"/>
  <c r="Q830" i="10"/>
  <c r="Q831" i="10"/>
  <c r="Q832" i="10"/>
  <c r="Q833" i="10"/>
  <c r="Q834" i="10"/>
  <c r="Q835" i="10"/>
  <c r="Q836" i="10"/>
  <c r="Q837" i="10"/>
  <c r="Q838" i="10"/>
  <c r="Q839" i="10"/>
  <c r="Q840" i="10"/>
  <c r="Q841" i="10"/>
  <c r="Q842" i="10"/>
  <c r="Q843" i="10"/>
  <c r="Q844" i="10"/>
  <c r="Q845" i="10"/>
  <c r="Q846" i="10"/>
  <c r="Q847" i="10"/>
  <c r="Q848" i="10"/>
  <c r="Q849" i="10"/>
  <c r="Q850" i="10"/>
  <c r="Q851" i="10"/>
  <c r="Q852" i="10"/>
  <c r="Q853" i="10"/>
  <c r="Q854" i="10"/>
  <c r="Q855" i="10"/>
  <c r="Q856" i="10"/>
  <c r="Q857" i="10"/>
  <c r="Q858" i="10"/>
  <c r="Q859" i="10"/>
  <c r="Q860" i="10"/>
  <c r="Q862" i="10"/>
  <c r="Q863" i="10"/>
  <c r="Q864" i="10"/>
  <c r="Q865" i="10"/>
  <c r="Q866" i="10"/>
  <c r="Q867" i="10"/>
  <c r="Q868" i="10"/>
  <c r="Q869" i="10"/>
  <c r="Q870" i="10"/>
  <c r="Q871" i="10"/>
  <c r="Q872" i="10"/>
  <c r="Q873" i="10"/>
  <c r="Q874" i="10"/>
  <c r="Q875" i="10"/>
  <c r="Q876" i="10"/>
  <c r="Q877" i="10"/>
  <c r="Q878" i="10"/>
  <c r="Q879" i="10"/>
  <c r="Q880" i="10"/>
  <c r="Q881" i="10"/>
  <c r="Q882" i="10"/>
  <c r="Q883" i="10"/>
  <c r="Q884" i="10"/>
  <c r="Q885" i="10"/>
  <c r="Q886" i="10"/>
  <c r="Q887" i="10"/>
  <c r="Q888" i="10"/>
  <c r="Q889" i="10"/>
  <c r="Q890" i="10"/>
  <c r="Q891" i="10"/>
  <c r="Q892" i="10"/>
  <c r="Q893" i="10"/>
  <c r="Q894" i="10"/>
  <c r="Q895" i="10"/>
  <c r="Q896" i="10"/>
  <c r="Q897" i="10"/>
  <c r="Q898" i="10"/>
  <c r="Q899" i="10"/>
  <c r="Q900" i="10"/>
  <c r="Q901" i="10"/>
  <c r="Q902" i="10"/>
  <c r="Q903" i="10"/>
  <c r="Q904" i="10"/>
  <c r="Q905" i="10"/>
  <c r="Q906" i="10"/>
  <c r="Q907" i="10"/>
  <c r="Q908" i="10"/>
  <c r="Q909" i="10"/>
  <c r="Q910" i="10"/>
  <c r="Q911" i="10"/>
  <c r="Q912" i="10"/>
  <c r="Q913" i="10"/>
  <c r="Q914" i="10"/>
  <c r="Q915" i="10"/>
  <c r="Q916" i="10"/>
  <c r="Q918" i="10"/>
  <c r="Q919" i="10"/>
  <c r="Q920" i="10"/>
  <c r="Q921" i="10"/>
  <c r="Q922" i="10"/>
  <c r="Q923" i="10"/>
  <c r="Q924" i="10"/>
  <c r="Q925" i="10"/>
  <c r="Q926" i="10"/>
  <c r="Q927" i="10"/>
  <c r="Q928" i="10"/>
  <c r="Q929" i="10"/>
  <c r="Q930" i="10"/>
  <c r="Q931" i="10"/>
  <c r="Q932" i="10"/>
  <c r="Q933" i="10"/>
  <c r="Q934" i="10"/>
  <c r="Q935" i="10"/>
  <c r="Q936" i="10"/>
  <c r="Q937" i="10"/>
  <c r="Q938" i="10"/>
  <c r="Q939" i="10"/>
  <c r="Q940" i="10"/>
  <c r="Q941" i="10"/>
  <c r="Q942" i="10"/>
  <c r="Q943" i="10"/>
  <c r="Q944" i="10"/>
  <c r="Q945" i="10"/>
  <c r="Q946" i="10"/>
  <c r="Q947" i="10"/>
  <c r="Q948" i="10"/>
  <c r="Q949" i="10"/>
  <c r="Q950" i="10"/>
  <c r="Q951" i="10"/>
  <c r="Q952" i="10"/>
  <c r="Q953" i="10"/>
  <c r="Q954" i="10"/>
  <c r="Q955" i="10"/>
  <c r="Q956" i="10"/>
  <c r="Q957" i="10"/>
  <c r="Q958" i="10"/>
  <c r="Q959" i="10"/>
  <c r="Q960" i="10"/>
  <c r="Q961" i="10"/>
  <c r="Q962" i="10"/>
  <c r="Q963" i="10"/>
  <c r="Q964" i="10"/>
  <c r="Q965" i="10"/>
  <c r="Q966" i="10"/>
  <c r="Q967" i="10"/>
  <c r="Q968" i="10"/>
  <c r="Q969" i="10"/>
  <c r="Q970" i="10"/>
  <c r="Q971" i="10"/>
  <c r="Q972" i="10"/>
  <c r="Q974" i="10"/>
  <c r="Q975" i="10"/>
  <c r="Q976" i="10"/>
  <c r="Q977" i="10"/>
  <c r="Q978" i="10"/>
  <c r="Q979" i="10"/>
  <c r="Q980" i="10"/>
  <c r="Q981" i="10"/>
  <c r="Q982" i="10"/>
  <c r="Q983" i="10"/>
  <c r="Q984" i="10"/>
  <c r="Q985" i="10"/>
  <c r="Q986" i="10"/>
  <c r="Q987" i="10"/>
  <c r="Q988" i="10"/>
  <c r="Q989" i="10"/>
  <c r="Q990" i="10"/>
  <c r="Q991" i="10"/>
  <c r="Q992" i="10"/>
  <c r="Q993" i="10"/>
  <c r="Q994" i="10"/>
  <c r="Q995" i="10"/>
  <c r="Q996" i="10"/>
  <c r="Q997" i="10"/>
  <c r="Q998" i="10"/>
  <c r="Q999" i="10"/>
  <c r="Q1000" i="10"/>
  <c r="Q1001" i="10"/>
  <c r="Q1002" i="10"/>
  <c r="Q1003" i="10"/>
  <c r="Q1004" i="10"/>
  <c r="Q1005" i="10"/>
  <c r="Q1006" i="10"/>
  <c r="Q1007" i="10"/>
  <c r="Q1008" i="10"/>
  <c r="Q1009" i="10"/>
  <c r="Q1010" i="10"/>
  <c r="Q1011" i="10"/>
  <c r="Q1012" i="10"/>
  <c r="Q1013" i="10"/>
  <c r="Q1014" i="10"/>
  <c r="Q1015" i="10"/>
  <c r="Q1016" i="10"/>
  <c r="Q1017" i="10"/>
  <c r="Q1018" i="10"/>
  <c r="Q1019" i="10"/>
  <c r="Q1020" i="10"/>
  <c r="Q1021" i="10"/>
  <c r="Q1022" i="10"/>
  <c r="Q1023" i="10"/>
  <c r="Q1024" i="10"/>
  <c r="Q1025" i="10"/>
  <c r="Q1026" i="10"/>
  <c r="Q1027" i="10"/>
  <c r="Q1028" i="10"/>
  <c r="B2" i="9"/>
  <c r="H7" i="9"/>
  <c r="H9" i="9" s="1"/>
  <c r="B2" i="8"/>
  <c r="H7" i="8"/>
  <c r="H9" i="8"/>
  <c r="G7" i="8" l="1"/>
  <c r="F9" i="11"/>
  <c r="E7" i="11"/>
  <c r="G7" i="9"/>
  <c r="G9" i="8"/>
  <c r="E7" i="14"/>
  <c r="F9" i="14"/>
  <c r="F205" i="14"/>
  <c r="D7" i="10"/>
  <c r="E9" i="10"/>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L11" i="5"/>
  <c r="AE67" i="5"/>
  <c r="T62" i="5"/>
  <c r="Y66" i="5"/>
  <c r="Z66" i="5"/>
  <c r="U76" i="5"/>
  <c r="AH70" i="5" s="1"/>
  <c r="AH72" i="5" s="1"/>
  <c r="AA67" i="5"/>
  <c r="AE68" i="5"/>
  <c r="AE69" i="5"/>
  <c r="AE70" i="5"/>
  <c r="AE71" i="5"/>
  <c r="Y72" i="5"/>
  <c r="Z72" i="5"/>
  <c r="AE72" i="5"/>
  <c r="Z73" i="5"/>
  <c r="AE73" i="5"/>
  <c r="AE74" i="5"/>
  <c r="Z75" i="5"/>
  <c r="AE75" i="5"/>
  <c r="AA76" i="5"/>
  <c r="AE76" i="5"/>
  <c r="AE77" i="5"/>
  <c r="AE79" i="5"/>
  <c r="T86" i="5"/>
  <c r="C1" i="6"/>
  <c r="T61" i="5" l="1"/>
  <c r="E9" i="11"/>
  <c r="D7" i="11"/>
  <c r="F7" i="8"/>
  <c r="Z74" i="5"/>
  <c r="AE80" i="5"/>
  <c r="F7" i="9"/>
  <c r="G9" i="9"/>
  <c r="D7" i="14"/>
  <c r="E205" i="14"/>
  <c r="E9" i="14"/>
  <c r="D9" i="10"/>
  <c r="AD92" i="5"/>
  <c r="AG72" i="5" s="1"/>
  <c r="AD89" i="5"/>
  <c r="AE85" i="5"/>
  <c r="AE83" i="5"/>
  <c r="AD87" i="5"/>
  <c r="AE81" i="5"/>
  <c r="W76" i="5"/>
  <c r="N5" i="17"/>
  <c r="AI75" i="17"/>
  <c r="AI289" i="17"/>
  <c r="AI393" i="17"/>
  <c r="AI419" i="17"/>
  <c r="AI458" i="17"/>
  <c r="AI754" i="17"/>
  <c r="AI817" i="17"/>
  <c r="AI1074" i="17"/>
  <c r="AI1150" i="17"/>
  <c r="AG1235" i="17"/>
  <c r="L5" i="17"/>
  <c r="AG75" i="17"/>
  <c r="AG289" i="17"/>
  <c r="AG393" i="17"/>
  <c r="AG419" i="17"/>
  <c r="AG458" i="17"/>
  <c r="AG754" i="17"/>
  <c r="AG817" i="17"/>
  <c r="AG1074" i="17"/>
  <c r="AG1150" i="17"/>
  <c r="AE1235" i="17"/>
  <c r="AE89" i="5"/>
  <c r="AE87" i="5"/>
  <c r="AD84" i="5"/>
  <c r="AD82" i="5"/>
  <c r="AD80" i="5"/>
  <c r="K5" i="17"/>
  <c r="AF75" i="17"/>
  <c r="AF289" i="17"/>
  <c r="AF393" i="17"/>
  <c r="AF419" i="17"/>
  <c r="AF458" i="17"/>
  <c r="AF754" i="17"/>
  <c r="AF817" i="17"/>
  <c r="AF1074" i="17"/>
  <c r="AF1150" i="17"/>
  <c r="AD1235" i="17"/>
  <c r="G5" i="17"/>
  <c r="AB75" i="17"/>
  <c r="AB289" i="17"/>
  <c r="AB393" i="17"/>
  <c r="AB419" i="17"/>
  <c r="AB458" i="17"/>
  <c r="AB754" i="17"/>
  <c r="AB817" i="17"/>
  <c r="AB1074" i="17"/>
  <c r="AB1150" i="17"/>
  <c r="Z1235" i="17"/>
  <c r="AA66" i="5"/>
  <c r="F5" i="17"/>
  <c r="AA75" i="17"/>
  <c r="AA289" i="17"/>
  <c r="AA393" i="17"/>
  <c r="AA419" i="17"/>
  <c r="AA458" i="17"/>
  <c r="AA754" i="17"/>
  <c r="AA817" i="17"/>
  <c r="AA1074" i="17"/>
  <c r="AA1150" i="17"/>
  <c r="Y1235" i="17"/>
  <c r="H5" i="17"/>
  <c r="AC75" i="17"/>
  <c r="AC289" i="17"/>
  <c r="AC393" i="17"/>
  <c r="AC419" i="17"/>
  <c r="AC458" i="17"/>
  <c r="AC754" i="17"/>
  <c r="AC817" i="17"/>
  <c r="AC1074" i="17"/>
  <c r="AC1150" i="17"/>
  <c r="AA1235" i="17"/>
  <c r="E5" i="17"/>
  <c r="Z75" i="17"/>
  <c r="Z289" i="17"/>
  <c r="Z393" i="17"/>
  <c r="Z419" i="17"/>
  <c r="Z458" i="17"/>
  <c r="Z754" i="17"/>
  <c r="Z817" i="17"/>
  <c r="Z1074" i="17"/>
  <c r="Z1150" i="17"/>
  <c r="X1235" i="17"/>
  <c r="D5" i="17"/>
  <c r="Y75" i="17"/>
  <c r="Y289" i="17"/>
  <c r="Y393" i="17"/>
  <c r="Y419" i="17"/>
  <c r="Y458" i="17"/>
  <c r="Y754" i="17"/>
  <c r="Y817" i="17"/>
  <c r="Y1074" i="17"/>
  <c r="Y1150" i="17"/>
  <c r="W1235" i="17"/>
  <c r="D6" i="16"/>
  <c r="H6" i="16"/>
  <c r="E6" i="16"/>
  <c r="F6" i="16"/>
  <c r="G6" i="16"/>
  <c r="F6" i="15"/>
  <c r="G6" i="15"/>
  <c r="D6" i="15"/>
  <c r="H6" i="15"/>
  <c r="E6" i="15"/>
  <c r="F6" i="14"/>
  <c r="G6" i="14"/>
  <c r="D6" i="14"/>
  <c r="H6" i="14"/>
  <c r="E6" i="14"/>
  <c r="E204" i="14"/>
  <c r="F204" i="14"/>
  <c r="D204" i="14"/>
  <c r="G204" i="14"/>
  <c r="H204" i="14"/>
  <c r="S204" i="14"/>
  <c r="G6" i="13"/>
  <c r="D6" i="13"/>
  <c r="E6" i="13"/>
  <c r="F6" i="13"/>
  <c r="H6" i="13"/>
  <c r="F6" i="12"/>
  <c r="E6" i="12"/>
  <c r="G6" i="12"/>
  <c r="D6" i="12"/>
  <c r="H6" i="12"/>
  <c r="F6" i="11"/>
  <c r="E6" i="11"/>
  <c r="G6" i="11"/>
  <c r="D6" i="11"/>
  <c r="H6" i="11"/>
  <c r="S407" i="11"/>
  <c r="H6" i="10"/>
  <c r="E6" i="10"/>
  <c r="F6" i="10"/>
  <c r="G6" i="10"/>
  <c r="D6" i="10"/>
  <c r="T300" i="10"/>
  <c r="G6" i="9"/>
  <c r="D6" i="9"/>
  <c r="H6" i="9"/>
  <c r="E6" i="9"/>
  <c r="F6" i="9"/>
  <c r="G6" i="8"/>
  <c r="D6" i="8"/>
  <c r="H6" i="8"/>
  <c r="E6" i="8"/>
  <c r="F6" i="8"/>
  <c r="S162" i="8"/>
  <c r="AE88" i="5"/>
  <c r="AE86" i="5"/>
  <c r="AD85" i="5"/>
  <c r="AD83" i="5"/>
  <c r="AD81" i="5"/>
  <c r="J5" i="17"/>
  <c r="AE75" i="17"/>
  <c r="AE289" i="17"/>
  <c r="AE393" i="17"/>
  <c r="AE419" i="17"/>
  <c r="AE458" i="17"/>
  <c r="AE754" i="17"/>
  <c r="AE817" i="17"/>
  <c r="AE1074" i="17"/>
  <c r="AE1150" i="17"/>
  <c r="AC1235" i="17"/>
  <c r="AD88" i="5"/>
  <c r="AD86" i="5"/>
  <c r="AE84" i="5"/>
  <c r="AE82" i="5"/>
  <c r="M5" i="17"/>
  <c r="AH75" i="17"/>
  <c r="AH289" i="17"/>
  <c r="AH393" i="17"/>
  <c r="AH419" i="17"/>
  <c r="AH458" i="17"/>
  <c r="AH754" i="17"/>
  <c r="AH817" i="17"/>
  <c r="AH1074" i="17"/>
  <c r="AH1150" i="17"/>
  <c r="AF1235" i="17"/>
  <c r="I5" i="17"/>
  <c r="AD75" i="17"/>
  <c r="AD289" i="17"/>
  <c r="AD393" i="17"/>
  <c r="AD419" i="17"/>
  <c r="AD458" i="17"/>
  <c r="AD754" i="17"/>
  <c r="AD817" i="17"/>
  <c r="AD1074" i="17"/>
  <c r="AD1150" i="17"/>
  <c r="AB1235" i="17"/>
  <c r="U754" i="17"/>
  <c r="U817" i="17"/>
  <c r="U1074" i="17"/>
  <c r="U1150" i="17"/>
  <c r="U1235" i="17"/>
  <c r="U75" i="17"/>
  <c r="U289" i="17"/>
  <c r="U393" i="17"/>
  <c r="B204" i="14"/>
  <c r="N204" i="14"/>
  <c r="N407" i="11"/>
  <c r="N162" i="8"/>
  <c r="O300" i="10"/>
  <c r="B6" i="16"/>
  <c r="B5" i="17"/>
  <c r="B6" i="8"/>
  <c r="B6" i="14"/>
  <c r="B6" i="11"/>
  <c r="B6" i="13"/>
  <c r="U419" i="17"/>
  <c r="B6" i="12"/>
  <c r="U458" i="17"/>
  <c r="B6" i="15"/>
  <c r="B6" i="9"/>
  <c r="B6" i="10"/>
  <c r="D9" i="11" l="1"/>
  <c r="E7" i="8"/>
  <c r="F9" i="8"/>
  <c r="D205" i="14"/>
  <c r="D9" i="14"/>
  <c r="E7" i="9"/>
  <c r="F9" i="9"/>
  <c r="D7" i="8" l="1"/>
  <c r="E9" i="8"/>
  <c r="D7" i="9"/>
  <c r="E9" i="9"/>
  <c r="D9" i="8" l="1"/>
  <c r="D9" i="9"/>
</calcChain>
</file>

<file path=xl/sharedStrings.xml><?xml version="1.0" encoding="utf-8"?>
<sst xmlns="http://schemas.openxmlformats.org/spreadsheetml/2006/main" count="25460" uniqueCount="5567">
  <si>
    <t>LIFE COMPANY LIST</t>
  </si>
  <si>
    <t>Entity Name</t>
  </si>
  <si>
    <t>SNL Statutory Entity Key</t>
  </si>
  <si>
    <t xml:space="preserve">NAIC Company
Code  </t>
  </si>
  <si>
    <t xml:space="preserve">Operating 
Status  </t>
  </si>
  <si>
    <t xml:space="preserve">SNL Group Name  </t>
  </si>
  <si>
    <t xml:space="preserve">Business Focus  </t>
  </si>
  <si>
    <t xml:space="preserve">State  </t>
  </si>
  <si>
    <t>Net Total Assets ($000)</t>
  </si>
  <si>
    <t>1) Market Intelligence is continuously updating its universe of companies.  To have the most updated list, we recommend refreshing this tab every 3-6 months.</t>
  </si>
  <si>
    <t>2) Select MI Add-in's Manual Refresh Option.</t>
  </si>
  <si>
    <r>
      <rPr>
        <b/>
        <sz val="8"/>
        <color theme="1"/>
        <rFont val="Arial"/>
        <family val="2"/>
      </rPr>
      <t xml:space="preserve">Step 2: </t>
    </r>
    <r>
      <rPr>
        <sz val="8"/>
        <color theme="1"/>
        <rFont val="Arial"/>
        <family val="2"/>
      </rPr>
      <t xml:space="preserve"> Go back to "Instructions" Tab to Select Company.</t>
    </r>
  </si>
  <si>
    <t>Instructions</t>
  </si>
  <si>
    <t>1st Financial Assurance Co.</t>
  </si>
  <si>
    <t>C2373</t>
  </si>
  <si>
    <t>Historical</t>
  </si>
  <si>
    <t>Life Minimum NPW</t>
  </si>
  <si>
    <t>WA</t>
  </si>
  <si>
    <t>4 Ever Life Insurance Co.</t>
  </si>
  <si>
    <t>C2187</t>
  </si>
  <si>
    <t>Current</t>
  </si>
  <si>
    <t>Group Accident &amp; Health Focus</t>
  </si>
  <si>
    <t>IL</t>
  </si>
  <si>
    <t>5 Star Life Insurance Co.</t>
  </si>
  <si>
    <t>C2930</t>
  </si>
  <si>
    <t>Life Insurance Focus</t>
  </si>
  <si>
    <t>VA</t>
  </si>
  <si>
    <t>AAA Life Insurance (SNL Life Group)</t>
  </si>
  <si>
    <t>GK4168056</t>
  </si>
  <si>
    <t>NA</t>
  </si>
  <si>
    <t>MI</t>
  </si>
  <si>
    <t>AAA Life Insurance Co.</t>
  </si>
  <si>
    <t>C2057</t>
  </si>
  <si>
    <t>AAA Life Insurance Co. of NY</t>
  </si>
  <si>
    <t>C8480</t>
  </si>
  <si>
    <t>Individual Life Focus</t>
  </si>
  <si>
    <t>Ability Insurance Co.</t>
  </si>
  <si>
    <t>C2578</t>
  </si>
  <si>
    <t>Advantage Capital Ptnrs LLC (SNL Life Group)</t>
  </si>
  <si>
    <t>Specialty A&amp;H Focus</t>
  </si>
  <si>
    <t>NE</t>
  </si>
  <si>
    <t>Abraham Lincoln Insurance Co.</t>
  </si>
  <si>
    <t>C5688</t>
  </si>
  <si>
    <t>Abundant Life Ins Co. (OK)</t>
  </si>
  <si>
    <t>C5804</t>
  </si>
  <si>
    <t>OK</t>
  </si>
  <si>
    <t>Abundant Life Insurance Co.</t>
  </si>
  <si>
    <t>C7191</t>
  </si>
  <si>
    <t>AL</t>
  </si>
  <si>
    <t>Acacia Life Insurance Co.</t>
  </si>
  <si>
    <t>C2058</t>
  </si>
  <si>
    <t>Ameritas (SNL Life Group)</t>
  </si>
  <si>
    <t>MD</t>
  </si>
  <si>
    <t>ACACIA National Life Insurance</t>
  </si>
  <si>
    <t>C5830</t>
  </si>
  <si>
    <t>ACACIA National Life Insurance (SA Company Aggregate)</t>
  </si>
  <si>
    <t>S5830</t>
  </si>
  <si>
    <t>Academe Inc.</t>
  </si>
  <si>
    <t>C2616</t>
  </si>
  <si>
    <t>Premera Blue Cross (SNL Life Group)</t>
  </si>
  <si>
    <t>Academy Life Insurance Co.</t>
  </si>
  <si>
    <t>C5693</t>
  </si>
  <si>
    <t>Transamerica (SNL Life Group)</t>
  </si>
  <si>
    <t>IA</t>
  </si>
  <si>
    <t>Acadian Life Insurance Co.</t>
  </si>
  <si>
    <t>C5922</t>
  </si>
  <si>
    <t>LA</t>
  </si>
  <si>
    <t>Accord Health Plan</t>
  </si>
  <si>
    <t>C6556</t>
  </si>
  <si>
    <t>Accordia Life &amp; Annuity Co.</t>
  </si>
  <si>
    <t>C2426</t>
  </si>
  <si>
    <t>Global Atlantic (SNL Life Group)</t>
  </si>
  <si>
    <t>ACE Life Insurance Co.</t>
  </si>
  <si>
    <t>C2082</t>
  </si>
  <si>
    <t>Chubb (SNL Life Group)</t>
  </si>
  <si>
    <t>PA</t>
  </si>
  <si>
    <t>Acme Life Insurance Co.</t>
  </si>
  <si>
    <t>C7200</t>
  </si>
  <si>
    <t>Adams Life Insurance Co.</t>
  </si>
  <si>
    <t>C3959</t>
  </si>
  <si>
    <t>Credit Insurance Focus</t>
  </si>
  <si>
    <t>Adamson Life Insurance Co.</t>
  </si>
  <si>
    <t>C6741</t>
  </si>
  <si>
    <t>Advance Ins Co. of Kansas</t>
  </si>
  <si>
    <t>C3810</t>
  </si>
  <si>
    <t>Blue Cross &amp; Blue Shield of KS (SNL Life Group)</t>
  </si>
  <si>
    <t>KS</t>
  </si>
  <si>
    <t>GK4387101</t>
  </si>
  <si>
    <t>Annuity and A&amp;H Focus</t>
  </si>
  <si>
    <t>UT</t>
  </si>
  <si>
    <t>Advantage Life Insurance Co.</t>
  </si>
  <si>
    <t>C6581</t>
  </si>
  <si>
    <t>TN</t>
  </si>
  <si>
    <t>Aetna Health &amp; Life Ins Co.</t>
  </si>
  <si>
    <t>C2063</t>
  </si>
  <si>
    <t>CVS Health Corp. (SNL Life Group)</t>
  </si>
  <si>
    <t>CT</t>
  </si>
  <si>
    <t>Aetna Life Insurance Co.</t>
  </si>
  <si>
    <t>C2065</t>
  </si>
  <si>
    <t>Aetna Life Insurance Co. (SA Bifurcated, Excl Intnl Accts, Insulated)</t>
  </si>
  <si>
    <t>BSA2065-01</t>
  </si>
  <si>
    <t>Aetna Life Insurance Co. (SA Company Aggregate)</t>
  </si>
  <si>
    <t>S2065</t>
  </si>
  <si>
    <t>Affiliated Finl Life Ins Co.</t>
  </si>
  <si>
    <t>C5897</t>
  </si>
  <si>
    <t>AZ</t>
  </si>
  <si>
    <t>Aflac (SNL Life Group)</t>
  </si>
  <si>
    <t>GK103316</t>
  </si>
  <si>
    <t>GA</t>
  </si>
  <si>
    <t>Aflac Reinsurance Co.</t>
  </si>
  <si>
    <t>C9153</t>
  </si>
  <si>
    <t>AFSC Insurance Co.</t>
  </si>
  <si>
    <t>C5806</t>
  </si>
  <si>
    <t>TX</t>
  </si>
  <si>
    <t>AGC Life Insurance Co.</t>
  </si>
  <si>
    <t>C2068</t>
  </si>
  <si>
    <t>AIG (SNL Life Group)</t>
  </si>
  <si>
    <t>Agency Builders Re Inc.</t>
  </si>
  <si>
    <t>C7117</t>
  </si>
  <si>
    <t>AH (Michigan) Life Ins Co.</t>
  </si>
  <si>
    <t>C6802</t>
  </si>
  <si>
    <t>AIA International Ltd.</t>
  </si>
  <si>
    <t>C7579</t>
  </si>
  <si>
    <t>GK103330</t>
  </si>
  <si>
    <t>NY</t>
  </si>
  <si>
    <t>AIG (SNL Separate Account Group)</t>
  </si>
  <si>
    <t>X103330</t>
  </si>
  <si>
    <t>AIG Life Insurance Co. of PR</t>
  </si>
  <si>
    <t>C2070</t>
  </si>
  <si>
    <t>Life and A&amp;H Focus</t>
  </si>
  <si>
    <t>PR</t>
  </si>
  <si>
    <t>Alabama Life Reinsurance Co.</t>
  </si>
  <si>
    <t>C6276</t>
  </si>
  <si>
    <t>Alabama Reassurance Co. Inc.</t>
  </si>
  <si>
    <t>C2072</t>
  </si>
  <si>
    <t>Alexander Hamilton Life Ins Co</t>
  </si>
  <si>
    <t>C6704</t>
  </si>
  <si>
    <t>Lincoln Financial (SNL Life Group)</t>
  </si>
  <si>
    <t>Alexander Hamilton Life Ins Co (SA Company Aggregate)</t>
  </si>
  <si>
    <t>S6704</t>
  </si>
  <si>
    <t>Alfa Life Insurance Corp.</t>
  </si>
  <si>
    <t>C2074</t>
  </si>
  <si>
    <t>Algonquin Life Insurance Co.</t>
  </si>
  <si>
    <t>C6778</t>
  </si>
  <si>
    <t>All American Life Ins Co.</t>
  </si>
  <si>
    <t>C5673</t>
  </si>
  <si>
    <t>WI</t>
  </si>
  <si>
    <t>All Savers Insurance Co.</t>
  </si>
  <si>
    <t>C2075</t>
  </si>
  <si>
    <t>UnitedHealth Group (SNL Life Group)</t>
  </si>
  <si>
    <t>IN</t>
  </si>
  <si>
    <t>All Savers Life Ins Co. of CA</t>
  </si>
  <si>
    <t>C2764</t>
  </si>
  <si>
    <t>Allianz (SNL Life Group)</t>
  </si>
  <si>
    <t>GK4174043</t>
  </si>
  <si>
    <t>Annuity Focus</t>
  </si>
  <si>
    <t>MN</t>
  </si>
  <si>
    <t>Allianz (SNL Separate Account Group)</t>
  </si>
  <si>
    <t>X4174043</t>
  </si>
  <si>
    <t>Allianz Life Ins Co of N Am</t>
  </si>
  <si>
    <t>C2077</t>
  </si>
  <si>
    <t>Allianz Life Ins Co of N Am (SA Bifurcated, Account 02, Undefined)</t>
  </si>
  <si>
    <t>BSA2077-02</t>
  </si>
  <si>
    <t>Allianz Life Ins Co of N Am (SA Bifurcated, Unnamed Account, Insulated)</t>
  </si>
  <si>
    <t>BSA2077-01</t>
  </si>
  <si>
    <t>Allianz Life Ins Co of N Am (SA Company Aggregate)</t>
  </si>
  <si>
    <t>S2077</t>
  </si>
  <si>
    <t>Allianz Life Ins Co. of NY</t>
  </si>
  <si>
    <t>C2724</t>
  </si>
  <si>
    <t>Allianz Life Ins Co. of NY (SA Bifurcated, Account 02, Undefined)</t>
  </si>
  <si>
    <t>BSA2724-02</t>
  </si>
  <si>
    <t>Allianz Life Ins Co. of NY (SA Bifurcated, Unnamed Account, Insulated)</t>
  </si>
  <si>
    <t>BSA2724-01</t>
  </si>
  <si>
    <t>Allianz Life Ins Co. of NY (SA Company Aggregate)</t>
  </si>
  <si>
    <t>S2724</t>
  </si>
  <si>
    <t>Allied Financial Insurance Co.</t>
  </si>
  <si>
    <t>C2078</t>
  </si>
  <si>
    <t>Allied Funeral Assoc. Ins Co</t>
  </si>
  <si>
    <t>C7072</t>
  </si>
  <si>
    <t>MS</t>
  </si>
  <si>
    <t>ALLIED Life Insurance Co.</t>
  </si>
  <si>
    <t>C6674</t>
  </si>
  <si>
    <t>Jackson (SNL Life Group)</t>
  </si>
  <si>
    <t>Allnation Life Insurance Co.</t>
  </si>
  <si>
    <t>C6735</t>
  </si>
  <si>
    <t>National Guardian Life Ins Co (SNL Life Group)</t>
  </si>
  <si>
    <t>Allstate Assurance Co.</t>
  </si>
  <si>
    <t>C2738</t>
  </si>
  <si>
    <t>Allstate Corp (SNL Life Group)</t>
  </si>
  <si>
    <t>Allstate Assurance Co. (SA Bifurcated, Unnamed Account, Insulated)</t>
  </si>
  <si>
    <t>BSA2738-01</t>
  </si>
  <si>
    <t>Allstate Assurance Co. (SA Company Aggregate)</t>
  </si>
  <si>
    <t>S2738</t>
  </si>
  <si>
    <t>GK103247</t>
  </si>
  <si>
    <t>Individual Life and A&amp;H Focus</t>
  </si>
  <si>
    <t>Allstate Corp (SNL Separate Account Group)</t>
  </si>
  <si>
    <t>X103247</t>
  </si>
  <si>
    <t>Allstate Life Ins Co. of NY</t>
  </si>
  <si>
    <t>C2080</t>
  </si>
  <si>
    <t>Allstate Life Ins Co. of NY (SA Bifurcated, Unnamed Account, Insulated)</t>
  </si>
  <si>
    <t>BSA2080-02</t>
  </si>
  <si>
    <t>Allstate Life Ins Co. of NY (SA Bifurcated, Unnamed Account, Non-insulated)</t>
  </si>
  <si>
    <t>BSA2080-01</t>
  </si>
  <si>
    <t>Allstate Life Ins Co. of NY (SA Company Aggregate)</t>
  </si>
  <si>
    <t>S2080</t>
  </si>
  <si>
    <t>Allstate Life Insurance Co.</t>
  </si>
  <si>
    <t>C2081</t>
  </si>
  <si>
    <t>Allstate Life Insurance Co. (SA Bifurcated, Unnamed Account, Insulated)</t>
  </si>
  <si>
    <t>BSA2081-01</t>
  </si>
  <si>
    <t>Allstate Life Insurance Co. (SA Bifurcated, Unnamed Account, Non-insulated)</t>
  </si>
  <si>
    <t>BSA2081-02</t>
  </si>
  <si>
    <t>Allstate Life Insurance Co. (SA Company Aggregate)</t>
  </si>
  <si>
    <t>S2081</t>
  </si>
  <si>
    <t>Amalgamated L&amp;H Insurance Co.</t>
  </si>
  <si>
    <t>C2083</t>
  </si>
  <si>
    <t>Amalgamated Life Insurance Co.</t>
  </si>
  <si>
    <t>C2084</t>
  </si>
  <si>
    <t>Ambassador Life Insurance Co.</t>
  </si>
  <si>
    <t>C2085</t>
  </si>
  <si>
    <t>Amer Centurion Life Assr Co.</t>
  </si>
  <si>
    <t>C5864</t>
  </si>
  <si>
    <t>RiverSource (SNL Life Group)</t>
  </si>
  <si>
    <t>Amer Centurion Life Assr Co. (SA Company Aggregate)</t>
  </si>
  <si>
    <t>S5864</t>
  </si>
  <si>
    <t>Amer Century Life Ins Co of TX</t>
  </si>
  <si>
    <t>C2760</t>
  </si>
  <si>
    <t>Amer Enterprise Life Ins Co.</t>
  </si>
  <si>
    <t>C5926</t>
  </si>
  <si>
    <t>Amer Enterprise Life Ins Co. (SA Company Aggregate)</t>
  </si>
  <si>
    <t>S5926</t>
  </si>
  <si>
    <t>Amer Eqty Invt Life Ins Co. NY</t>
  </si>
  <si>
    <t>C3640</t>
  </si>
  <si>
    <t>American Equity (SNL Life Group)</t>
  </si>
  <si>
    <t>Amer Equity Invt Life Ins Co.</t>
  </si>
  <si>
    <t>C2229</t>
  </si>
  <si>
    <t>Amer Equity Invt Life Ins Co. (SA Company Aggregate)</t>
  </si>
  <si>
    <t>S2229</t>
  </si>
  <si>
    <t>Amer Express Educational Assr</t>
  </si>
  <si>
    <t>C5711</t>
  </si>
  <si>
    <t>CA</t>
  </si>
  <si>
    <t>Amer Family Life Assr Co</t>
  </si>
  <si>
    <t>C2093</t>
  </si>
  <si>
    <t>Amer Family Life Assr Co (SA Bifurcated, Unnamed Account, Non-insulated)</t>
  </si>
  <si>
    <t>BSA2093-01</t>
  </si>
  <si>
    <t>Amer Family Life Assr Co (SA Company Aggregate)</t>
  </si>
  <si>
    <t>S2093</t>
  </si>
  <si>
    <t>Amer Family Life Assr Co. (NY)</t>
  </si>
  <si>
    <t>C2094</t>
  </si>
  <si>
    <t>Amer Farmers &amp; Ranchers Life</t>
  </si>
  <si>
    <t>C3983</t>
  </si>
  <si>
    <t>Amer Genl Life &amp; Accdt Ins Co.</t>
  </si>
  <si>
    <t>C2103</t>
  </si>
  <si>
    <t>Amer Genl Life Ins Co. of DE</t>
  </si>
  <si>
    <t>C2069</t>
  </si>
  <si>
    <t>Amer Genl Life Ins Co. of DE (SA Company Aggregate)</t>
  </si>
  <si>
    <t>S2069</t>
  </si>
  <si>
    <t>Amer Genl Life Ins Co. of NY</t>
  </si>
  <si>
    <t>C5735</t>
  </si>
  <si>
    <t>Amer Genl Life Ins Co. of NY (SA Company Aggregate)</t>
  </si>
  <si>
    <t>S5735</t>
  </si>
  <si>
    <t>Amer Heritage Life Ins Co. TX</t>
  </si>
  <si>
    <t>C7237</t>
  </si>
  <si>
    <t>FL</t>
  </si>
  <si>
    <t>Amer Home Life Ins Co. (AR)</t>
  </si>
  <si>
    <t>C2109</t>
  </si>
  <si>
    <t>Life and Annuities Focus</t>
  </si>
  <si>
    <t>AR</t>
  </si>
  <si>
    <t>Amer Intl Life Assr Co. of NY</t>
  </si>
  <si>
    <t>C2113</t>
  </si>
  <si>
    <t>Amer Intl Life Assr Co. of NY (SA Company Aggregate)</t>
  </si>
  <si>
    <t>S2113</t>
  </si>
  <si>
    <t>Amer Investors Life Ins Co.</t>
  </si>
  <si>
    <t>C2114</t>
  </si>
  <si>
    <t>Athene (SNL Life Group)</t>
  </si>
  <si>
    <t>Amer Investors Life Ins Co. (SA Company Aggregate)</t>
  </si>
  <si>
    <t>S2114</t>
  </si>
  <si>
    <t>Amer Life &amp; Accdt Ins Co of KY</t>
  </si>
  <si>
    <t>C2116</t>
  </si>
  <si>
    <t>KY</t>
  </si>
  <si>
    <t>Amer Life &amp; Sec Corp. (Merged)</t>
  </si>
  <si>
    <t>C7490</t>
  </si>
  <si>
    <t>Amer Natl Life Ins Co of Texas</t>
  </si>
  <si>
    <t>C2130</t>
  </si>
  <si>
    <t>American National (SNL Life Group)</t>
  </si>
  <si>
    <t>Amer Natl Life Ins Co. (13762)</t>
  </si>
  <si>
    <t>C7575</t>
  </si>
  <si>
    <t>Amer Natl Life Ins Co. of NY</t>
  </si>
  <si>
    <t>C2342</t>
  </si>
  <si>
    <t>Amer Progressive L&amp;H Ins Co.</t>
  </si>
  <si>
    <t>C2134</t>
  </si>
  <si>
    <t>Centene Corp. (SNL Life Group)</t>
  </si>
  <si>
    <t>Amer Retirement Life Ins Co.</t>
  </si>
  <si>
    <t>C2166</t>
  </si>
  <si>
    <t>Cigna (SNL Life Group)</t>
  </si>
  <si>
    <t>Amer Std Life &amp; Accdt Ins Co.</t>
  </si>
  <si>
    <t>C7090</t>
  </si>
  <si>
    <t>Amer Underwriters Life Ins Co.</t>
  </si>
  <si>
    <t>C2143</t>
  </si>
  <si>
    <t>Calton Holdings LLC (SNL Life Group)</t>
  </si>
  <si>
    <t>Amer Underwriters Life Ins Co. (SA Company Aggregate)</t>
  </si>
  <si>
    <t>S2143</t>
  </si>
  <si>
    <t>Amer Unified Life &amp; Health Co.</t>
  </si>
  <si>
    <t>C6873</t>
  </si>
  <si>
    <t>Ameribest Life Insurance Co.</t>
  </si>
  <si>
    <t>C5802</t>
  </si>
  <si>
    <t>American Bankers Life Assr Co.</t>
  </si>
  <si>
    <t>C2086</t>
  </si>
  <si>
    <t>Assurant (SNL Life Group)</t>
  </si>
  <si>
    <t>American Benefit Life Ins Co.</t>
  </si>
  <si>
    <t>C2593</t>
  </si>
  <si>
    <t>Liberty Bankers Life (SNL Life Group)</t>
  </si>
  <si>
    <t>American Capital Life Ins Co.</t>
  </si>
  <si>
    <t>C5768</t>
  </si>
  <si>
    <t>OH</t>
  </si>
  <si>
    <t>American Capitol Insurance Co.</t>
  </si>
  <si>
    <t>C2087</t>
  </si>
  <si>
    <t>American Century Life Ins Co.</t>
  </si>
  <si>
    <t>C2088</t>
  </si>
  <si>
    <t>American Chambers Life Ins Co.</t>
  </si>
  <si>
    <t>C6726</t>
  </si>
  <si>
    <t>American Cntl Ins Co. (TN)</t>
  </si>
  <si>
    <t>C3978</t>
  </si>
  <si>
    <t>American Colonial Life Ins Co.</t>
  </si>
  <si>
    <t>C7132</t>
  </si>
  <si>
    <t>American Community Mutl Ins Co</t>
  </si>
  <si>
    <t>C2090</t>
  </si>
  <si>
    <t>American Consumers Life Ins Co</t>
  </si>
  <si>
    <t>C6842</t>
  </si>
  <si>
    <t>American Creditors Life Ins Co</t>
  </si>
  <si>
    <t>C2091</t>
  </si>
  <si>
    <t>NV</t>
  </si>
  <si>
    <t>American Enterprise (SNL Life Group)</t>
  </si>
  <si>
    <t>GK4072175</t>
  </si>
  <si>
    <t>GK4047858</t>
  </si>
  <si>
    <t>American Exchange Life Ins Co.</t>
  </si>
  <si>
    <t>C2092</t>
  </si>
  <si>
    <t>American Family Life Ins Co.</t>
  </si>
  <si>
    <t>C2095</t>
  </si>
  <si>
    <t>American Family Life Ins Co. (SA Bifurcated, Unnamed Account, Insulated)</t>
  </si>
  <si>
    <t>BSA2095-01</t>
  </si>
  <si>
    <t>American Family Life Ins Co. (SA Company Aggregate)</t>
  </si>
  <si>
    <t>S2095</t>
  </si>
  <si>
    <t>American Farm Life Ins Co.</t>
  </si>
  <si>
    <t>C4722</t>
  </si>
  <si>
    <t>National Farm Life Ins Co. (SNL Life Group)</t>
  </si>
  <si>
    <t>American Federated Life Ins Co</t>
  </si>
  <si>
    <t>C2096</t>
  </si>
  <si>
    <t>American Fidelity (SNL Life Group)</t>
  </si>
  <si>
    <t>GK4001533</t>
  </si>
  <si>
    <t>American Fidelity Assurance Co</t>
  </si>
  <si>
    <t>C2097</t>
  </si>
  <si>
    <t>American Fidelity Assurance Co (SA Bifurcated, Account A, Insulated)</t>
  </si>
  <si>
    <t>BSA2097-01</t>
  </si>
  <si>
    <t>American Fidelity Assurance Co (SA Bifurcated, Account B, Insulated)</t>
  </si>
  <si>
    <t>BSA2097-02</t>
  </si>
  <si>
    <t>American Fidelity Assurance Co (SA Bifurcated, Account C, Insulated)</t>
  </si>
  <si>
    <t>BSA2097-03</t>
  </si>
  <si>
    <t>American Fidelity Assurance Co (SA Company Aggregate)</t>
  </si>
  <si>
    <t>S2097</t>
  </si>
  <si>
    <t>American Fidelity Life Ins Co.</t>
  </si>
  <si>
    <t>C2098</t>
  </si>
  <si>
    <t>American Financial Life Ins Co</t>
  </si>
  <si>
    <t>C2099</t>
  </si>
  <si>
    <t>American Finl Sec Life Ins Co.</t>
  </si>
  <si>
    <t>C2100</t>
  </si>
  <si>
    <t>American First Sec Life Ins Co</t>
  </si>
  <si>
    <t>C7135</t>
  </si>
  <si>
    <t>American Franklin Life Ins Co.</t>
  </si>
  <si>
    <t>C5924</t>
  </si>
  <si>
    <t>American Franklin Life Ins Co. (SA Company Aggregate)</t>
  </si>
  <si>
    <t>S5924</t>
  </si>
  <si>
    <t>American Funeral Plan &amp; Life</t>
  </si>
  <si>
    <t>C6865</t>
  </si>
  <si>
    <t>American General Assurance Co.</t>
  </si>
  <si>
    <t>C2914</t>
  </si>
  <si>
    <t>American General Life Ins Co.</t>
  </si>
  <si>
    <t>C2104</t>
  </si>
  <si>
    <t>American General Life Ins Co. (SA Bifurcated, Unnamed Account, Insulated)</t>
  </si>
  <si>
    <t>BSA2104-01</t>
  </si>
  <si>
    <t>American General Life Ins Co. (SA Bifurcated, Unnamed Account, Non-insulated)</t>
  </si>
  <si>
    <t>BSA2104-02</t>
  </si>
  <si>
    <t>American General Life Ins Co. (SA Company Aggregate)</t>
  </si>
  <si>
    <t>S2104</t>
  </si>
  <si>
    <t>American Genl Life Ins Co. PA</t>
  </si>
  <si>
    <t>C5828</t>
  </si>
  <si>
    <t>NJ</t>
  </si>
  <si>
    <t>American Guaranty Life Ins Co.</t>
  </si>
  <si>
    <t>C6113</t>
  </si>
  <si>
    <t>American Health &amp; Life Ins Co.</t>
  </si>
  <si>
    <t>C2106</t>
  </si>
  <si>
    <t>American Heritage Life Ins Co.</t>
  </si>
  <si>
    <t>C2107</t>
  </si>
  <si>
    <t>American Home Life Ins Co (KS)</t>
  </si>
  <si>
    <t>C2108</t>
  </si>
  <si>
    <t>American Income Life Ins Co.</t>
  </si>
  <si>
    <t>C2110</t>
  </si>
  <si>
    <t>Globe Life Inc. (SNL Life Group)</t>
  </si>
  <si>
    <t>American Indepdnt Ntwrk Ins Co</t>
  </si>
  <si>
    <t>C3472</t>
  </si>
  <si>
    <t>American Independent Life Ins</t>
  </si>
  <si>
    <t>C6885</t>
  </si>
  <si>
    <t>Atlantic American / Delta Group (SNL Life Group)</t>
  </si>
  <si>
    <t>American Indstrs Life Ins Co.</t>
  </si>
  <si>
    <t>C5002</t>
  </si>
  <si>
    <t>American Insurance Co. of TX</t>
  </si>
  <si>
    <t>C2112</t>
  </si>
  <si>
    <t>American Integrity Life Ins Co</t>
  </si>
  <si>
    <t>C2680</t>
  </si>
  <si>
    <t>American Investors Life Ins Co</t>
  </si>
  <si>
    <t>C6722</t>
  </si>
  <si>
    <t>American Labor Life Ins Co.</t>
  </si>
  <si>
    <t>C3987</t>
  </si>
  <si>
    <t>American LAC Inc.</t>
  </si>
  <si>
    <t>C3266</t>
  </si>
  <si>
    <t>American Liberty Life Ins Co.</t>
  </si>
  <si>
    <t>C7236</t>
  </si>
  <si>
    <t>American Life &amp; Accdt Ins Co.</t>
  </si>
  <si>
    <t>C2115</t>
  </si>
  <si>
    <t>American Life &amp; Annty Co. (AR)</t>
  </si>
  <si>
    <t>C2117</t>
  </si>
  <si>
    <t>American Life &amp; Health Ins Co.</t>
  </si>
  <si>
    <t>C2119</t>
  </si>
  <si>
    <t>American Life &amp; Security Corp.</t>
  </si>
  <si>
    <t>C2669</t>
  </si>
  <si>
    <t>American Life Assurance Corp.</t>
  </si>
  <si>
    <t>C7222</t>
  </si>
  <si>
    <t>American Life Ins Co. (DE)</t>
  </si>
  <si>
    <t>C2122</t>
  </si>
  <si>
    <t>MetLife (SNL Life Group)</t>
  </si>
  <si>
    <t>DE</t>
  </si>
  <si>
    <t>American Life Ins Co. (DE) (SA Bifurcated, Account 02, Undefined)</t>
  </si>
  <si>
    <t>BSA2122-02</t>
  </si>
  <si>
    <t>American Life Ins Co. (DE) (SA Bifurcated, Account 03, Undefined)</t>
  </si>
  <si>
    <t>BSA2122-03</t>
  </si>
  <si>
    <t>American Life Ins Co. (DE) (SA Bifurcated, United Kingdom, Non-insulated)</t>
  </si>
  <si>
    <t>BSA2122-01</t>
  </si>
  <si>
    <t>American Life Ins Co. (DE) (SA Company Aggregate)</t>
  </si>
  <si>
    <t>S2122</t>
  </si>
  <si>
    <t>American Life Ins Co. (IL)</t>
  </si>
  <si>
    <t>C2123</t>
  </si>
  <si>
    <t>American Maturity Life Ins Co.</t>
  </si>
  <si>
    <t>C2124</t>
  </si>
  <si>
    <t>Talcott Resolution (SNL Life Group)</t>
  </si>
  <si>
    <t>American Maturity Life Ins Co. (SA Bifurcated, Unnamed Account, Insulated)</t>
  </si>
  <si>
    <t>BSA2124-01</t>
  </si>
  <si>
    <t>American Maturity Life Ins Co. (SA Bifurcated, Unnamed Account, Non-insulated)</t>
  </si>
  <si>
    <t>BSA2124-02</t>
  </si>
  <si>
    <t>American Maturity Life Ins Co. (SA Company Aggregate)</t>
  </si>
  <si>
    <t>S2124</t>
  </si>
  <si>
    <t>American Mayflower Life Ins Co</t>
  </si>
  <si>
    <t>C2125</t>
  </si>
  <si>
    <t>Genworth (SNL Life Group)</t>
  </si>
  <si>
    <t>American Med Sec Ins Co. (GA)</t>
  </si>
  <si>
    <t>C5894</t>
  </si>
  <si>
    <t>American Med Security Ins Co.</t>
  </si>
  <si>
    <t>C7195</t>
  </si>
  <si>
    <t>American Medical &amp; Life Ins Co</t>
  </si>
  <si>
    <t>C2126</t>
  </si>
  <si>
    <t>American Memorial Life Ins Co.</t>
  </si>
  <si>
    <t>C2127</t>
  </si>
  <si>
    <t>SD</t>
  </si>
  <si>
    <t>American Merchants Life Ins Co</t>
  </si>
  <si>
    <t>C6709</t>
  </si>
  <si>
    <t>American Modern Life Ins Co.</t>
  </si>
  <si>
    <t>C2128</t>
  </si>
  <si>
    <t>Securian (SNL Life Group)</t>
  </si>
  <si>
    <t>GK103423</t>
  </si>
  <si>
    <t>American National Insurance</t>
  </si>
  <si>
    <t>C3027</t>
  </si>
  <si>
    <t>American National Insurance (SA Bifurcated, Unnamed Account, Insulated)</t>
  </si>
  <si>
    <t>BSA3027-01</t>
  </si>
  <si>
    <t>American National Insurance (SA Company Aggregate)</t>
  </si>
  <si>
    <t>S3027</t>
  </si>
  <si>
    <t>American Network Insurance Co.</t>
  </si>
  <si>
    <t>C2460</t>
  </si>
  <si>
    <t>American Partners Life Ins Co.</t>
  </si>
  <si>
    <t>C5902</t>
  </si>
  <si>
    <t>American Partners Life Ins Co. (SA Company Aggregate)</t>
  </si>
  <si>
    <t>S5902</t>
  </si>
  <si>
    <t>American Pioneer Life Ins Co.</t>
  </si>
  <si>
    <t>C2133</t>
  </si>
  <si>
    <t>Nassau Re (SNL Life Group)</t>
  </si>
  <si>
    <t>American Public Life Ins Co.</t>
  </si>
  <si>
    <t>C2135</t>
  </si>
  <si>
    <t>American Republic Corp Ins Co.</t>
  </si>
  <si>
    <t>C2595</t>
  </si>
  <si>
    <t>American Republic Insurance Co</t>
  </si>
  <si>
    <t>C2136</t>
  </si>
  <si>
    <t>American Republic Insurance Co (SA Bifurcated, Unnamed Account, Insulated)</t>
  </si>
  <si>
    <t>BSA2136-01</t>
  </si>
  <si>
    <t>American Republic Insurance Co (SA Company Aggregate)</t>
  </si>
  <si>
    <t>S2136</t>
  </si>
  <si>
    <t>American Reserve Life Ins Co.</t>
  </si>
  <si>
    <t>C2137</t>
  </si>
  <si>
    <t>American Resources Life Ins Co</t>
  </si>
  <si>
    <t>C5671</t>
  </si>
  <si>
    <t>American Savings Life Ins Co.</t>
  </si>
  <si>
    <t>C2138</t>
  </si>
  <si>
    <t>American Service Life Ins Co.</t>
  </si>
  <si>
    <t>C2139</t>
  </si>
  <si>
    <t>MO</t>
  </si>
  <si>
    <t>American States Life Ins Co.</t>
  </si>
  <si>
    <t>C5775</t>
  </si>
  <si>
    <t>Symetra (SNL Life Group)</t>
  </si>
  <si>
    <t>American Travelers Assr Co.</t>
  </si>
  <si>
    <t>C2141</t>
  </si>
  <si>
    <t>American Trend Life Ins Co.</t>
  </si>
  <si>
    <t>C7168</t>
  </si>
  <si>
    <t>American Trust Life Ins Co.</t>
  </si>
  <si>
    <t>C7162</t>
  </si>
  <si>
    <t>American Union Life Ins Co.</t>
  </si>
  <si>
    <t>C6815</t>
  </si>
  <si>
    <t>American United Life Ins Co.</t>
  </si>
  <si>
    <t>C3716</t>
  </si>
  <si>
    <t>OneAmerica (SNL Life Group)</t>
  </si>
  <si>
    <t>American United Life Ins Co. (SA Bifurcated, Unnamed Account, Insulated)</t>
  </si>
  <si>
    <t>BSA3716-01</t>
  </si>
  <si>
    <t>American United Life Ins Co. (SA Company Aggregate)</t>
  </si>
  <si>
    <t>S3716</t>
  </si>
  <si>
    <t>American Vanguard Life Ins Co.</t>
  </si>
  <si>
    <t>C6070</t>
  </si>
  <si>
    <t>American Western Life Ins Co.</t>
  </si>
  <si>
    <t>C7075</t>
  </si>
  <si>
    <t>American-Amicable Life Ins Co.</t>
  </si>
  <si>
    <t>C2144</t>
  </si>
  <si>
    <t>iA Financial (SNL Life Group)</t>
  </si>
  <si>
    <t>Americo (SNL Life Group)</t>
  </si>
  <si>
    <t>GK4021006</t>
  </si>
  <si>
    <t>Americo Finl Life &amp; Annty Ins</t>
  </si>
  <si>
    <t>C2250</t>
  </si>
  <si>
    <t>Americom Life &amp; Annty Ins Co.</t>
  </si>
  <si>
    <t>C2871</t>
  </si>
  <si>
    <t>Fidelity &amp; Guaranty Life (SNL Life Group)</t>
  </si>
  <si>
    <t>GK4026711</t>
  </si>
  <si>
    <t>Ameritas (SNL Separate Account Group)</t>
  </si>
  <si>
    <t>X4026711</t>
  </si>
  <si>
    <t>Ameritas Bankers Assurance Co.</t>
  </si>
  <si>
    <t>C7133</t>
  </si>
  <si>
    <t>Ameritas Life Ins Corp. of NY</t>
  </si>
  <si>
    <t>C2362</t>
  </si>
  <si>
    <t>Ameritas Life Ins Corp. of NY (SA Bifurcated, Unnamed Account, Insulated)</t>
  </si>
  <si>
    <t>BSA2362-01</t>
  </si>
  <si>
    <t>Ameritas Life Ins Corp. of NY (SA Company Aggregate)</t>
  </si>
  <si>
    <t>S2362</t>
  </si>
  <si>
    <t>Ameritas Life Insurance Corp.</t>
  </si>
  <si>
    <t>C2148</t>
  </si>
  <si>
    <t>Ameritas Life Insurance Corp. (SA Bifurcated, Unnamed Account, Insulated)</t>
  </si>
  <si>
    <t>BSA2148-01</t>
  </si>
  <si>
    <t>Ameritas Life Insurance Corp. (SA Company Aggregate)</t>
  </si>
  <si>
    <t>S2148</t>
  </si>
  <si>
    <t>Ameritas Variable Life Ins Co.</t>
  </si>
  <si>
    <t>C2149</t>
  </si>
  <si>
    <t>Ameritas Variable Life Ins Co. (SA Company Aggregate)</t>
  </si>
  <si>
    <t>S2149</t>
  </si>
  <si>
    <t>Amica Life Insurance Co.</t>
  </si>
  <si>
    <t>C2151</t>
  </si>
  <si>
    <t>RI</t>
  </si>
  <si>
    <t>Amil International Ins Co.</t>
  </si>
  <si>
    <t>C5665</t>
  </si>
  <si>
    <t>Anderson Life Insurance Co.</t>
  </si>
  <si>
    <t>C7142</t>
  </si>
  <si>
    <t>Annuity Investors Life Ins Co.</t>
  </si>
  <si>
    <t>C2153</t>
  </si>
  <si>
    <t>Great American Insurance (SNL Life Group)</t>
  </si>
  <si>
    <t>Annuity Investors Life Ins Co. (SA Bifurcated, Unnamed Account, Insulated)</t>
  </si>
  <si>
    <t>BSA2153-01</t>
  </si>
  <si>
    <t>Annuity Investors Life Ins Co. (SA Company Aggregate)</t>
  </si>
  <si>
    <t>S2153</t>
  </si>
  <si>
    <t>Anthem (SNL Life Group)</t>
  </si>
  <si>
    <t>GK4072364</t>
  </si>
  <si>
    <t>Anthem Health Plans Inc (Life)</t>
  </si>
  <si>
    <t>C7105</t>
  </si>
  <si>
    <t>Anthem Life &amp; Disability Ins</t>
  </si>
  <si>
    <t>C7444</t>
  </si>
  <si>
    <t>Anthem Life Insurance Co of CA</t>
  </si>
  <si>
    <t>C6691</t>
  </si>
  <si>
    <t>Anthem Life Insurance Co.</t>
  </si>
  <si>
    <t>C2157</t>
  </si>
  <si>
    <t>Appalachian Life Insurance Co.</t>
  </si>
  <si>
    <t>C5799</t>
  </si>
  <si>
    <t>Arbella Life &amp; Health Ins Co.</t>
  </si>
  <si>
    <t>C5701</t>
  </si>
  <si>
    <t>MA</t>
  </si>
  <si>
    <t>Arbor Life Insurance Co.</t>
  </si>
  <si>
    <t>C6566</t>
  </si>
  <si>
    <t>Aristar Life Insurance Co.</t>
  </si>
  <si>
    <t>C7255</t>
  </si>
  <si>
    <t>Arkansas Bankers Life Ins Co.</t>
  </si>
  <si>
    <t>C2160</t>
  </si>
  <si>
    <t>Arkansas Life Insurance Co.</t>
  </si>
  <si>
    <t>C2162</t>
  </si>
  <si>
    <t>Munich Re (SNL Life Group)</t>
  </si>
  <si>
    <t>Arkansas National Life Ins Co.</t>
  </si>
  <si>
    <t>C2163</t>
  </si>
  <si>
    <t>Aroty Life Insurance Co.</t>
  </si>
  <si>
    <t>C7161</t>
  </si>
  <si>
    <t>Ashley Life Insurance Co.</t>
  </si>
  <si>
    <t>C2164</t>
  </si>
  <si>
    <t>Assoc. Financial Life</t>
  </si>
  <si>
    <t>C5774</t>
  </si>
  <si>
    <t>Assoc. Finl Life Ins Co. of NV</t>
  </si>
  <si>
    <t>C5877</t>
  </si>
  <si>
    <t>Assoc. Finl Life Ins Co. of TX</t>
  </si>
  <si>
    <t>C5879</t>
  </si>
  <si>
    <t>Assocd Amer Mutl Life Ins Co.</t>
  </si>
  <si>
    <t>C5958</t>
  </si>
  <si>
    <t>Associated Mutl Hosp Svc of MI</t>
  </si>
  <si>
    <t>C2165</t>
  </si>
  <si>
    <t>Assumption Mutual Life Ins Co.</t>
  </si>
  <si>
    <t>C4668</t>
  </si>
  <si>
    <t>GK4090153</t>
  </si>
  <si>
    <t>Assurant (SNL Separate Account Group)</t>
  </si>
  <si>
    <t>X4090153</t>
  </si>
  <si>
    <t>Assured Investors Life Co.</t>
  </si>
  <si>
    <t>C5757</t>
  </si>
  <si>
    <t>Assurity (SNL Life Group)</t>
  </si>
  <si>
    <t>GK4097761</t>
  </si>
  <si>
    <t>Assurity Life Ins Co. of NY</t>
  </si>
  <si>
    <t>C8958</t>
  </si>
  <si>
    <t>Assurity Life Insurance Co.</t>
  </si>
  <si>
    <t>C2395</t>
  </si>
  <si>
    <t>GK4273880</t>
  </si>
  <si>
    <t>Athene (SNL Separate Account Group)</t>
  </si>
  <si>
    <t>X4273880</t>
  </si>
  <si>
    <t>Athene Annty &amp; Life Assr (NY)</t>
  </si>
  <si>
    <t>C2727</t>
  </si>
  <si>
    <t>Athene Annty &amp; Life Assr (NY) (SA Company Aggregate)</t>
  </si>
  <si>
    <t>S2727</t>
  </si>
  <si>
    <t>Athene Annty &amp; Life Assr Co</t>
  </si>
  <si>
    <t>C2203</t>
  </si>
  <si>
    <t>Athene Annty &amp; Life Assr Co (SA Bifurcated, Unnamed Account, Undefined)</t>
  </si>
  <si>
    <t>BSA2203-01</t>
  </si>
  <si>
    <t>Athene Annty &amp; Life Assr Co (SA Company Aggregate)</t>
  </si>
  <si>
    <t>S2203</t>
  </si>
  <si>
    <t>Athene Annuity &amp; Life Co.</t>
  </si>
  <si>
    <t>C2150</t>
  </si>
  <si>
    <t>Athene Annuity &amp; Life Co. (SA Bifurcated, Account 03, Undefined)</t>
  </si>
  <si>
    <t>BSA2150-03</t>
  </si>
  <si>
    <t>Athene Annuity &amp; Life Co. (SA Bifurcated, Accounts Filing 1, Non-insulated)</t>
  </si>
  <si>
    <t>BSA2150-01</t>
  </si>
  <si>
    <t>Athene Annuity &amp; Life Co. (SA Bifurcated, Accounts Filing 2, Insulated)</t>
  </si>
  <si>
    <t>BSA2150-02</t>
  </si>
  <si>
    <t>Athene Annuity &amp; Life Co. (SA Company Aggregate)</t>
  </si>
  <si>
    <t>S2150</t>
  </si>
  <si>
    <t>Athene Life Ins Co. of NY</t>
  </si>
  <si>
    <t>C2183</t>
  </si>
  <si>
    <t>Athene Life Insurance Co.</t>
  </si>
  <si>
    <t>C7611</t>
  </si>
  <si>
    <t>Atlanta Life Insurance Co.</t>
  </si>
  <si>
    <t>C2167</t>
  </si>
  <si>
    <t>GK4186821</t>
  </si>
  <si>
    <t>Atlantic American Life Ins Co.</t>
  </si>
  <si>
    <t>C7077</t>
  </si>
  <si>
    <t>Atlantic Coast Life Ins Co.</t>
  </si>
  <si>
    <t>C2168</t>
  </si>
  <si>
    <t>SC</t>
  </si>
  <si>
    <t>Atlas Life Insurance Co.</t>
  </si>
  <si>
    <t>C7078</t>
  </si>
  <si>
    <t>Aurora National Life Assr Co.</t>
  </si>
  <si>
    <t>C2170</t>
  </si>
  <si>
    <t>RGA (SNL Life Group)</t>
  </si>
  <si>
    <t>Australian Mutual Provident US</t>
  </si>
  <si>
    <t>C7203</t>
  </si>
  <si>
    <t>Auto Club Life Insurance Co.</t>
  </si>
  <si>
    <t>C2172</t>
  </si>
  <si>
    <t>Automobile Club of Southern CA</t>
  </si>
  <si>
    <t>C3507</t>
  </si>
  <si>
    <t>Auto-Owners Life Insurance Co.</t>
  </si>
  <si>
    <t>C2173</t>
  </si>
  <si>
    <t>Auto-Owners Life Insurance Co. (SA Bifurcated, Unnamed Account, Insulated)</t>
  </si>
  <si>
    <t>BSA2173-01</t>
  </si>
  <si>
    <t>Auto-Owners Life Insurance Co. (SA Company Aggregate)</t>
  </si>
  <si>
    <t>S2173</t>
  </si>
  <si>
    <t>Aviva Life Insurance Co.</t>
  </si>
  <si>
    <t>C2269</t>
  </si>
  <si>
    <t>Aviva Life Insurance Co. of NY</t>
  </si>
  <si>
    <t>C2301</t>
  </si>
  <si>
    <t>Aviva Re USA Inc.</t>
  </si>
  <si>
    <t>C6428</t>
  </si>
  <si>
    <t>AvMed Health Insurance Co.</t>
  </si>
  <si>
    <t>C5946</t>
  </si>
  <si>
    <t>AXA Corpte Solutions Life Re</t>
  </si>
  <si>
    <t>C2174</t>
  </si>
  <si>
    <t>Equitable Holdings (SNL Life Group)</t>
  </si>
  <si>
    <t>AXA Equitable Life &amp; Annty Co.</t>
  </si>
  <si>
    <t>C2329</t>
  </si>
  <si>
    <t>NC</t>
  </si>
  <si>
    <t>C2328</t>
  </si>
  <si>
    <t>BSA2328-01</t>
  </si>
  <si>
    <t>BSA2328-02</t>
  </si>
  <si>
    <t>S2328</t>
  </si>
  <si>
    <t>Aztec Life Assurance Co.</t>
  </si>
  <si>
    <t>C7113</t>
  </si>
  <si>
    <t>Balboa Life Insurance Co of NY</t>
  </si>
  <si>
    <t>C3833</t>
  </si>
  <si>
    <t>Balboa Life Insurance Co.</t>
  </si>
  <si>
    <t>C2175</t>
  </si>
  <si>
    <t>Baltimore Life Insurance Co.</t>
  </si>
  <si>
    <t>C2176</t>
  </si>
  <si>
    <t>Banc One Kentucky Insurance Co</t>
  </si>
  <si>
    <t>C2177</t>
  </si>
  <si>
    <t>Bank of Hawaii Corp. (SNL Life Group)</t>
  </si>
  <si>
    <t>GK100161</t>
  </si>
  <si>
    <t>Bankers American Life</t>
  </si>
  <si>
    <t>C5851</t>
  </si>
  <si>
    <t>Bankers Commercial Life Ins Co</t>
  </si>
  <si>
    <t>C6682</t>
  </si>
  <si>
    <t>Bankers Conseco Life Ins Co.</t>
  </si>
  <si>
    <t>C3091</t>
  </si>
  <si>
    <t>CNO Financial Group (SNL Life Group)</t>
  </si>
  <si>
    <t>Bankers Credit Life Ins Co.</t>
  </si>
  <si>
    <t>C7128</t>
  </si>
  <si>
    <t>Bankers Fidelity Assurance Co.</t>
  </si>
  <si>
    <t>C2799</t>
  </si>
  <si>
    <t>Bankers Fidelity Life Ins Co.</t>
  </si>
  <si>
    <t>C3019</t>
  </si>
  <si>
    <t>Bankers Financial Life Ins Co.</t>
  </si>
  <si>
    <t>C5689</t>
  </si>
  <si>
    <t>Bankers Life &amp; Casualty Co.</t>
  </si>
  <si>
    <t>C2179</t>
  </si>
  <si>
    <t>Bankers Life Ins Co. of Am</t>
  </si>
  <si>
    <t>C2180</t>
  </si>
  <si>
    <t>Bankers Life Ins Co. of IL</t>
  </si>
  <si>
    <t>C2181</t>
  </si>
  <si>
    <t>Bankers Life Insurance Co.</t>
  </si>
  <si>
    <t>C2182</t>
  </si>
  <si>
    <t>Bankers Life of Louisiana</t>
  </si>
  <si>
    <t>C2184</t>
  </si>
  <si>
    <t>Tiptree Inc. (SNL Life Group)</t>
  </si>
  <si>
    <t>Bankers National Life Ins Co.</t>
  </si>
  <si>
    <t>C5792</t>
  </si>
  <si>
    <t>Bankers National Life Ins Co. (SA Company Aggregate)</t>
  </si>
  <si>
    <t>S5792</t>
  </si>
  <si>
    <t>Bankers Reserve Life Ins (CO)</t>
  </si>
  <si>
    <t>C6905</t>
  </si>
  <si>
    <t>CO</t>
  </si>
  <si>
    <t>Bankers Reserve Life Ins Co. (SA Company Aggregate)</t>
  </si>
  <si>
    <t>S2185</t>
  </si>
  <si>
    <t>Bankers United Life Assr Co.</t>
  </si>
  <si>
    <t>C5794</t>
  </si>
  <si>
    <t>Banner Life Insurance Co.</t>
  </si>
  <si>
    <t>C2186</t>
  </si>
  <si>
    <t>Legal &amp; General (SNL Life Group)</t>
  </si>
  <si>
    <t>Banner Life Insurance Co. (SA Bifurcated, Unnamed Account, Insulated)</t>
  </si>
  <si>
    <t>BSA2186-01</t>
  </si>
  <si>
    <t>Banner Life Insurance Co. (SA Company Aggregate)</t>
  </si>
  <si>
    <t>S2186</t>
  </si>
  <si>
    <t>Barnett Banks Insurance Inc.</t>
  </si>
  <si>
    <t>C7131</t>
  </si>
  <si>
    <t>Barnett Life Insurance Co.</t>
  </si>
  <si>
    <t>C7169</t>
  </si>
  <si>
    <t>Basney Auto Group Life</t>
  </si>
  <si>
    <t>C6875</t>
  </si>
  <si>
    <t>Bates-Cooper-Weems Ins Co.</t>
  </si>
  <si>
    <t>C7270</t>
  </si>
  <si>
    <t>BC&amp;BS of Kansas Inc.</t>
  </si>
  <si>
    <t>C2194</t>
  </si>
  <si>
    <t>BC&amp;BS TX Inc</t>
  </si>
  <si>
    <t>C7210</t>
  </si>
  <si>
    <t>Dearborn National (SNL Life Group)</t>
  </si>
  <si>
    <t>Beck Life Insurance Co.</t>
  </si>
  <si>
    <t>C7226</t>
  </si>
  <si>
    <t>Bee Life Insurance Co.</t>
  </si>
  <si>
    <t>C7053</t>
  </si>
  <si>
    <t>Benchmark Health Insurance Co.</t>
  </si>
  <si>
    <t>C5698</t>
  </si>
  <si>
    <t>Beneficial Life (SNL Life Group)</t>
  </si>
  <si>
    <t>GK4039833</t>
  </si>
  <si>
    <t>Beneficial Life Insurance Co.</t>
  </si>
  <si>
    <t>C3049</t>
  </si>
  <si>
    <t>Beneficial Std Life Ins Co.</t>
  </si>
  <si>
    <t>C7079</t>
  </si>
  <si>
    <t>Benefit Capital Life Ins Co.</t>
  </si>
  <si>
    <t>C5801</t>
  </si>
  <si>
    <t>Benefit Life Insurance Co.</t>
  </si>
  <si>
    <t>C6693</t>
  </si>
  <si>
    <t>Benevolent Life Insurance Co.</t>
  </si>
  <si>
    <t>C8773</t>
  </si>
  <si>
    <t>Benicorp Insurance Company</t>
  </si>
  <si>
    <t>C2188</t>
  </si>
  <si>
    <t>Benton Life Ins Co. (TN)</t>
  </si>
  <si>
    <t>C6561</t>
  </si>
  <si>
    <t>Benton Life Insurance Co. (LA)</t>
  </si>
  <si>
    <t>C6677</t>
  </si>
  <si>
    <t>Berkley L&amp;H Insurance Co.</t>
  </si>
  <si>
    <t>C2491</t>
  </si>
  <si>
    <t>Berkshire Hathaway Inc. (SNL Life Group)</t>
  </si>
  <si>
    <t>GK103462</t>
  </si>
  <si>
    <t>Berkshire Hathaway Life Ins Co</t>
  </si>
  <si>
    <t>C2189</t>
  </si>
  <si>
    <t>Berkshire Life Ins Co. of Am</t>
  </si>
  <si>
    <t>C3613</t>
  </si>
  <si>
    <t>Guardian (SNL Life Group)</t>
  </si>
  <si>
    <t>Berkshire Life Insurance Co.</t>
  </si>
  <si>
    <t>C5797</t>
  </si>
  <si>
    <t>Berkshire Life Insurance Co. (SA Company Aggregate)</t>
  </si>
  <si>
    <t>S5797</t>
  </si>
  <si>
    <t>Best L&amp;H Insurance Co.</t>
  </si>
  <si>
    <t>C2190</t>
  </si>
  <si>
    <t>Best Meridian Insurance Co.</t>
  </si>
  <si>
    <t>C2191</t>
  </si>
  <si>
    <t>Bestow Life Insurance Co.</t>
  </si>
  <si>
    <t>C9376</t>
  </si>
  <si>
    <t>Better Life &amp; Health Ins Co.</t>
  </si>
  <si>
    <t>C2523</t>
  </si>
  <si>
    <t>Beverly Hills Life Ins Co.</t>
  </si>
  <si>
    <t>C7249</t>
  </si>
  <si>
    <t>BHG Life Insurance Co.</t>
  </si>
  <si>
    <t>C5694</t>
  </si>
  <si>
    <t>Big Sky Life Inc.</t>
  </si>
  <si>
    <t>C2192</t>
  </si>
  <si>
    <t>MT</t>
  </si>
  <si>
    <t>Billion Life Insurance Co.</t>
  </si>
  <si>
    <t>C7209</t>
  </si>
  <si>
    <t>Bird Insurance Co.</t>
  </si>
  <si>
    <t>C7351</t>
  </si>
  <si>
    <t>Blount County Life Ins Co.</t>
  </si>
  <si>
    <t>C6580</t>
  </si>
  <si>
    <t>GK14722</t>
  </si>
  <si>
    <t>Blue Shield of CA L&amp;H Ins Co.</t>
  </si>
  <si>
    <t>C2299</t>
  </si>
  <si>
    <t>Blue Shield of California (SNL Life Group)</t>
  </si>
  <si>
    <t>GK4022777</t>
  </si>
  <si>
    <t>Bluebonnet Life Ins Co</t>
  </si>
  <si>
    <t>C7145</t>
  </si>
  <si>
    <t>Bluebonnet Life Insurance Co.</t>
  </si>
  <si>
    <t>C2198</t>
  </si>
  <si>
    <t>Boatmen's Life Insurance Co.</t>
  </si>
  <si>
    <t>C7215</t>
  </si>
  <si>
    <t>Booker T. Washington Ins Co.</t>
  </si>
  <si>
    <t>C5800</t>
  </si>
  <si>
    <t>Boston Mutual (SNL Life Group)</t>
  </si>
  <si>
    <t>GK14734</t>
  </si>
  <si>
    <t>Boston Mutual Life Ins Co.</t>
  </si>
  <si>
    <t>C2199</t>
  </si>
  <si>
    <t>Bradley Life Insurance Co.</t>
  </si>
  <si>
    <t>C7206</t>
  </si>
  <si>
    <t>Brandywine Life Insurance Co.</t>
  </si>
  <si>
    <t>C5928</t>
  </si>
  <si>
    <t>Brazos Security Life Ins Co.</t>
  </si>
  <si>
    <t>C6714</t>
  </si>
  <si>
    <t>Bremen Life Insurance Co.</t>
  </si>
  <si>
    <t>C7190</t>
  </si>
  <si>
    <t>Brighthouse Financial (SNL Life Group)</t>
  </si>
  <si>
    <t>GK6588911</t>
  </si>
  <si>
    <t>Brighthouse Financial (SNL Separate Account Group)</t>
  </si>
  <si>
    <t>X6588911</t>
  </si>
  <si>
    <t>Brighthouse Life Ins Co. of NY</t>
  </si>
  <si>
    <t>C2368</t>
  </si>
  <si>
    <t>Brighthouse Life Ins Co. of NY (SA Bifurcated, Unnamed Account, Insulated)</t>
  </si>
  <si>
    <t>BSA2368-01</t>
  </si>
  <si>
    <t>Brighthouse Life Ins Co. of NY (SA Company Aggregate)</t>
  </si>
  <si>
    <t>S2368</t>
  </si>
  <si>
    <t>Brighthouse Life Insurance Co.</t>
  </si>
  <si>
    <t>C2864</t>
  </si>
  <si>
    <t>Brighthouse Life Insurance Co. (SA Bifurcated, Unnamed Account, Insulated)</t>
  </si>
  <si>
    <t>BSA2864-01</t>
  </si>
  <si>
    <t>Brighthouse Life Insurance Co. (SA Company Aggregate)</t>
  </si>
  <si>
    <t>S2864</t>
  </si>
  <si>
    <t>Brockfield Life Insurance Co.</t>
  </si>
  <si>
    <t>C8639</t>
  </si>
  <si>
    <t>Brooke Life Insurance Co.</t>
  </si>
  <si>
    <t>C2202</t>
  </si>
  <si>
    <t>BSH Life Insurance Inc.</t>
  </si>
  <si>
    <t>C5682</t>
  </si>
  <si>
    <t>HI</t>
  </si>
  <si>
    <t>Buchanan Life Insurance Co.</t>
  </si>
  <si>
    <t>C5777</t>
  </si>
  <si>
    <t>Bulkley Life Insurance Co.</t>
  </si>
  <si>
    <t>C7068</t>
  </si>
  <si>
    <t>C.M. Life Insurance Co.</t>
  </si>
  <si>
    <t>C2249</t>
  </si>
  <si>
    <t>MassMutual (SNL Life Group)</t>
  </si>
  <si>
    <t>C.M. Life Insurance Co. (SA Bifurcated, Unnamed Account, Insulated)</t>
  </si>
  <si>
    <t>BSA2249-01</t>
  </si>
  <si>
    <t>C.M. Life Insurance Co. (SA Company Aggregate)</t>
  </si>
  <si>
    <t>S2249</t>
  </si>
  <si>
    <t>CalAmerica Life Insurance Co.</t>
  </si>
  <si>
    <t>C6823</t>
  </si>
  <si>
    <t>GK4383093</t>
  </si>
  <si>
    <t>Cameron Life Insurance Co.</t>
  </si>
  <si>
    <t>C5850</t>
  </si>
  <si>
    <t>Canada Life Assurance Co.</t>
  </si>
  <si>
    <t>C4670</t>
  </si>
  <si>
    <t>Great-West (SNL Life Group)</t>
  </si>
  <si>
    <t>Canada Life Ins Co of PR Inc.</t>
  </si>
  <si>
    <t>C5282</t>
  </si>
  <si>
    <t>Canada Life Ins Co. of America</t>
  </si>
  <si>
    <t>C2205</t>
  </si>
  <si>
    <t>Canada Life Ins Co. of America (SA Company Aggregate)</t>
  </si>
  <si>
    <t>S2205</t>
  </si>
  <si>
    <t>Canyon State Life Insurance Co</t>
  </si>
  <si>
    <t>C2207</t>
  </si>
  <si>
    <t>Capital Investors Life Ins Co.</t>
  </si>
  <si>
    <t>C6685</t>
  </si>
  <si>
    <t>Capital Security Life Ins Co.</t>
  </si>
  <si>
    <t>C7177</t>
  </si>
  <si>
    <t>Capitol Life &amp; Accident Ins Co</t>
  </si>
  <si>
    <t>C2211</t>
  </si>
  <si>
    <t>Capitol Life Insurance Co.</t>
  </si>
  <si>
    <t>C2212</t>
  </si>
  <si>
    <t>Capitol Life Insurance Co. (SA Bifurcated, Unnamed Account, Insulated)</t>
  </si>
  <si>
    <t>BSA2212-01</t>
  </si>
  <si>
    <t>Capitol Life Insurance Co. (SA Company Aggregate)</t>
  </si>
  <si>
    <t>S2212</t>
  </si>
  <si>
    <t>Capitol Mutual Insurance Co.</t>
  </si>
  <si>
    <t>C6568</t>
  </si>
  <si>
    <t>Capitol National Life Ins Co.</t>
  </si>
  <si>
    <t>C7134</t>
  </si>
  <si>
    <t>Capitol Security Life Ins Co.</t>
  </si>
  <si>
    <t>C2213</t>
  </si>
  <si>
    <t>Regal Life of America Ins Co (SNL Life Group)</t>
  </si>
  <si>
    <t>CareAmerica Life Insurance Co.</t>
  </si>
  <si>
    <t>C2214</t>
  </si>
  <si>
    <t>Caribbean Amer Life Assr Co.</t>
  </si>
  <si>
    <t>C2215</t>
  </si>
  <si>
    <t>Carlisle Life Insurance Co.</t>
  </si>
  <si>
    <t>C7224</t>
  </si>
  <si>
    <t>Cass County Life Ins Co</t>
  </si>
  <si>
    <t>C2725</t>
  </si>
  <si>
    <t>TEG LLC (SNL Life Group)</t>
  </si>
  <si>
    <t>Catalina Life &amp; Health Re Co.</t>
  </si>
  <si>
    <t>C5878</t>
  </si>
  <si>
    <t>Caterpillar Life Insurance Co.</t>
  </si>
  <si>
    <t>C4063</t>
  </si>
  <si>
    <t>CBI Insurance Co.</t>
  </si>
  <si>
    <t>C6724</t>
  </si>
  <si>
    <t>Cemara Security</t>
  </si>
  <si>
    <t>C7268</t>
  </si>
  <si>
    <t>GK4022661</t>
  </si>
  <si>
    <t>Centennial Life Insurance Co.</t>
  </si>
  <si>
    <t>C7083</t>
  </si>
  <si>
    <t>Central American Life Ins Co.</t>
  </si>
  <si>
    <t>C2219</t>
  </si>
  <si>
    <t>Central Life Insurance Co.</t>
  </si>
  <si>
    <t>C6381</t>
  </si>
  <si>
    <t>Central Life Insurance Company</t>
  </si>
  <si>
    <t>C7230</t>
  </si>
  <si>
    <t>Central Reassurance Corp.</t>
  </si>
  <si>
    <t>C7148</t>
  </si>
  <si>
    <t>Central Security Life Ins Co.</t>
  </si>
  <si>
    <t>C2223</t>
  </si>
  <si>
    <t>Maximum Corp. (SNL Life Group)</t>
  </si>
  <si>
    <t>Central States H&amp;L Co of Omaha</t>
  </si>
  <si>
    <t>C2224</t>
  </si>
  <si>
    <t>Centre Life Insurance Co.</t>
  </si>
  <si>
    <t>C2566</t>
  </si>
  <si>
    <t>Zurich (SNL Life Group)</t>
  </si>
  <si>
    <t>Centurion Life Insurance Co.</t>
  </si>
  <si>
    <t>C2226</t>
  </si>
  <si>
    <t>Century Credit Life Ins Co.</t>
  </si>
  <si>
    <t>C2227</t>
  </si>
  <si>
    <t>Century Life Assurance Co.</t>
  </si>
  <si>
    <t>C2228</t>
  </si>
  <si>
    <t>Century Producers Life Ins Co.</t>
  </si>
  <si>
    <t>C7136</t>
  </si>
  <si>
    <t>Certified Life Insurance Co.</t>
  </si>
  <si>
    <t>C6683</t>
  </si>
  <si>
    <t>Champions Life Insurance Co.</t>
  </si>
  <si>
    <t>C2231</t>
  </si>
  <si>
    <t>Chapparal Life Insurance Co.</t>
  </si>
  <si>
    <t>C6569</t>
  </si>
  <si>
    <t>Charter National Life Ins Co.</t>
  </si>
  <si>
    <t>C2232</t>
  </si>
  <si>
    <t>Charter National Life Ins Co. (SA Bifurcated, Unnamed Account, Insulated)</t>
  </si>
  <si>
    <t>BSA2232-01</t>
  </si>
  <si>
    <t>Charter National Life Ins Co. (SA Company Aggregate)</t>
  </si>
  <si>
    <t>S2232</t>
  </si>
  <si>
    <t>Chase Ins Life &amp; Annuity Co.</t>
  </si>
  <si>
    <t>C2346</t>
  </si>
  <si>
    <t>Protective (SNL Life Group)</t>
  </si>
  <si>
    <t>Chase Ins Life &amp; Annuity Co. (SA Company Aggregate)</t>
  </si>
  <si>
    <t>S2346</t>
  </si>
  <si>
    <t>Chase Insurance Life Co.</t>
  </si>
  <si>
    <t>C2055</t>
  </si>
  <si>
    <t>Chase Insurance Life Co. of NY</t>
  </si>
  <si>
    <t>C3615</t>
  </si>
  <si>
    <t>Chase Life &amp; Annuity Co.</t>
  </si>
  <si>
    <t>C2664</t>
  </si>
  <si>
    <t>Cherob Life Insurance Co.</t>
  </si>
  <si>
    <t>C6883</t>
  </si>
  <si>
    <t>Cherokee National Life Ins Co.</t>
  </si>
  <si>
    <t>C2233</t>
  </si>
  <si>
    <t>Chesapeake Life Insurance Co.</t>
  </si>
  <si>
    <t>C2234</t>
  </si>
  <si>
    <t>Chesterfield Reinsurance Co.</t>
  </si>
  <si>
    <t>C8748</t>
  </si>
  <si>
    <t>Christian Fidelity Life Ins Co</t>
  </si>
  <si>
    <t>C2235</t>
  </si>
  <si>
    <t>Oxford Life (SNL Life Group)</t>
  </si>
  <si>
    <t>Christian Mutual Life Ins Co.</t>
  </si>
  <si>
    <t>C6684</t>
  </si>
  <si>
    <t>ManhattanLife (SNL Life Group)</t>
  </si>
  <si>
    <t>GK103417</t>
  </si>
  <si>
    <t>Chubb Sovereign Life Ins Co.</t>
  </si>
  <si>
    <t>C7180</t>
  </si>
  <si>
    <t>Church Life Insurance Corp.</t>
  </si>
  <si>
    <t>C2239</t>
  </si>
  <si>
    <t>CICA Life Ins Co. of America</t>
  </si>
  <si>
    <t>C2247</t>
  </si>
  <si>
    <t>Citizens (SNL Life Group)</t>
  </si>
  <si>
    <t>GK103339</t>
  </si>
  <si>
    <t>Cigna (SNL Separate Account Group)</t>
  </si>
  <si>
    <t>X103339</t>
  </si>
  <si>
    <t>Cigna Arbor Life Insurance Co.</t>
  </si>
  <si>
    <t>C7526</t>
  </si>
  <si>
    <t>Cigna Health &amp; Life Ins Co.</t>
  </si>
  <si>
    <t>C2155</t>
  </si>
  <si>
    <t>Cigna Health &amp; Life Ins Co. (SA Company Aggregate)</t>
  </si>
  <si>
    <t>S2155</t>
  </si>
  <si>
    <t>Cigna Indiana Ins Co.</t>
  </si>
  <si>
    <t>C5904</t>
  </si>
  <si>
    <t>Cigna Life Insurance Co. of NY</t>
  </si>
  <si>
    <t>C2481</t>
  </si>
  <si>
    <t>Cigna National Health Ins Co.</t>
  </si>
  <si>
    <t>C2222</t>
  </si>
  <si>
    <t>Cigna Worldwide Insurance Co.</t>
  </si>
  <si>
    <t>C2241</t>
  </si>
  <si>
    <t>Cigna Worldwide Insurance Co. (SA Company Aggregate)</t>
  </si>
  <si>
    <t>S2241</t>
  </si>
  <si>
    <t>Cincinnati Equitable Life Ins</t>
  </si>
  <si>
    <t>C2243</t>
  </si>
  <si>
    <t>Michigan Farm Bureau (SNL Life Group)</t>
  </si>
  <si>
    <t>Cincinnati Life Insurance Co.</t>
  </si>
  <si>
    <t>C2244</t>
  </si>
  <si>
    <t>Cincinnati Life Insurance Co. (SA Bifurcated, Unnamed Account, Insulated)</t>
  </si>
  <si>
    <t>BSA2244-01</t>
  </si>
  <si>
    <t>Cincinnati Life Insurance Co. (SA Company Aggregate)</t>
  </si>
  <si>
    <t>S2244</t>
  </si>
  <si>
    <t>Citation Life Insurance Co.</t>
  </si>
  <si>
    <t>C7240</t>
  </si>
  <si>
    <t>Citicorp Life Insurance Co.</t>
  </si>
  <si>
    <t>C5861</t>
  </si>
  <si>
    <t>Citicorp Life Insurance Co. (SA Company Aggregate)</t>
  </si>
  <si>
    <t>S5861</t>
  </si>
  <si>
    <t>GK103263</t>
  </si>
  <si>
    <t>Citizens Accdt &amp; Hlth Ins Co.</t>
  </si>
  <si>
    <t>C2245</t>
  </si>
  <si>
    <t>Citizens Fidelity Insurance Co</t>
  </si>
  <si>
    <t>C2246</t>
  </si>
  <si>
    <t>Citizens National Life Ins Co.</t>
  </si>
  <si>
    <t>C2264</t>
  </si>
  <si>
    <t>Citizens Security Life Ins Co.</t>
  </si>
  <si>
    <t>C2248</t>
  </si>
  <si>
    <t>Citizens USA Life Ins Co.</t>
  </si>
  <si>
    <t>C5680</t>
  </si>
  <si>
    <t>City Holdings Re Life Co.</t>
  </si>
  <si>
    <t>C5772</t>
  </si>
  <si>
    <t>CLA Assurance Co.</t>
  </si>
  <si>
    <t>C5822</t>
  </si>
  <si>
    <t>Claria L&amp;H Insurance Co.</t>
  </si>
  <si>
    <t>C7450</t>
  </si>
  <si>
    <t>Clarica Life Insurance Co. US</t>
  </si>
  <si>
    <t>C5751</t>
  </si>
  <si>
    <t>Sammons Enterprises Inc. (SNL Life Group)</t>
  </si>
  <si>
    <t>ND</t>
  </si>
  <si>
    <t>Clarica Life Insurance Co. US (SA Company Aggregate)</t>
  </si>
  <si>
    <t>S5751</t>
  </si>
  <si>
    <t>Classic Life Assurance Company</t>
  </si>
  <si>
    <t>C5791</t>
  </si>
  <si>
    <t>Clear Spring Life Insurance Co</t>
  </si>
  <si>
    <t>C8782</t>
  </si>
  <si>
    <t>Guggenheim (SNL Life Group)</t>
  </si>
  <si>
    <t>Clover Insurance Co. (SA Company Aggregate)</t>
  </si>
  <si>
    <t>S2200</t>
  </si>
  <si>
    <t>CM Assurance Company</t>
  </si>
  <si>
    <t>C5805</t>
  </si>
  <si>
    <t>CM Benefit Insurance Co.</t>
  </si>
  <si>
    <t>C5808</t>
  </si>
  <si>
    <t>CMFG Life Insurance Co.</t>
  </si>
  <si>
    <t>C2302</t>
  </si>
  <si>
    <t>CUNA Mutual (SNL Life Group)</t>
  </si>
  <si>
    <t>CMFG Life Insurance Co. (SA Bifurcated, Unnamed Account, Insulated)</t>
  </si>
  <si>
    <t>BSA2302-01</t>
  </si>
  <si>
    <t>CMFG Life Insurance Co. (SA Company Aggregate)</t>
  </si>
  <si>
    <t>S2302</t>
  </si>
  <si>
    <t>Cmnty Hlth Plan of SBL Ins Co.</t>
  </si>
  <si>
    <t>C6557</t>
  </si>
  <si>
    <t>Cmnwlth Annty &amp; Life Ins Co.</t>
  </si>
  <si>
    <t>C2079</t>
  </si>
  <si>
    <t>Cmnwlth Annty &amp; Life Ins Co. (SA Bifurcated, Unnamed Account, Insulated)</t>
  </si>
  <si>
    <t>BSA2079-01</t>
  </si>
  <si>
    <t>Cmnwlth Annty &amp; Life Ins Co. (SA Company Aggregate)</t>
  </si>
  <si>
    <t>S2079</t>
  </si>
  <si>
    <t>Cmnwlth Dealers Life Ins Co.</t>
  </si>
  <si>
    <t>C2270</t>
  </si>
  <si>
    <t>GK4089422</t>
  </si>
  <si>
    <t>CNO Financial Group (SNL Separate Account Group)</t>
  </si>
  <si>
    <t>X4089422</t>
  </si>
  <si>
    <t>Cntl Life Ins Co. of Brentwood</t>
  </si>
  <si>
    <t>C2286</t>
  </si>
  <si>
    <t>Colonial American Life Ins Co.</t>
  </si>
  <si>
    <t>C2252</t>
  </si>
  <si>
    <t>Colonial Empire Life Ins Co.</t>
  </si>
  <si>
    <t>C6695</t>
  </si>
  <si>
    <t>Colonial First Heritage Life</t>
  </si>
  <si>
    <t>C6895</t>
  </si>
  <si>
    <t>Colonial Life &amp; Accdt Ins Co.</t>
  </si>
  <si>
    <t>C2253</t>
  </si>
  <si>
    <t>Unum Group (SNL Life Group)</t>
  </si>
  <si>
    <t>Colonial Life &amp; Accdt Ins Co. (SA Company Aggregate)</t>
  </si>
  <si>
    <t>S2253</t>
  </si>
  <si>
    <t>Colonial Life Ins Co. of Texas</t>
  </si>
  <si>
    <t>C2254</t>
  </si>
  <si>
    <t>Colonial Penn Life Ins Co.</t>
  </si>
  <si>
    <t>C2255</t>
  </si>
  <si>
    <t>Colonial Penn Life Ins Co. (SA Company Aggregate)</t>
  </si>
  <si>
    <t>S2255</t>
  </si>
  <si>
    <t>Colonial Security Life Ins Co.</t>
  </si>
  <si>
    <t>C2256</t>
  </si>
  <si>
    <t>Colorado Bankers Life Ins Co.</t>
  </si>
  <si>
    <t>C2257</t>
  </si>
  <si>
    <t>Columbia Capital Life Re Co.</t>
  </si>
  <si>
    <t>C4090</t>
  </si>
  <si>
    <t>Columbian Family Life Ins Co.</t>
  </si>
  <si>
    <t>C5717</t>
  </si>
  <si>
    <t>Columbian Mutual Life Ins Co. (SNL Life Group)</t>
  </si>
  <si>
    <t>Columbian Life Insurance Co.</t>
  </si>
  <si>
    <t>C2259</t>
  </si>
  <si>
    <t>Columbian Mutual Life Ins Co.</t>
  </si>
  <si>
    <t>C2260</t>
  </si>
  <si>
    <t>GK14874</t>
  </si>
  <si>
    <t>Columbine Life Insurance Co.</t>
  </si>
  <si>
    <t>C6749</t>
  </si>
  <si>
    <t>Voya Financial Inc. (SNL Life Group)</t>
  </si>
  <si>
    <t>Columbus Life Insurance Co.</t>
  </si>
  <si>
    <t>C2261</t>
  </si>
  <si>
    <t>Western &amp; Southern Financial (SNL Life Group)</t>
  </si>
  <si>
    <t>Columbus Life Insurance Co. (SA Bifurcated, Unnamed Account, Insulated)</t>
  </si>
  <si>
    <t>BSA2261-01</t>
  </si>
  <si>
    <t>Columbus Life Insurance Co. (SA Company Aggregate)</t>
  </si>
  <si>
    <t>S2261</t>
  </si>
  <si>
    <t>Combined Insurance Co. of Am</t>
  </si>
  <si>
    <t>C2262</t>
  </si>
  <si>
    <t>Combined Life Ins Co. of NY</t>
  </si>
  <si>
    <t>C2263</t>
  </si>
  <si>
    <t>Comm Bankers Life Ins Co of IN</t>
  </si>
  <si>
    <t>C2267</t>
  </si>
  <si>
    <t>Comm Travelers Life Ins Co.</t>
  </si>
  <si>
    <t>C2268</t>
  </si>
  <si>
    <t>Commencement Bay Risk Mgmt Ins</t>
  </si>
  <si>
    <t>C2265</t>
  </si>
  <si>
    <t>Regence (SNL Life Group)</t>
  </si>
  <si>
    <t>Commerce National Insurance Co</t>
  </si>
  <si>
    <t>C2266</t>
  </si>
  <si>
    <t>Commodore National Life Ins Co</t>
  </si>
  <si>
    <t>C7086</t>
  </si>
  <si>
    <t>Commonwealth Life Insurance Co</t>
  </si>
  <si>
    <t>C7085</t>
  </si>
  <si>
    <t>Commonwealth Life Insurance Co (SA Company Aggregate)</t>
  </si>
  <si>
    <t>S7085</t>
  </si>
  <si>
    <t>Commonwealth Natl Life Ins Co.</t>
  </si>
  <si>
    <t>C5803</t>
  </si>
  <si>
    <t>Companion Life (SNL Life Group)</t>
  </si>
  <si>
    <t>GK11831</t>
  </si>
  <si>
    <t>Companion Life Ins Co of CA</t>
  </si>
  <si>
    <t>C2311</t>
  </si>
  <si>
    <t>Companion Life Ins Co. (NE)</t>
  </si>
  <si>
    <t>C2273</t>
  </si>
  <si>
    <t>Mutual of Omaha (SNL Life Group)</t>
  </si>
  <si>
    <t>Companion Life Ins Co. (NE) (SA Bifurcated, Unnamed Account, Insulated)</t>
  </si>
  <si>
    <t>BSA2273-01</t>
  </si>
  <si>
    <t>Companion Life Ins Co. (NE) (SA Company Aggregate)</t>
  </si>
  <si>
    <t>S2273</t>
  </si>
  <si>
    <t>Companion Life Ins Co. (SC)</t>
  </si>
  <si>
    <t>C2274</t>
  </si>
  <si>
    <t>Concert Health Plan Ins Co.</t>
  </si>
  <si>
    <t>C4103</t>
  </si>
  <si>
    <t>Concord Heritage Life Ins Co.</t>
  </si>
  <si>
    <t>C2275</t>
  </si>
  <si>
    <t>Concord Life Insurance Co.</t>
  </si>
  <si>
    <t>C2276</t>
  </si>
  <si>
    <t>Concord National Life Ins Co.</t>
  </si>
  <si>
    <t>C2277</t>
  </si>
  <si>
    <t>Condeaux Life Insurance Co.</t>
  </si>
  <si>
    <t>C5994</t>
  </si>
  <si>
    <t>Conestoga Life Assurance Co.</t>
  </si>
  <si>
    <t>C6706</t>
  </si>
  <si>
    <t>Conger Life Insurance Co.</t>
  </si>
  <si>
    <t>C7137</t>
  </si>
  <si>
    <t>Connecticut American Inc.</t>
  </si>
  <si>
    <t>C6892</t>
  </si>
  <si>
    <t>Connecticut Genl Life Ins Co.</t>
  </si>
  <si>
    <t>C5084</t>
  </si>
  <si>
    <t>Connecticut Genl Life Ins Co. (SA Bifurcated, Unnamed Account, Insulated)</t>
  </si>
  <si>
    <t>BSA5084-01</t>
  </si>
  <si>
    <t>Connecticut Genl Life Ins Co. (SA Company Aggregate)</t>
  </si>
  <si>
    <t>S5084</t>
  </si>
  <si>
    <t>Conseco Health Insurance Co.</t>
  </si>
  <si>
    <t>C2209</t>
  </si>
  <si>
    <t>Conseco Insurance Co.</t>
  </si>
  <si>
    <t>C2118</t>
  </si>
  <si>
    <t>Conseco Insurance Co. (SA Company Aggregate)</t>
  </si>
  <si>
    <t>S2118</t>
  </si>
  <si>
    <t>Conseco Life Ins Co. (Old)</t>
  </si>
  <si>
    <t>C6222</t>
  </si>
  <si>
    <t>Conseco Life Ins Co. of TX</t>
  </si>
  <si>
    <t>C2502</t>
  </si>
  <si>
    <t>Conseco Medical Insurance Co.</t>
  </si>
  <si>
    <t>C5920</t>
  </si>
  <si>
    <t>Consolidated Genl Life Ins Co.</t>
  </si>
  <si>
    <t>C2279</t>
  </si>
  <si>
    <t>Consumer Life Insurance Co.</t>
  </si>
  <si>
    <t>C5700</t>
  </si>
  <si>
    <t>Consumers Reinsurance Co.</t>
  </si>
  <si>
    <t>C6707</t>
  </si>
  <si>
    <t>Continental Amer Ins Co. (SC)</t>
  </si>
  <si>
    <t>C2216</t>
  </si>
  <si>
    <t>Continental Assoc Life Ins Co.</t>
  </si>
  <si>
    <t>C7260</t>
  </si>
  <si>
    <t>Continental General Ins Co.</t>
  </si>
  <si>
    <t>C2284</t>
  </si>
  <si>
    <t>Continental Intl Life Ins Co.</t>
  </si>
  <si>
    <t>C6818</t>
  </si>
  <si>
    <t>ME</t>
  </si>
  <si>
    <t>Continental Life &amp; Accident Co</t>
  </si>
  <si>
    <t>C6833</t>
  </si>
  <si>
    <t>Continental Life Ins Co. (TX)</t>
  </si>
  <si>
    <t>C6686</t>
  </si>
  <si>
    <t>Continental Life Ins Co. of SC</t>
  </si>
  <si>
    <t>C2287</t>
  </si>
  <si>
    <t>Continental Life Insurance Co.</t>
  </si>
  <si>
    <t>C2285</t>
  </si>
  <si>
    <t>Continental Natl Life Ins Co.</t>
  </si>
  <si>
    <t>C6681</t>
  </si>
  <si>
    <t>Cooperativa de Seguros de Vida</t>
  </si>
  <si>
    <t>C2289</t>
  </si>
  <si>
    <t>Co-operative Life Insurance Co</t>
  </si>
  <si>
    <t>C2290</t>
  </si>
  <si>
    <t>Cornhusker Life Insurance Co.</t>
  </si>
  <si>
    <t>C2291</t>
  </si>
  <si>
    <t>Cosmic Life Insurance Co.</t>
  </si>
  <si>
    <t>C7144</t>
  </si>
  <si>
    <t>Cosmopolitan Life Insurance Co</t>
  </si>
  <si>
    <t>C2293</t>
  </si>
  <si>
    <t>Cotton States Life Ins Co.</t>
  </si>
  <si>
    <t>C3020</t>
  </si>
  <si>
    <t>COUNTRY Financial (SNL Life Group)</t>
  </si>
  <si>
    <t>GK4011612</t>
  </si>
  <si>
    <t>COUNTRY Financial (SNL Separate Account Group)</t>
  </si>
  <si>
    <t>X4011612</t>
  </si>
  <si>
    <t>COUNTRY Investors Life Assr Co</t>
  </si>
  <si>
    <t>C2294</t>
  </si>
  <si>
    <t>COUNTRY Investors Life Assr Co (SA Bifurcated, Unnamed Account, Insulated)</t>
  </si>
  <si>
    <t>BSA2294-01</t>
  </si>
  <si>
    <t>COUNTRY Investors Life Assr Co (SA Company Aggregate)</t>
  </si>
  <si>
    <t>S2294</t>
  </si>
  <si>
    <t>COUNTRY Life Insurance Co.</t>
  </si>
  <si>
    <t>C2295</t>
  </si>
  <si>
    <t>COUNTRY Life Insurance Co. (SA Bifurcated, Unnamed Account, Insulated)</t>
  </si>
  <si>
    <t>BSA2295-01</t>
  </si>
  <si>
    <t>COUNTRY Life Insurance Co. (SA Company Aggregate)</t>
  </si>
  <si>
    <t>S2295</t>
  </si>
  <si>
    <t>COUNTRY Medical Plans Inc.</t>
  </si>
  <si>
    <t>C5687</t>
  </si>
  <si>
    <t>Coventry CareLink Ins. Co.</t>
  </si>
  <si>
    <t>C5820</t>
  </si>
  <si>
    <t>Crocker Life Insurance Co.</t>
  </si>
  <si>
    <t>C6078</t>
  </si>
  <si>
    <t>Crown Global Ins Co. of Am</t>
  </si>
  <si>
    <t>C8050</t>
  </si>
  <si>
    <t>Crown Global Ins Co. of Am (SA Bifurcated, Account 01, Undefined)</t>
  </si>
  <si>
    <t>BSA8050-01</t>
  </si>
  <si>
    <t>Crown Global Ins Co. of Am (SA Company Aggregate)</t>
  </si>
  <si>
    <t>S8050</t>
  </si>
  <si>
    <t>Crown Life Insurance Co.</t>
  </si>
  <si>
    <t>C3050</t>
  </si>
  <si>
    <t>Crown Life Insurance Co. (SA Company Aggregate)</t>
  </si>
  <si>
    <t>S3050</t>
  </si>
  <si>
    <t>CSI Life Insurance Co.</t>
  </si>
  <si>
    <t>C2071</t>
  </si>
  <si>
    <t>CT Life Ins &amp; Annuity Corp.</t>
  </si>
  <si>
    <t>C6571</t>
  </si>
  <si>
    <t>Cub Life Insurance Co.</t>
  </si>
  <si>
    <t>C7164</t>
  </si>
  <si>
    <t>Cumberland Life Insurance Co</t>
  </si>
  <si>
    <t>C6560</t>
  </si>
  <si>
    <t>GK4311264</t>
  </si>
  <si>
    <t>CUNA Mutual (SNL Separate Account Group)</t>
  </si>
  <si>
    <t>X4311264</t>
  </si>
  <si>
    <t>CUNA Mutual Life Insurance Co.</t>
  </si>
  <si>
    <t>C2230</t>
  </si>
  <si>
    <t>CUNA Mutual Life Insurance Co. (SA Company Aggregate)</t>
  </si>
  <si>
    <t>S2230</t>
  </si>
  <si>
    <t>GK4206348</t>
  </si>
  <si>
    <t>Dakota Capital Life Ins Co.</t>
  </si>
  <si>
    <t>C7929</t>
  </si>
  <si>
    <t>US Alliance Corp. (SNL Life Group)</t>
  </si>
  <si>
    <t>Dallas General Life Ins Co.</t>
  </si>
  <si>
    <t>C2303</t>
  </si>
  <si>
    <t>Dallas National Life Ins Co.</t>
  </si>
  <si>
    <t>C7272</t>
  </si>
  <si>
    <t>Dalos Life Insurance Co.</t>
  </si>
  <si>
    <t>C6889</t>
  </si>
  <si>
    <t>Dealers Re Life Co.</t>
  </si>
  <si>
    <t>C6444</t>
  </si>
  <si>
    <t>Dearborn Life Ins Co.</t>
  </si>
  <si>
    <t>C2397</t>
  </si>
  <si>
    <t>Dearborn Life Ins Co. (SA Company Aggregate)</t>
  </si>
  <si>
    <t>S2397</t>
  </si>
  <si>
    <t>GK15358</t>
  </si>
  <si>
    <t>Dearborn National (SNL Separate Account Group)</t>
  </si>
  <si>
    <t>X15358</t>
  </si>
  <si>
    <t>Dearborn Natl Life Ins Co (NY)</t>
  </si>
  <si>
    <t>C2659</t>
  </si>
  <si>
    <t>Dearborn Natl Life Ins Co (NY) (SA Company Aggregate)</t>
  </si>
  <si>
    <t>S2659</t>
  </si>
  <si>
    <t>Dehaven Life Insurance Co.</t>
  </si>
  <si>
    <t>C7056</t>
  </si>
  <si>
    <t>Delaware American Life Ins Co.</t>
  </si>
  <si>
    <t>C2304</t>
  </si>
  <si>
    <t>Delaware Life (SNL Life Group)</t>
  </si>
  <si>
    <t>GK4419623</t>
  </si>
  <si>
    <t>Delaware Life (SNL Separate Account Group)</t>
  </si>
  <si>
    <t>X4419623</t>
  </si>
  <si>
    <t>Delaware Life Ins Co. of NY</t>
  </si>
  <si>
    <t>C2831</t>
  </si>
  <si>
    <t>Delaware Life Ins Co. of NY (SA Bifurcated, Unnamed Account, Insulated)</t>
  </si>
  <si>
    <t>BSA2831-02</t>
  </si>
  <si>
    <t>Delaware Life Ins Co. of NY (SA Bifurcated, Unnamed Account, Non-insulated)</t>
  </si>
  <si>
    <t>BSA2831-01</t>
  </si>
  <si>
    <t>Delaware Life Ins Co. of NY (SA Company Aggregate)</t>
  </si>
  <si>
    <t>S2831</t>
  </si>
  <si>
    <t>Delaware Life Insurance Co.</t>
  </si>
  <si>
    <t>C3054</t>
  </si>
  <si>
    <t>Delaware Life Insurance Co. (SA Bifurcated, Unnamed Account, Insulated)</t>
  </si>
  <si>
    <t>BSA3054-01</t>
  </si>
  <si>
    <t>Delaware Life Insurance Co. (SA Bifurcated, Unnamed Account, Non-insulated)</t>
  </si>
  <si>
    <t>BSA3054-02</t>
  </si>
  <si>
    <t>Delaware Life Insurance Co. (SA Company Aggregate)</t>
  </si>
  <si>
    <t>S3054</t>
  </si>
  <si>
    <t>Delta Life and Annuity Co.</t>
  </si>
  <si>
    <t>C5710</t>
  </si>
  <si>
    <t>Delta Life Insurance Co.</t>
  </si>
  <si>
    <t>C2306</t>
  </si>
  <si>
    <t>Dennis Life Insurance Co.</t>
  </si>
  <si>
    <t>C5843</t>
  </si>
  <si>
    <t>Deseret Mutual Insurance Co.</t>
  </si>
  <si>
    <t>C2307</t>
  </si>
  <si>
    <t>Destiny Health Insurance Co.</t>
  </si>
  <si>
    <t>C4144</t>
  </si>
  <si>
    <t>Direct General Life Ins Co.</t>
  </si>
  <si>
    <t>C2650</t>
  </si>
  <si>
    <t>National General Holdings Corp (SNL Life Group)</t>
  </si>
  <si>
    <t>Direct National Life Ins Co.</t>
  </si>
  <si>
    <t>C7178</t>
  </si>
  <si>
    <t>Directors Life Assurance Co.</t>
  </si>
  <si>
    <t>C2308</t>
  </si>
  <si>
    <t>DL Reinsurance Co.</t>
  </si>
  <si>
    <t>C8750</t>
  </si>
  <si>
    <t>DLE Life Insurance Co.</t>
  </si>
  <si>
    <t>C2309</t>
  </si>
  <si>
    <t>DOBCO Life Insurance Co.</t>
  </si>
  <si>
    <t>C5848</t>
  </si>
  <si>
    <t>Douglas Life Insurance Co.</t>
  </si>
  <si>
    <t>C7212</t>
  </si>
  <si>
    <t>Dreyer Health Plans</t>
  </si>
  <si>
    <t>C7121</t>
  </si>
  <si>
    <t>Dun &amp; Bradstreet Life Ins Co.</t>
  </si>
  <si>
    <t>C7202</t>
  </si>
  <si>
    <t>Duo Life Insurance Co.</t>
  </si>
  <si>
    <t>C7141</t>
  </si>
  <si>
    <t>Dupage Life Insurance Co.</t>
  </si>
  <si>
    <t>C7058</t>
  </si>
  <si>
    <t>Eagle American Life Ins Co.</t>
  </si>
  <si>
    <t>C6344</t>
  </si>
  <si>
    <t>Eagle Life Insurance Co.</t>
  </si>
  <si>
    <t>C7277</t>
  </si>
  <si>
    <t>East Arkansas Gem Life Ins Co.</t>
  </si>
  <si>
    <t>C6740</t>
  </si>
  <si>
    <t>Eastern L&amp;H Insurance Co.</t>
  </si>
  <si>
    <t>C2317</t>
  </si>
  <si>
    <t>Eastern Life Insurance Co.</t>
  </si>
  <si>
    <t>C6554</t>
  </si>
  <si>
    <t>Eastwood Life Insurance Co.</t>
  </si>
  <si>
    <t>C7059</t>
  </si>
  <si>
    <t>Education&amp;Retirement Life Ins</t>
  </si>
  <si>
    <t>C7239</t>
  </si>
  <si>
    <t>Educators Insurance Co. Life</t>
  </si>
  <si>
    <t>C6572</t>
  </si>
  <si>
    <t>Educators Life (Historical)</t>
  </si>
  <si>
    <t>C2315</t>
  </si>
  <si>
    <t>Educators Life Ins Co. of Am</t>
  </si>
  <si>
    <t>C2076</t>
  </si>
  <si>
    <t>Horace Mann (SNL Life Group)</t>
  </si>
  <si>
    <t>Elar Life Insurance Co.</t>
  </si>
  <si>
    <t>C6583</t>
  </si>
  <si>
    <t>ELCO Mutual Life &amp; Annuity</t>
  </si>
  <si>
    <t>C2320</t>
  </si>
  <si>
    <t>Electric Mutual Benefit Assn.</t>
  </si>
  <si>
    <t>C5835</t>
  </si>
  <si>
    <t>Elips Life Insurance Co.</t>
  </si>
  <si>
    <t>C2592</t>
  </si>
  <si>
    <t>Swiss Re (SNL Life Group)</t>
  </si>
  <si>
    <t>EMC National Life Co.</t>
  </si>
  <si>
    <t>C2323</t>
  </si>
  <si>
    <t>EMC National Life Co. (SA Bifurcated, Unnamed Account, Non-insulated)</t>
  </si>
  <si>
    <t>BSA2323-01</t>
  </si>
  <si>
    <t>EMC National Life Co. (SA Company Aggregate)</t>
  </si>
  <si>
    <t>S2323</t>
  </si>
  <si>
    <t>Emphesys Insurance Co. (SA Company Aggregate)</t>
  </si>
  <si>
    <t>S2132</t>
  </si>
  <si>
    <t>Empire Fidelity Invts Life Ins</t>
  </si>
  <si>
    <t>C2318</t>
  </si>
  <si>
    <t>Fidelity Investments (SNL Life Group)</t>
  </si>
  <si>
    <t>Empire Fidelity Invts Life Ins (SA Bifurcated, Unnamed Account, Insulated)</t>
  </si>
  <si>
    <t>BSA2318-01</t>
  </si>
  <si>
    <t>Empire Fidelity Invts Life Ins (SA Company Aggregate)</t>
  </si>
  <si>
    <t>S2318</t>
  </si>
  <si>
    <t>Empire General Life Assr Corp.</t>
  </si>
  <si>
    <t>C2319</t>
  </si>
  <si>
    <t>Empire Life Insurance Co.</t>
  </si>
  <si>
    <t>C6687</t>
  </si>
  <si>
    <t>Employers Life Ins of Wausau</t>
  </si>
  <si>
    <t>C6907</t>
  </si>
  <si>
    <t>Nationwide (SNL Life Group)</t>
  </si>
  <si>
    <t>Employers Life Ins of Wausau (SA Company Aggregate)</t>
  </si>
  <si>
    <t>S6907</t>
  </si>
  <si>
    <t>Employers Life Insurance Corp.</t>
  </si>
  <si>
    <t>C5814</t>
  </si>
  <si>
    <t>Employers' Protective Ins Co</t>
  </si>
  <si>
    <t>C9267</t>
  </si>
  <si>
    <t>Employers Reassurance Corp.</t>
  </si>
  <si>
    <t>C2324</t>
  </si>
  <si>
    <t>General Electric Co. (SNL Life Group)</t>
  </si>
  <si>
    <t>Enterprise Life Insurance Co.</t>
  </si>
  <si>
    <t>C2325</t>
  </si>
  <si>
    <t>EPIC Life Insurance Co.</t>
  </si>
  <si>
    <t>C2326</t>
  </si>
  <si>
    <t>Equitable American Ins Co.</t>
  </si>
  <si>
    <t>C6673</t>
  </si>
  <si>
    <t>GK9170810</t>
  </si>
  <si>
    <t>Equitable Holdings (SNL Separate Account Group)</t>
  </si>
  <si>
    <t>X9170810</t>
  </si>
  <si>
    <t>Equitable Life &amp; Cas Ins Co.</t>
  </si>
  <si>
    <t>C2327</t>
  </si>
  <si>
    <t>SILAC Inc. (SNL Life Group)</t>
  </si>
  <si>
    <t>Equitable Life Ins Co. of Iowa</t>
  </si>
  <si>
    <t>C5692</t>
  </si>
  <si>
    <t>Equitable Life Ins Co. of Iowa (SA Company Aggregate)</t>
  </si>
  <si>
    <t>S5692</t>
  </si>
  <si>
    <t>Equitable National Life Ins Co</t>
  </si>
  <si>
    <t>C2131</t>
  </si>
  <si>
    <t>Equitable Variable Life Ins Co</t>
  </si>
  <si>
    <t>C7194</t>
  </si>
  <si>
    <t>Equitable Variable Life Ins Co (SA Company Aggregate)</t>
  </si>
  <si>
    <t>S7194</t>
  </si>
  <si>
    <t>EquiTrust Life Insurance Co.</t>
  </si>
  <si>
    <t>C2288</t>
  </si>
  <si>
    <t>EquiTrust Life Insurance Co. (SA Bifurcated, Account 03, Undefined)</t>
  </si>
  <si>
    <t>BSA2288-03</t>
  </si>
  <si>
    <t>EquiTrust Life Insurance Co. (SA Bifurcated, Accounts Filing 1, Insulated)</t>
  </si>
  <si>
    <t>BSA2288-01</t>
  </si>
  <si>
    <t>EquiTrust Life Insurance Co. (SA Bifurcated, Accounts Filing 2, Insulated)</t>
  </si>
  <si>
    <t>BSA2288-02</t>
  </si>
  <si>
    <t>EquiTrust Life Insurance Co. (SA Company Aggregate)</t>
  </si>
  <si>
    <t>S2288</t>
  </si>
  <si>
    <t>Erie Family Life Insurance Co.</t>
  </si>
  <si>
    <t>C3021</t>
  </si>
  <si>
    <t>Escude' Life Insurance Co.</t>
  </si>
  <si>
    <t>C5885</t>
  </si>
  <si>
    <t>Eskay Life Insurance Co.</t>
  </si>
  <si>
    <t>C7064</t>
  </si>
  <si>
    <t>Eton Life Insurance Co.</t>
  </si>
  <si>
    <t>C6567</t>
  </si>
  <si>
    <t>Evangeline Life Insurance Co.</t>
  </si>
  <si>
    <t>C2331</t>
  </si>
  <si>
    <t>Everence Insurance Co.</t>
  </si>
  <si>
    <t>C2606</t>
  </si>
  <si>
    <t>Evergreen Life Insurance Co.</t>
  </si>
  <si>
    <t>C4731</t>
  </si>
  <si>
    <t>Excalibur Insurance Corp.</t>
  </si>
  <si>
    <t>C5677</t>
  </si>
  <si>
    <t>Excess Risk Reinsurance Co.</t>
  </si>
  <si>
    <t>C5769</t>
  </si>
  <si>
    <t>Fairlane Life Insurance Co.</t>
  </si>
  <si>
    <t>C5789</t>
  </si>
  <si>
    <t>Family Benefit Life (Merged)</t>
  </si>
  <si>
    <t>C6824</t>
  </si>
  <si>
    <t>Family Benefit Life Ins Co.</t>
  </si>
  <si>
    <t>C2333</t>
  </si>
  <si>
    <t>Family Financial Life Ins Co.</t>
  </si>
  <si>
    <t>C5900</t>
  </si>
  <si>
    <t>Family Guaranty Life Insurance</t>
  </si>
  <si>
    <t>C6884</t>
  </si>
  <si>
    <t>Family Hrtg Life Ins Co. of Am</t>
  </si>
  <si>
    <t>C2334</t>
  </si>
  <si>
    <t>Family Insurance Corp.</t>
  </si>
  <si>
    <t>C5218</t>
  </si>
  <si>
    <t>Family Liberty Life Ins Co.</t>
  </si>
  <si>
    <t>C2335</t>
  </si>
  <si>
    <t>Family Life Ins Co. of America</t>
  </si>
  <si>
    <t>C5865</t>
  </si>
  <si>
    <t>Family Life Insurance Co.</t>
  </si>
  <si>
    <t>C2336</t>
  </si>
  <si>
    <t>Family Life Insurance Co. (SA Company Aggregate)</t>
  </si>
  <si>
    <t>S2336</t>
  </si>
  <si>
    <t>Family Security Life Ins Co.</t>
  </si>
  <si>
    <t>C2337</t>
  </si>
  <si>
    <t>Family Service Life Ins Co.</t>
  </si>
  <si>
    <t>C2338</t>
  </si>
  <si>
    <t>Farm Bureau Life Ins Co. of MI</t>
  </si>
  <si>
    <t>C2340</t>
  </si>
  <si>
    <t>Farm Bureau Life Ins Co. of MO</t>
  </si>
  <si>
    <t>C2341</t>
  </si>
  <si>
    <t>Missouri Farm Bureau Insurance (SNL Life Group)</t>
  </si>
  <si>
    <t>Farm Bureau Life Insurance Co.</t>
  </si>
  <si>
    <t>C2339</t>
  </si>
  <si>
    <t>Iowa Farm Bureau Federation (SNL Life Group)</t>
  </si>
  <si>
    <t>Farm Bureau Life Insurance Co. (SA Bifurcated, Unnamed Account, Insulated)</t>
  </si>
  <si>
    <t>BSA2339-01</t>
  </si>
  <si>
    <t>Farm Bureau Life Insurance Co. (SA Company Aggregate)</t>
  </si>
  <si>
    <t>S2339</t>
  </si>
  <si>
    <t>Farmers &amp; Ranchers Life Ins Co</t>
  </si>
  <si>
    <t>C6841</t>
  </si>
  <si>
    <t>Farmers &amp; Traders Life Ins Co.</t>
  </si>
  <si>
    <t>C2343</t>
  </si>
  <si>
    <t>Farmers Life Insurance Co.</t>
  </si>
  <si>
    <t>C6562</t>
  </si>
  <si>
    <t>Farmers New World Life Ins Co.</t>
  </si>
  <si>
    <t>C2344</t>
  </si>
  <si>
    <t>Farmers New World Life Ins Co. (SA Bifurcated, Unnamed Account, Insulated)</t>
  </si>
  <si>
    <t>BSA2344-01</t>
  </si>
  <si>
    <t>Farmers New World Life Ins Co. (SA Company Aggregate)</t>
  </si>
  <si>
    <t>S2344</t>
  </si>
  <si>
    <t>FB Annuity Co.</t>
  </si>
  <si>
    <t>C7246</t>
  </si>
  <si>
    <t>Federal Home Life Ins Co.</t>
  </si>
  <si>
    <t>C2345</t>
  </si>
  <si>
    <t>Federal Life Insurance Co.</t>
  </si>
  <si>
    <t>C2347</t>
  </si>
  <si>
    <t>Federal Life Insurance Co. (SA Bifurcated, Unnamed Account, Insulated)</t>
  </si>
  <si>
    <t>BSA2347-01</t>
  </si>
  <si>
    <t>Federal Life Insurance Co. (SA Company Aggregate)</t>
  </si>
  <si>
    <t>S2347</t>
  </si>
  <si>
    <t>Federated Life Insurance Co.</t>
  </si>
  <si>
    <t>C2348</t>
  </si>
  <si>
    <t>Federated Life Insurance Co. (SA Company Aggregate)</t>
  </si>
  <si>
    <t>S2348</t>
  </si>
  <si>
    <t>FFRL Re Corp.</t>
  </si>
  <si>
    <t>C5122</t>
  </si>
  <si>
    <t>Fidelity &amp; Grty Life Ins (IA)</t>
  </si>
  <si>
    <t>C2350</t>
  </si>
  <si>
    <t>Fidelity &amp; Grty Life Ins (IA) (SA Bifurcated, Unnamed Account, Non-insulated)</t>
  </si>
  <si>
    <t>BSA2350-01</t>
  </si>
  <si>
    <t>Fidelity &amp; Grty Life Ins (IA) (SA Company Aggregate)</t>
  </si>
  <si>
    <t>S2350</t>
  </si>
  <si>
    <t>Fidelity &amp; Grty Life Ins (NY)</t>
  </si>
  <si>
    <t>C2851</t>
  </si>
  <si>
    <t>GK4172561</t>
  </si>
  <si>
    <t>Fidelity Federal Life Ins Co.</t>
  </si>
  <si>
    <t>C6702</t>
  </si>
  <si>
    <t>GK3000896</t>
  </si>
  <si>
    <t>Fidelity Investments (SNL Separate Account Group)</t>
  </si>
  <si>
    <t>X3000896</t>
  </si>
  <si>
    <t>Fidelity Invts Life Ins Co.</t>
  </si>
  <si>
    <t>C2351</t>
  </si>
  <si>
    <t>Fidelity Invts Life Ins Co. (SA Bifurcated, Unnamed Account, Insulated)</t>
  </si>
  <si>
    <t>BSA2351-01</t>
  </si>
  <si>
    <t>Fidelity Invts Life Ins Co. (SA Company Aggregate)</t>
  </si>
  <si>
    <t>S2351</t>
  </si>
  <si>
    <t>Fidelity Life Assn. A Legal</t>
  </si>
  <si>
    <t>C2352</t>
  </si>
  <si>
    <t>Fidelity Mutual Life Ins Co.</t>
  </si>
  <si>
    <t>C6152</t>
  </si>
  <si>
    <t>Fidelity Sec Life Ins Co of NY</t>
  </si>
  <si>
    <t>C2671</t>
  </si>
  <si>
    <t>Fidelity Security Life (SNL Life Group)</t>
  </si>
  <si>
    <t>GK15103</t>
  </si>
  <si>
    <t>Fidelity Security Life Ins Co.</t>
  </si>
  <si>
    <t>C2354</t>
  </si>
  <si>
    <t>Fidelity Security Life Ins Co. (SA Bifurcated, Unnamed Account, Undefined)</t>
  </si>
  <si>
    <t>BSA2354-01</t>
  </si>
  <si>
    <t>Fidelity Security Life Ins Co. (SA Company Aggregate)</t>
  </si>
  <si>
    <t>S2354</t>
  </si>
  <si>
    <t>Fidelity Standard Life Ins Co.</t>
  </si>
  <si>
    <t>C2355</t>
  </si>
  <si>
    <t>Fidelity Std Life Ins Co. (TX)</t>
  </si>
  <si>
    <t>C2810</t>
  </si>
  <si>
    <t>Fields Crest Life Insurance Co</t>
  </si>
  <si>
    <t>C7176</t>
  </si>
  <si>
    <t>Financial Amer Life Ins Co.</t>
  </si>
  <si>
    <t>C2394</t>
  </si>
  <si>
    <t>Financial Benefit Life Ins Co.</t>
  </si>
  <si>
    <t>C5109</t>
  </si>
  <si>
    <t>Financial Coop Life Ins Co.</t>
  </si>
  <si>
    <t>C5787</t>
  </si>
  <si>
    <t>Financial Life Ins Co. of GA</t>
  </si>
  <si>
    <t>C2358</t>
  </si>
  <si>
    <t>Financial Security Life Ins Co</t>
  </si>
  <si>
    <t>C7088</t>
  </si>
  <si>
    <t>Financial Security Life of LA</t>
  </si>
  <si>
    <t>C7254</t>
  </si>
  <si>
    <t>Finl Amer Life Ins Co (Old)</t>
  </si>
  <si>
    <t>C6893</t>
  </si>
  <si>
    <t>First Adam Life Insurance Co.</t>
  </si>
  <si>
    <t>C7241</t>
  </si>
  <si>
    <t>First Alexander Hamilton Life</t>
  </si>
  <si>
    <t>C6719</t>
  </si>
  <si>
    <t>First Alliance Insurance Co.</t>
  </si>
  <si>
    <t>C5704</t>
  </si>
  <si>
    <t>First Allmerica Finl Life Ins</t>
  </si>
  <si>
    <t>C2360</t>
  </si>
  <si>
    <t>First Allmerica Finl Life Ins (SA Bifurcated, Unnamed Account, Insulated)</t>
  </si>
  <si>
    <t>BSA2360-01</t>
  </si>
  <si>
    <t>First Allmerica Finl Life Ins (SA Company Aggregate)</t>
  </si>
  <si>
    <t>S2360</t>
  </si>
  <si>
    <t>First Amer Life Ins Co. (Old)</t>
  </si>
  <si>
    <t>C5880</t>
  </si>
  <si>
    <t>First American Life Ins Co.</t>
  </si>
  <si>
    <t>C2361</t>
  </si>
  <si>
    <t>First Assurance Life of Am</t>
  </si>
  <si>
    <t>C2363</t>
  </si>
  <si>
    <t>Louisiana Dealer Svcs Ins Inc. (SNL Life Group)</t>
  </si>
  <si>
    <t>First AUSA Life Insurance Co.</t>
  </si>
  <si>
    <t>C5795</t>
  </si>
  <si>
    <t>First Benefit Insurance Co.</t>
  </si>
  <si>
    <t>C7069</t>
  </si>
  <si>
    <t>First Berkshire Hathaway Life</t>
  </si>
  <si>
    <t>C4190</t>
  </si>
  <si>
    <t>First Cap Life Ins Co. of LA</t>
  </si>
  <si>
    <t>C7146</t>
  </si>
  <si>
    <t>First Carthage Life Ins Co.</t>
  </si>
  <si>
    <t>C6555</t>
  </si>
  <si>
    <t>First Citicorp Life Ins Co.</t>
  </si>
  <si>
    <t>C5896</t>
  </si>
  <si>
    <t>First Citicorp Life Ins Co. (SA Company Aggregate)</t>
  </si>
  <si>
    <t>S5896</t>
  </si>
  <si>
    <t>First Citizens Life Ins Co.</t>
  </si>
  <si>
    <t>C6575</t>
  </si>
  <si>
    <t>First City Life Ins Co. (AZ)</t>
  </si>
  <si>
    <t>C5834</t>
  </si>
  <si>
    <t>First City Life Ins Co. (TX)</t>
  </si>
  <si>
    <t>C6720</t>
  </si>
  <si>
    <t>First Cntl Life &amp; Accdt Ins Co</t>
  </si>
  <si>
    <t>C2367</t>
  </si>
  <si>
    <t>First Colony Life Insurance Co</t>
  </si>
  <si>
    <t>C2366</t>
  </si>
  <si>
    <t>First Columbine Life Ins Co.</t>
  </si>
  <si>
    <t>C5753</t>
  </si>
  <si>
    <t>First Command Life Ins Co.</t>
  </si>
  <si>
    <t>C2178</t>
  </si>
  <si>
    <t>First Commonwealth Re Co.</t>
  </si>
  <si>
    <t>C4748</t>
  </si>
  <si>
    <t>First Community Life Ins Co.</t>
  </si>
  <si>
    <t>C6582</t>
  </si>
  <si>
    <t>First Consumers Life Ins Co.</t>
  </si>
  <si>
    <t>C6826</t>
  </si>
  <si>
    <t>First Dallas Life Insurance Co</t>
  </si>
  <si>
    <t>C6790</t>
  </si>
  <si>
    <t>First Delaware Life Ins Co.</t>
  </si>
  <si>
    <t>C7252</t>
  </si>
  <si>
    <t>First Deposit Life Ins Co.</t>
  </si>
  <si>
    <t>C2369</t>
  </si>
  <si>
    <t>First Dimension Life Ins Co.</t>
  </si>
  <si>
    <t>C2370</t>
  </si>
  <si>
    <t>First Dominion Mutl Life Ins</t>
  </si>
  <si>
    <t>C2371</t>
  </si>
  <si>
    <t>First Founders Life Ins Co.</t>
  </si>
  <si>
    <t>C6869</t>
  </si>
  <si>
    <t>First Golden Amer Life Ins Co.</t>
  </si>
  <si>
    <t>C5695</t>
  </si>
  <si>
    <t>First Golden Amer Life Ins Co. (SA Company Aggregate)</t>
  </si>
  <si>
    <t>S5695</t>
  </si>
  <si>
    <t>First Great-West (Merged)</t>
  </si>
  <si>
    <t>C5685</t>
  </si>
  <si>
    <t>First Great-West (Merged) (SA Company Aggregate)</t>
  </si>
  <si>
    <t>S5685</t>
  </si>
  <si>
    <t>First Guaranty Insurance Co.</t>
  </si>
  <si>
    <t>C2446</t>
  </si>
  <si>
    <t>Security National Financial (SNL Life Group)</t>
  </si>
  <si>
    <t>First Health L&amp;H Insurance Co.</t>
  </si>
  <si>
    <t>C2554</t>
  </si>
  <si>
    <t>First Interstate Insurance Co.</t>
  </si>
  <si>
    <t>C6721</t>
  </si>
  <si>
    <t>First Landmark Life Ins Co.</t>
  </si>
  <si>
    <t>C2378</t>
  </si>
  <si>
    <t>First M &amp; F Insurance Co.</t>
  </si>
  <si>
    <t>C2379</t>
  </si>
  <si>
    <t>First Michigan Life Ins Co.</t>
  </si>
  <si>
    <t>C7248</t>
  </si>
  <si>
    <t>First National Life Ins Co.</t>
  </si>
  <si>
    <t>C2381</t>
  </si>
  <si>
    <t>First Natl Indem Life Ins Co.</t>
  </si>
  <si>
    <t>C2380</t>
  </si>
  <si>
    <t>First Natl Life (Historical)</t>
  </si>
  <si>
    <t>C7091</t>
  </si>
  <si>
    <t>First Natl Life Ins Co. of Am</t>
  </si>
  <si>
    <t>C6843</t>
  </si>
  <si>
    <t>First Oklahoma Life Ins Co.</t>
  </si>
  <si>
    <t>C6854</t>
  </si>
  <si>
    <t>First Penn-Pacific Life Ins Co</t>
  </si>
  <si>
    <t>C2383</t>
  </si>
  <si>
    <t>First Providian L&amp;H  Ins Co.</t>
  </si>
  <si>
    <t>C7171</t>
  </si>
  <si>
    <t>First Providian L&amp;H  Ins Co. (SA Company Aggregate)</t>
  </si>
  <si>
    <t>S7171</t>
  </si>
  <si>
    <t>First Reliance Std Life Ins Co</t>
  </si>
  <si>
    <t>C2385</t>
  </si>
  <si>
    <t>Reliance Standard (SNL Life Group)</t>
  </si>
  <si>
    <t>First Sec Benefit Life Ins</t>
  </si>
  <si>
    <t>C2387</t>
  </si>
  <si>
    <t>Security Benefit (SNL Life Group)</t>
  </si>
  <si>
    <t>First Sec Benefit Life Ins (SA Bifurcated, Unnamed Account, Insulated)</t>
  </si>
  <si>
    <t>BSA2387-01</t>
  </si>
  <si>
    <t>First Sec Benefit Life Ins (SA Company Aggregate)</t>
  </si>
  <si>
    <t>S2387</t>
  </si>
  <si>
    <t>First Security Life Ins Co. AZ</t>
  </si>
  <si>
    <t>C6228</t>
  </si>
  <si>
    <t>First SunAmerica Life Ins Co.</t>
  </si>
  <si>
    <t>C2389</t>
  </si>
  <si>
    <t>First SunAmerica Life Ins Co. (SA Company Aggregate)</t>
  </si>
  <si>
    <t>S2389</t>
  </si>
  <si>
    <t>First Symetra Natl Life Ins Co</t>
  </si>
  <si>
    <t>C2386</t>
  </si>
  <si>
    <t>First Symetra Natl Life Ins Co (SA Bifurcated, Unnamed Account, Insulated)</t>
  </si>
  <si>
    <t>BSA2386-01</t>
  </si>
  <si>
    <t>First Symetra Natl Life Ins Co (SA Company Aggregate)</t>
  </si>
  <si>
    <t>S2386</t>
  </si>
  <si>
    <t>GK4182358</t>
  </si>
  <si>
    <t>First Unum Life Insurance Co.</t>
  </si>
  <si>
    <t>C2391</t>
  </si>
  <si>
    <t>First Unum Life Insurance Co. (SA Bifurcated, Unnamed Account, Insulated)</t>
  </si>
  <si>
    <t>BSA2391-01</t>
  </si>
  <si>
    <t>First Unum Life Insurance Co. (SA Company Aggregate)</t>
  </si>
  <si>
    <t>S2391</t>
  </si>
  <si>
    <t>First Variable Life Ins Co.</t>
  </si>
  <si>
    <t>C5867</t>
  </si>
  <si>
    <t>First Variable Life Ins Co. (SA Company Aggregate)</t>
  </si>
  <si>
    <t>S5867</t>
  </si>
  <si>
    <t>First Virginia Life Ins Co.</t>
  </si>
  <si>
    <t>C2392</t>
  </si>
  <si>
    <t>First Wyoming Life Ins Co.</t>
  </si>
  <si>
    <t>C7751</t>
  </si>
  <si>
    <t>Fleet Life Insurance Co.</t>
  </si>
  <si>
    <t>C4206</t>
  </si>
  <si>
    <t>Florida Combined Life Ins Co.</t>
  </si>
  <si>
    <t>C2393</t>
  </si>
  <si>
    <t>Foothills Life Insurance Co.</t>
  </si>
  <si>
    <t>C6782</t>
  </si>
  <si>
    <t>For Life Insurance Co.</t>
  </si>
  <si>
    <t>C6806</t>
  </si>
  <si>
    <t>Forest Investors Life &amp; Health</t>
  </si>
  <si>
    <t>C7066</t>
  </si>
  <si>
    <t>Foresters Life Ins &amp; Annty Co.</t>
  </si>
  <si>
    <t>C2377</t>
  </si>
  <si>
    <t>Foresters Life Ins &amp; Annty Co. (SA Bifurcated, Unnamed Account, Insulated)</t>
  </si>
  <si>
    <t>BSA2377-01</t>
  </si>
  <si>
    <t>Foresters Life Ins &amp; Annty Co. (SA Company Aggregate)</t>
  </si>
  <si>
    <t>S2377</t>
  </si>
  <si>
    <t>Forethought Life Assurance Co.</t>
  </si>
  <si>
    <t>C2236</t>
  </si>
  <si>
    <t>Forethought Life Insurance Co.</t>
  </si>
  <si>
    <t>C2396</t>
  </si>
  <si>
    <t>Forethought Life Insurance Co. (SA Bifurcated, Account 01, Undefined)</t>
  </si>
  <si>
    <t>BSA2396-01</t>
  </si>
  <si>
    <t>Forethought Life Insurance Co. (SA Company Aggregate)</t>
  </si>
  <si>
    <t>S2396</t>
  </si>
  <si>
    <t>Forethought Natl Life Ins Co.</t>
  </si>
  <si>
    <t>C2111</t>
  </si>
  <si>
    <t>Fortune Life Insurance Co.</t>
  </si>
  <si>
    <t>C5810</t>
  </si>
  <si>
    <t>Foundation Hlth Natl Life Ins</t>
  </si>
  <si>
    <t>C6860</t>
  </si>
  <si>
    <t>Foundation Life Ins Co. of AR</t>
  </si>
  <si>
    <t>C2399</t>
  </si>
  <si>
    <t>Foundation Life Ins Co. of OK</t>
  </si>
  <si>
    <t>C7266</t>
  </si>
  <si>
    <t>Foundation Life Insurance Co.</t>
  </si>
  <si>
    <t>C2947</t>
  </si>
  <si>
    <t>Frandisco Life Insurance Co.</t>
  </si>
  <si>
    <t>C2400</t>
  </si>
  <si>
    <t>Franklin American Life Ins Co.</t>
  </si>
  <si>
    <t>C6899</t>
  </si>
  <si>
    <t>Franklin Life Insurance Co.</t>
  </si>
  <si>
    <t>C5690</t>
  </si>
  <si>
    <t>Franklin Life Insurance Co. (SA Company Aggregate)</t>
  </si>
  <si>
    <t>S5690</t>
  </si>
  <si>
    <t>Franklin Protective Svc Life</t>
  </si>
  <si>
    <t>C6739</t>
  </si>
  <si>
    <t>Freedom Life Ins Co of America</t>
  </si>
  <si>
    <t>C2401</t>
  </si>
  <si>
    <t>Fremont Life Insurance Co.</t>
  </si>
  <si>
    <t>C2403</t>
  </si>
  <si>
    <t>Fringe Benefit Life Ins Co.</t>
  </si>
  <si>
    <t>C2404</t>
  </si>
  <si>
    <t>Frontier Life Insurance Co.</t>
  </si>
  <si>
    <t>C5862</t>
  </si>
  <si>
    <t>GPM Life (SNL Life Group)</t>
  </si>
  <si>
    <t>Frontier National Life Ins Co.</t>
  </si>
  <si>
    <t>C6100</t>
  </si>
  <si>
    <t>Funeral Directors Life (SNL Life Group)</t>
  </si>
  <si>
    <t>GK4048783</t>
  </si>
  <si>
    <t>Funeral Directors Life Ins Co</t>
  </si>
  <si>
    <t>C9375</t>
  </si>
  <si>
    <t>Funeral Directors Life Ins Co.</t>
  </si>
  <si>
    <t>C2405</t>
  </si>
  <si>
    <t>Futural Life Co.</t>
  </si>
  <si>
    <t>C2406</t>
  </si>
  <si>
    <t>Garden State Life Insurance Co</t>
  </si>
  <si>
    <t>C2408</t>
  </si>
  <si>
    <t>Gem Insurance Co.</t>
  </si>
  <si>
    <t>C5952</t>
  </si>
  <si>
    <t>Gem Life Insurance Co.</t>
  </si>
  <si>
    <t>C7182</t>
  </si>
  <si>
    <t>General American Life Ins Co.</t>
  </si>
  <si>
    <t>C3042</t>
  </si>
  <si>
    <t>General American Life Ins Co. (SA Bifurcated, Unnamed Account, Insulated)</t>
  </si>
  <si>
    <t>BSA3042-01</t>
  </si>
  <si>
    <t>General American Life Ins Co. (SA Company Aggregate)</t>
  </si>
  <si>
    <t>S3042</t>
  </si>
  <si>
    <t>GK114527</t>
  </si>
  <si>
    <t>General Fidelity Life Ins Co.</t>
  </si>
  <si>
    <t>C2412</t>
  </si>
  <si>
    <t>General Life Ins Co. of Am</t>
  </si>
  <si>
    <t>C5723</t>
  </si>
  <si>
    <t>General Life Insurance Co.</t>
  </si>
  <si>
    <t>C5837</t>
  </si>
  <si>
    <t>General Re Life Corp.</t>
  </si>
  <si>
    <t>C2251</t>
  </si>
  <si>
    <t>Geneva Life Insurance Co.</t>
  </si>
  <si>
    <t>C2413</t>
  </si>
  <si>
    <t>Geneve Holdings Inc. (SNL Life Group)</t>
  </si>
  <si>
    <t>GK4005426</t>
  </si>
  <si>
    <t>GK4091160</t>
  </si>
  <si>
    <t>Genworth (SNL Separate Account Group)</t>
  </si>
  <si>
    <t>X4091160</t>
  </si>
  <si>
    <t>Genworth Insurance Co.</t>
  </si>
  <si>
    <t>C2503</t>
  </si>
  <si>
    <t>Genworth Life &amp; Annuity Ins Co</t>
  </si>
  <si>
    <t>C2537</t>
  </si>
  <si>
    <t>Genworth Life &amp; Annuity Ins Co (SA Bifurcated, Unnamed Account, Undefined)</t>
  </si>
  <si>
    <t>BSA2537-01</t>
  </si>
  <si>
    <t>Genworth Life &amp; Annuity Ins Co (SA Company Aggregate)</t>
  </si>
  <si>
    <t>S2537</t>
  </si>
  <si>
    <t>Genworth Life Ins Co. of NY</t>
  </si>
  <si>
    <t>C2409</t>
  </si>
  <si>
    <t>Genworth Life Ins Co. of NY (SA Bifurcated, Unnamed Account, Undefined)</t>
  </si>
  <si>
    <t>BSA2409-01</t>
  </si>
  <si>
    <t>Genworth Life Ins Co. of NY (SA Company Aggregate)</t>
  </si>
  <si>
    <t>S2409</t>
  </si>
  <si>
    <t>Genworth Life Insurance Co.</t>
  </si>
  <si>
    <t>C2411</t>
  </si>
  <si>
    <t>Genworth Life Insurance Co. (SA Bifurcated, Unnamed Account, Undefined)</t>
  </si>
  <si>
    <t>BSA2411-01</t>
  </si>
  <si>
    <t>Genworth Life Insurance Co. (SA Company Aggregate)</t>
  </si>
  <si>
    <t>S2411</t>
  </si>
  <si>
    <t>Georgia Intl Life Ins Co.</t>
  </si>
  <si>
    <t>C7093</t>
  </si>
  <si>
    <t>Georgia Peoples Life Ins Co.</t>
  </si>
  <si>
    <t>C6718</t>
  </si>
  <si>
    <t>Gerber Life Insurance Co.</t>
  </si>
  <si>
    <t>C2414</t>
  </si>
  <si>
    <t>Germania Life Insurance Co.</t>
  </si>
  <si>
    <t>C2415</t>
  </si>
  <si>
    <t>Gertrude Geddes Willis Life</t>
  </si>
  <si>
    <t>C5813</t>
  </si>
  <si>
    <t>Gipson Life Insurance Co.</t>
  </si>
  <si>
    <t>C7201</t>
  </si>
  <si>
    <t>Glenbrook Life &amp; Annuity Co.</t>
  </si>
  <si>
    <t>C5781</t>
  </si>
  <si>
    <t>Glenbrook Life &amp; Annuity Co. (SA Company Aggregate)</t>
  </si>
  <si>
    <t>S5781</t>
  </si>
  <si>
    <t>GK4388011</t>
  </si>
  <si>
    <t>Global Atlantic (SNL Separate Account Group)</t>
  </si>
  <si>
    <t>X4388011</t>
  </si>
  <si>
    <t>Globe Life &amp; Accident Ins Co.</t>
  </si>
  <si>
    <t>C2418</t>
  </si>
  <si>
    <t>GK103323</t>
  </si>
  <si>
    <t>Globe Life Insurance Co. of NY</t>
  </si>
  <si>
    <t>C2390</t>
  </si>
  <si>
    <t>GMHP Health Insurance Ltd.</t>
  </si>
  <si>
    <t>C2419</t>
  </si>
  <si>
    <t>GU</t>
  </si>
  <si>
    <t>Gold Reserve Life Insurance Co</t>
  </si>
  <si>
    <t>C6738</t>
  </si>
  <si>
    <t>Golden Circle Life Ins Co.</t>
  </si>
  <si>
    <t>C5779</t>
  </si>
  <si>
    <t>Golden Gate Captive Ins Co.</t>
  </si>
  <si>
    <t>C5085</t>
  </si>
  <si>
    <t>Golden Gate II Captive Ins Co.</t>
  </si>
  <si>
    <t>C6151</t>
  </si>
  <si>
    <t>Golden Rule Insurance Co.</t>
  </si>
  <si>
    <t>C2421</t>
  </si>
  <si>
    <t>Golden State Mutl Life Ins Co.</t>
  </si>
  <si>
    <t>C2423</t>
  </si>
  <si>
    <t>Good Samaritan Life Insurance</t>
  </si>
  <si>
    <t>C5838</t>
  </si>
  <si>
    <t>GPM Health &amp; Life Ins Co.</t>
  </si>
  <si>
    <t>C2656</t>
  </si>
  <si>
    <t>GK15287</t>
  </si>
  <si>
    <t>Grand Pacific Life Ins Ltd.</t>
  </si>
  <si>
    <t>C5703</t>
  </si>
  <si>
    <t>Grand River Life Insurance Co.</t>
  </si>
  <si>
    <t>C6906</t>
  </si>
  <si>
    <t>Grange Life Insurance Co.</t>
  </si>
  <si>
    <t>C2425</t>
  </si>
  <si>
    <t>Kansas City Life Insurance Co. (SNL Life Group)</t>
  </si>
  <si>
    <t>Grant Life Insurance Co.</t>
  </si>
  <si>
    <t>C5972</t>
  </si>
  <si>
    <t>GK103424</t>
  </si>
  <si>
    <t>Great American Life Ins (OH)</t>
  </si>
  <si>
    <t>C2427</t>
  </si>
  <si>
    <t>Great American Life Ins (OH) (SA Bifurcated, Account 01, Undefined)</t>
  </si>
  <si>
    <t>BSA2427-01</t>
  </si>
  <si>
    <t>Great American Life Ins (OH) (SA Company Aggregate)</t>
  </si>
  <si>
    <t>S2427</t>
  </si>
  <si>
    <t>Great Atlantic Life Ins Co.</t>
  </si>
  <si>
    <t>C2429</t>
  </si>
  <si>
    <t>Great Fidelity Life Ins Co.</t>
  </si>
  <si>
    <t>C2431</t>
  </si>
  <si>
    <t>Great Florida Life Ins Co.</t>
  </si>
  <si>
    <t>C6088</t>
  </si>
  <si>
    <t>Great Midwest Life Ins Co.</t>
  </si>
  <si>
    <t>C5844</t>
  </si>
  <si>
    <t>Great Northern Insured Annuity</t>
  </si>
  <si>
    <t>C6748</t>
  </si>
  <si>
    <t>Great Northern Insured Annuity (SA Company Aggregate)</t>
  </si>
  <si>
    <t>S6748</t>
  </si>
  <si>
    <t>Great Plains Life Assurance Co</t>
  </si>
  <si>
    <t>C7565</t>
  </si>
  <si>
    <t>Great Repub Life Ins Co.</t>
  </si>
  <si>
    <t>C2434</t>
  </si>
  <si>
    <t>Great Southeastern Life Ins Co</t>
  </si>
  <si>
    <t>C5847</t>
  </si>
  <si>
    <t>Great Southern Life Ins Co.</t>
  </si>
  <si>
    <t>C2435</t>
  </si>
  <si>
    <t>Great Western Insurance Co.</t>
  </si>
  <si>
    <t>C2436</t>
  </si>
  <si>
    <t>Greater Georgia Life Ins Co.</t>
  </si>
  <si>
    <t>C2439</t>
  </si>
  <si>
    <t>Greater Ins Svc Co. for L&amp;H</t>
  </si>
  <si>
    <t>C7219</t>
  </si>
  <si>
    <t>GK4047462</t>
  </si>
  <si>
    <t>Great-West (SNL Separate Account Group)</t>
  </si>
  <si>
    <t>X4047462</t>
  </si>
  <si>
    <t>Great-West Life &amp; Annty (NY)</t>
  </si>
  <si>
    <t>C2206</t>
  </si>
  <si>
    <t>Great-West Life &amp; Annty (NY) (SA Bifurcated, Unnamed Account, Insulated)</t>
  </si>
  <si>
    <t>BSA2206-01</t>
  </si>
  <si>
    <t>Great-West Life &amp; Annty (NY) (SA Company Aggregate)</t>
  </si>
  <si>
    <t>S2206</t>
  </si>
  <si>
    <t>Great-West Life &amp; Annty Ins Co</t>
  </si>
  <si>
    <t>C2438</t>
  </si>
  <si>
    <t>Great-West Life &amp; Annty Ins Co (SA Bifurcated, Unnamed Account, Insulated)</t>
  </si>
  <si>
    <t>BSA2438-01</t>
  </si>
  <si>
    <t>Great-West Life &amp; Annty Ins Co (SA Bifurcated, Unnamed Account, Non-insulated)</t>
  </si>
  <si>
    <t>BSA2438-02</t>
  </si>
  <si>
    <t>Great-West Life &amp; Annty Ins Co (SA Company Aggregate)</t>
  </si>
  <si>
    <t>S2438</t>
  </si>
  <si>
    <t>Great-West Life Assr Co. (US)</t>
  </si>
  <si>
    <t>C4662</t>
  </si>
  <si>
    <t>Greenfields Life Insurance Co.</t>
  </si>
  <si>
    <t>C8049</t>
  </si>
  <si>
    <t>Greenhouse Life Insurance Co.</t>
  </si>
  <si>
    <t>C2062</t>
  </si>
  <si>
    <t>Gregg Insurance Co.</t>
  </si>
  <si>
    <t>C2440</t>
  </si>
  <si>
    <t>Griffin Leggett Burial Ins Co.</t>
  </si>
  <si>
    <t>C2441</t>
  </si>
  <si>
    <t>Grinnell Life Insurance Co.</t>
  </si>
  <si>
    <t>C7094</t>
  </si>
  <si>
    <t>Grosvenor Life Insurance Co.</t>
  </si>
  <si>
    <t>C6586</t>
  </si>
  <si>
    <t>Group Life &amp; Health Ins Co.</t>
  </si>
  <si>
    <t>C6845</t>
  </si>
  <si>
    <t>Guarantee Life Insurance Co.</t>
  </si>
  <si>
    <t>C6688</t>
  </si>
  <si>
    <t>Guarantee Protective Life Co.</t>
  </si>
  <si>
    <t>C6887</t>
  </si>
  <si>
    <t>Guarantee Reserve Life Ins Co.</t>
  </si>
  <si>
    <t>C5708</t>
  </si>
  <si>
    <t>Guarantee Trust Life Ins Co.</t>
  </si>
  <si>
    <t>C2443</t>
  </si>
  <si>
    <t>Guaranty Income Life Ins Co.</t>
  </si>
  <si>
    <t>C2445</t>
  </si>
  <si>
    <t>KUVARE (SNL Life Group)</t>
  </si>
  <si>
    <t>Guaranty Insurance &amp; Annuities</t>
  </si>
  <si>
    <t>C6729</t>
  </si>
  <si>
    <t>Guaranty National Life Ins Co.</t>
  </si>
  <si>
    <t>C6863</t>
  </si>
  <si>
    <t>Guaranty Reassurance Corp.</t>
  </si>
  <si>
    <t>C5756</t>
  </si>
  <si>
    <t>GK15333</t>
  </si>
  <si>
    <t>Guardian (SNL Separate Account Group)</t>
  </si>
  <si>
    <t>X15333</t>
  </si>
  <si>
    <t>Guardian Ins &amp; Annty Co.</t>
  </si>
  <si>
    <t>C2447</t>
  </si>
  <si>
    <t>Guardian Ins &amp; Annty Co. (SA Bifurcated, Unnamed Account, Insulated)</t>
  </si>
  <si>
    <t>BSA2447-01</t>
  </si>
  <si>
    <t>Guardian Ins &amp; Annty Co. (SA Company Aggregate)</t>
  </si>
  <si>
    <t>S2447</t>
  </si>
  <si>
    <t>Guardian Life Ins Co. of Am</t>
  </si>
  <si>
    <t>C2448</t>
  </si>
  <si>
    <t>Guardian Security Life Ins Co.</t>
  </si>
  <si>
    <t>C7264</t>
  </si>
  <si>
    <t>GK4108885</t>
  </si>
  <si>
    <t>Guggenheim Life &amp; Annuity Co.</t>
  </si>
  <si>
    <t>C2271</t>
  </si>
  <si>
    <t>Guggenheim Life &amp; Annuity Co. (SA Bifurcated, Unnamed Account, Insulated)</t>
  </si>
  <si>
    <t>BSA2271-01</t>
  </si>
  <si>
    <t>Guggenheim Life &amp; Annuity Co. (SA Company Aggregate)</t>
  </si>
  <si>
    <t>S2271</t>
  </si>
  <si>
    <t>GuideOne America Life Ins Co.</t>
  </si>
  <si>
    <t>C5912</t>
  </si>
  <si>
    <t>GuideOne Life Insurance Co.</t>
  </si>
  <si>
    <t>C5752</t>
  </si>
  <si>
    <t>Gulf Atlantic Life Ins Co.</t>
  </si>
  <si>
    <t>C7095</t>
  </si>
  <si>
    <t>Gulf Guaranty Life Ins Co.</t>
  </si>
  <si>
    <t>C2449</t>
  </si>
  <si>
    <t>Gulf National Life Ins. Co.</t>
  </si>
  <si>
    <t>C5669</t>
  </si>
  <si>
    <t>Gulf States Life Insurance Co.</t>
  </si>
  <si>
    <t>C2450</t>
  </si>
  <si>
    <t>Gulfco Life Insurance Co.</t>
  </si>
  <si>
    <t>C2451</t>
  </si>
  <si>
    <t>Gvt Personnel Mutl Life Ins Co</t>
  </si>
  <si>
    <t>C2424</t>
  </si>
  <si>
    <t>Hannover Life Reassurance Co.</t>
  </si>
  <si>
    <t>C2749</t>
  </si>
  <si>
    <t>Hardin County Life Ins Co.</t>
  </si>
  <si>
    <t>C6563</t>
  </si>
  <si>
    <t>Harleysville Life Insurance Co</t>
  </si>
  <si>
    <t>C2453</t>
  </si>
  <si>
    <t>Harris Methodist Health Ins Co</t>
  </si>
  <si>
    <t>C5216</t>
  </si>
  <si>
    <t>Harrison Life Insurance Co.</t>
  </si>
  <si>
    <t>C6106</t>
  </si>
  <si>
    <t>Hartford Life &amp; Accdt Ins Co.</t>
  </si>
  <si>
    <t>C2454</t>
  </si>
  <si>
    <t>Hartford Life &amp; Accdt Ins Co. (SA Company Aggregate)</t>
  </si>
  <si>
    <t>S2454</t>
  </si>
  <si>
    <t>Hartford Life Group Ins Co</t>
  </si>
  <si>
    <t>C5249</t>
  </si>
  <si>
    <t>Hartford Life Group Ins. Co.</t>
  </si>
  <si>
    <t>C5809</t>
  </si>
  <si>
    <t>Harvest Life Insurance Co.</t>
  </si>
  <si>
    <t>C6846</t>
  </si>
  <si>
    <t>Harvey Life Insurance Co.</t>
  </si>
  <si>
    <t>C6795</t>
  </si>
  <si>
    <t>Hawkeye Life Insurance Grp Inc</t>
  </si>
  <si>
    <t>C2456</t>
  </si>
  <si>
    <t>Hawthorn Life Insurance Co (SNL Life Group)</t>
  </si>
  <si>
    <t>GK15355</t>
  </si>
  <si>
    <t>Hawthorn Life Insurance Co.</t>
  </si>
  <si>
    <t>C2457</t>
  </si>
  <si>
    <t>Haymarket Insurance Co.</t>
  </si>
  <si>
    <t>C8845</t>
  </si>
  <si>
    <t>HCC Life Insurance Co.</t>
  </si>
  <si>
    <t>C2776</t>
  </si>
  <si>
    <t>Health Ins Corp. of Alabama</t>
  </si>
  <si>
    <t>C5073</t>
  </si>
  <si>
    <t>Health Insurance Exchange</t>
  </si>
  <si>
    <t>C5675</t>
  </si>
  <si>
    <t>Health Net Life Ins Co. (Old)</t>
  </si>
  <si>
    <t>C5746</t>
  </si>
  <si>
    <t>Health Net Life Insurance Co.</t>
  </si>
  <si>
    <t>C2747</t>
  </si>
  <si>
    <t>Heartland National Life Ins Co</t>
  </si>
  <si>
    <t>C2310</t>
  </si>
  <si>
    <t>Hemisphere Life Insurance Co.</t>
  </si>
  <si>
    <t>C6904</t>
  </si>
  <si>
    <t>Heritage Life Insurance Co.</t>
  </si>
  <si>
    <t>C2464</t>
  </si>
  <si>
    <t>Heritage Union Life (AZ)</t>
  </si>
  <si>
    <t>C6277</t>
  </si>
  <si>
    <t>Wilton Re (SNL Life Group)</t>
  </si>
  <si>
    <t>Hibiscus Life Insurance Co.</t>
  </si>
  <si>
    <t>C6897</t>
  </si>
  <si>
    <t>Higginbotham Burial Ins Co.</t>
  </si>
  <si>
    <t>C2465</t>
  </si>
  <si>
    <t>HIP Ins Co. of New Jersey</t>
  </si>
  <si>
    <t>C6871</t>
  </si>
  <si>
    <t>Hlth &amp; Life Ins Co. of America</t>
  </si>
  <si>
    <t>C6716</t>
  </si>
  <si>
    <t>Hlthpartners Ins (Historical)</t>
  </si>
  <si>
    <t>C6878</t>
  </si>
  <si>
    <t>HM Insurance (SNL Life Group)</t>
  </si>
  <si>
    <t>GK4375616</t>
  </si>
  <si>
    <t>HM Life Insurance Co.</t>
  </si>
  <si>
    <t>C2859</t>
  </si>
  <si>
    <t>HM Life Insurance Co. of NY</t>
  </si>
  <si>
    <t>C3192</t>
  </si>
  <si>
    <t>Holston Valley Life Ins Co.</t>
  </si>
  <si>
    <t>C6787</t>
  </si>
  <si>
    <t>Home Beneficial Life Ins Co.</t>
  </si>
  <si>
    <t>C7096</t>
  </si>
  <si>
    <t>Home Mutual Life Insurance Co.</t>
  </si>
  <si>
    <t>C7097</t>
  </si>
  <si>
    <t>Home Security Life Ins Co.</t>
  </si>
  <si>
    <t>C6881</t>
  </si>
  <si>
    <t>Home State Life Insurance Co.</t>
  </si>
  <si>
    <t>C7130</t>
  </si>
  <si>
    <t>Homeshield Capital Co. (SNL Life Group)</t>
  </si>
  <si>
    <t>GK4053680</t>
  </si>
  <si>
    <t>Homesteaders Life Co.</t>
  </si>
  <si>
    <t>C2469</t>
  </si>
  <si>
    <t>GK103363</t>
  </si>
  <si>
    <t>Horace Mann Life Insurance Co.</t>
  </si>
  <si>
    <t>C2470</t>
  </si>
  <si>
    <t>Horace Mann Life Insurance Co. (SA Bifurcated, Unnamed Account, Insulated)</t>
  </si>
  <si>
    <t>BSA2470-01</t>
  </si>
  <si>
    <t>Horace Mann Life Insurance Co. (SA Company Aggregate)</t>
  </si>
  <si>
    <t>S2470</t>
  </si>
  <si>
    <t>Horizon Life Insurance Co.</t>
  </si>
  <si>
    <t>C5818</t>
  </si>
  <si>
    <t>NM</t>
  </si>
  <si>
    <t>Houston National Life Ins Co.</t>
  </si>
  <si>
    <t>C5895</t>
  </si>
  <si>
    <t>Hrtg Hlth Grp Hosp Svcs</t>
  </si>
  <si>
    <t>C5691</t>
  </si>
  <si>
    <t>Hrtg Union Life Ins Co (MN)</t>
  </si>
  <si>
    <t>C2210</t>
  </si>
  <si>
    <t>Humana (SNL Life Group)</t>
  </si>
  <si>
    <t>GK111564</t>
  </si>
  <si>
    <t>Humana HealthChicago Insurance</t>
  </si>
  <si>
    <t>C6734</t>
  </si>
  <si>
    <t>Humana Hlth Direct Ins Inc</t>
  </si>
  <si>
    <t>C7054</t>
  </si>
  <si>
    <t>Humana Hlth Ins NV Inc</t>
  </si>
  <si>
    <t>C6717</t>
  </si>
  <si>
    <t>Humana Ins of Puerto Rico Inc.</t>
  </si>
  <si>
    <t>C5062</t>
  </si>
  <si>
    <t>Humana Insurance Co (MO)</t>
  </si>
  <si>
    <t>C5696</t>
  </si>
  <si>
    <t>Humana Insurance Co (WI) (SA Bifurcated, Unnamed Account, Insulated)</t>
  </si>
  <si>
    <t>BSA2322-01</t>
  </si>
  <si>
    <t>Humana Insurance Co (WI) (SA Company Aggregate)</t>
  </si>
  <si>
    <t>S2322</t>
  </si>
  <si>
    <t>Humana Insurance Co. of KY</t>
  </si>
  <si>
    <t>C3339</t>
  </si>
  <si>
    <t>IA American Life Insurance Co.</t>
  </si>
  <si>
    <t>C2881</t>
  </si>
  <si>
    <t>GK110308</t>
  </si>
  <si>
    <t>IBA Health &amp; Life Assurance Co</t>
  </si>
  <si>
    <t>C2474</t>
  </si>
  <si>
    <t>IBC Life Insurance Co.</t>
  </si>
  <si>
    <t>C2475</t>
  </si>
  <si>
    <t>IdeaLife Insurance Co.</t>
  </si>
  <si>
    <t>C2476</t>
  </si>
  <si>
    <t>IL Annuity &amp; Insurance Co.</t>
  </si>
  <si>
    <t>C5764</t>
  </si>
  <si>
    <t>IL Annuity &amp; Insurance Co. (SA Company Aggregate)</t>
  </si>
  <si>
    <t>S5764</t>
  </si>
  <si>
    <t>IL Hlthcr Ins Co</t>
  </si>
  <si>
    <t>C6675</t>
  </si>
  <si>
    <t>IL Term Insurance Co.</t>
  </si>
  <si>
    <t>C7060</t>
  </si>
  <si>
    <t>ILICA LLC</t>
  </si>
  <si>
    <t>C6068</t>
  </si>
  <si>
    <t>Illinois Mutual Life Ins Co.</t>
  </si>
  <si>
    <t>C2480</t>
  </si>
  <si>
    <t>Illinois Mutual Life Ins Co. (SA Bifurcated, Unnamed Account, Insulated)</t>
  </si>
  <si>
    <t>BSA2480-01</t>
  </si>
  <si>
    <t>Illinois Mutual Life Ins Co. (SA Company Aggregate)</t>
  </si>
  <si>
    <t>S2480</t>
  </si>
  <si>
    <t>Illinois Trust Life Ins Co.</t>
  </si>
  <si>
    <t>C7156</t>
  </si>
  <si>
    <t>Imperial General Life Ins Co.</t>
  </si>
  <si>
    <t>C5967</t>
  </si>
  <si>
    <t>Imperial Insurance Cos Inc.</t>
  </si>
  <si>
    <t>C9226</t>
  </si>
  <si>
    <t>Imperial Life Insurance Co.</t>
  </si>
  <si>
    <t>C5824</t>
  </si>
  <si>
    <t>Indepdnt Life &amp; Accident Ins</t>
  </si>
  <si>
    <t>C7100</t>
  </si>
  <si>
    <t>Independence Insurance Inc.</t>
  </si>
  <si>
    <t>C4299</t>
  </si>
  <si>
    <t>Independence Life &amp; Annty Co.</t>
  </si>
  <si>
    <t>C2482</t>
  </si>
  <si>
    <t>Sun Life Financial (SNL Life Group)</t>
  </si>
  <si>
    <t>Independence Life &amp; Annty Co. (SA Bifurcated, Unnamed Account, Insulated)</t>
  </si>
  <si>
    <t>BSA2482-01</t>
  </si>
  <si>
    <t>Independence Life &amp; Annty Co. (SA Company Aggregate)</t>
  </si>
  <si>
    <t>S2482</t>
  </si>
  <si>
    <t>Independence One Life Ins Co.</t>
  </si>
  <si>
    <t>C6711</t>
  </si>
  <si>
    <t>Independent Life Insurance Co.</t>
  </si>
  <si>
    <t>C9212</t>
  </si>
  <si>
    <t>Indiana Farm Bureau (SNL Life Group)</t>
  </si>
  <si>
    <t>GK4041785</t>
  </si>
  <si>
    <t>Indianapolis Life Insurance Co</t>
  </si>
  <si>
    <t>C2484</t>
  </si>
  <si>
    <t>Indianapolis Life Insurance Co (SA Company Aggregate)</t>
  </si>
  <si>
    <t>S2484</t>
  </si>
  <si>
    <t>Individual Assr Co. Life Hlth</t>
  </si>
  <si>
    <t>C2485</t>
  </si>
  <si>
    <t>Indl Alliance Ins &amp; Finl Svcs</t>
  </si>
  <si>
    <t>C8010</t>
  </si>
  <si>
    <t>Indl Alliance Pacfc Ins &amp; Finl</t>
  </si>
  <si>
    <t>C4665</t>
  </si>
  <si>
    <t>Industrial Casualty Ins Co.</t>
  </si>
  <si>
    <t>C7101</t>
  </si>
  <si>
    <t>ING Insurance Co. of America</t>
  </si>
  <si>
    <t>C5811</t>
  </si>
  <si>
    <t>ING Insurance Co. of America (SA Company Aggregate)</t>
  </si>
  <si>
    <t>S5811</t>
  </si>
  <si>
    <t>INRECO International Re Co.</t>
  </si>
  <si>
    <t>C5898</t>
  </si>
  <si>
    <t>Pan American Life (SNL Life Group)</t>
  </si>
  <si>
    <t>Ins Investors Life Ins Co.</t>
  </si>
  <si>
    <t>C5817</t>
  </si>
  <si>
    <t>Insouth Life Insurance Co.</t>
  </si>
  <si>
    <t>C6574</t>
  </si>
  <si>
    <t>Instl Founders Life Ins Co.</t>
  </si>
  <si>
    <t>C5831</t>
  </si>
  <si>
    <t>Integrity Capital Insurance Co</t>
  </si>
  <si>
    <t>C4307</t>
  </si>
  <si>
    <t>Integrity Life Insurance Co.</t>
  </si>
  <si>
    <t>C2486</t>
  </si>
  <si>
    <t>Integrity Life Insurance Co. (SA Bifurcated, Unnamed Account, Insulated)</t>
  </si>
  <si>
    <t>BSA2486-01</t>
  </si>
  <si>
    <t>Integrity Life Insurance Co. (SA Company Aggregate)</t>
  </si>
  <si>
    <t>S2486</t>
  </si>
  <si>
    <t>Inter-American Life Ins Co.</t>
  </si>
  <si>
    <t>C7092</t>
  </si>
  <si>
    <t>Intermediary Life Ins Co.</t>
  </si>
  <si>
    <t>C5706</t>
  </si>
  <si>
    <t>International Amer Life Ins Co</t>
  </si>
  <si>
    <t>C2487</t>
  </si>
  <si>
    <t>Inter-State Assurance Co.</t>
  </si>
  <si>
    <t>C5738</t>
  </si>
  <si>
    <t>Interstate Bankers Life Ins Co</t>
  </si>
  <si>
    <t>C2488</t>
  </si>
  <si>
    <t>Intl Finl Service Life Ins Co.</t>
  </si>
  <si>
    <t>C6844</t>
  </si>
  <si>
    <t>Intramerica Life Insurance Co.</t>
  </si>
  <si>
    <t>C2489</t>
  </si>
  <si>
    <t>Intramerica Life Insurance Co. (SA Bifurcated, Unnamed Account, Insulated)</t>
  </si>
  <si>
    <t>BSA2489-01</t>
  </si>
  <si>
    <t>Intramerica Life Insurance Co. (SA Company Aggregate)</t>
  </si>
  <si>
    <t>S2489</t>
  </si>
  <si>
    <t>Investors Growth Life Ins Co.</t>
  </si>
  <si>
    <t>C5836</t>
  </si>
  <si>
    <t>Investors Heritage Life Ins Co</t>
  </si>
  <si>
    <t>C3029</t>
  </si>
  <si>
    <t>Investors Insurance Corp.</t>
  </si>
  <si>
    <t>C2492</t>
  </si>
  <si>
    <t>Investors Life Ins Co. (Old)</t>
  </si>
  <si>
    <t>C7108</t>
  </si>
  <si>
    <t>Investors Life Ins Co. of IN</t>
  </si>
  <si>
    <t>C5731</t>
  </si>
  <si>
    <t>Investors Life Ins Co. of NE</t>
  </si>
  <si>
    <t>C7217</t>
  </si>
  <si>
    <t>Investors Life Ins Co. of NE (SA Company Aggregate)</t>
  </si>
  <si>
    <t>S7217</t>
  </si>
  <si>
    <t>Investors Natl Life Ins of SC</t>
  </si>
  <si>
    <t>C6690</t>
  </si>
  <si>
    <t>Investors Pfd Life Ins Co.</t>
  </si>
  <si>
    <t>C8497</t>
  </si>
  <si>
    <t>Investors Pfd Life Ins Co. (SA Bifurcated, Account 01, Undefined)</t>
  </si>
  <si>
    <t>BSA8497-01</t>
  </si>
  <si>
    <t>Investors Pfd Life Ins Co. (SA Company Aggregate)</t>
  </si>
  <si>
    <t>S8497</t>
  </si>
  <si>
    <t>Invrs Fidelity Life Assr Corp.</t>
  </si>
  <si>
    <t>C6898</t>
  </si>
  <si>
    <t>Invrs Life Ins Co. of North Am</t>
  </si>
  <si>
    <t>C2493</t>
  </si>
  <si>
    <t>Invrs Life Ins Co. of North Am (SA Bifurcated, Unnamed Account, Insulated)</t>
  </si>
  <si>
    <t>BSA2493-01</t>
  </si>
  <si>
    <t>Invrs Life Ins Co. of North Am (SA Company Aggregate)</t>
  </si>
  <si>
    <t>S2493</t>
  </si>
  <si>
    <t>GK4021816</t>
  </si>
  <si>
    <t>Island Insurance Corp.</t>
  </si>
  <si>
    <t>C4754</t>
  </si>
  <si>
    <t>J. S. Williams Life Ins Co.</t>
  </si>
  <si>
    <t>C6793</t>
  </si>
  <si>
    <t>GK4023122</t>
  </si>
  <si>
    <t>Jackson (SNL Separate Account Group)</t>
  </si>
  <si>
    <t>X4023122</t>
  </si>
  <si>
    <t>Jackson Griffin Insurance Co.</t>
  </si>
  <si>
    <t>C2496</t>
  </si>
  <si>
    <t>Jackson National Life</t>
  </si>
  <si>
    <t>C2497</t>
  </si>
  <si>
    <t>Jackson National Life (SA Bifurcated, Unnamed Account, Insulated)</t>
  </si>
  <si>
    <t>BSA2497-01</t>
  </si>
  <si>
    <t>Jackson National Life (SA Company Aggregate)</t>
  </si>
  <si>
    <t>S2497</t>
  </si>
  <si>
    <t>Jackson Natl Life Ins Co of NY</t>
  </si>
  <si>
    <t>C2988</t>
  </si>
  <si>
    <t>Jackson Natl Life Ins Co of NY (SA Bifurcated, Unnamed Account, Insulated)</t>
  </si>
  <si>
    <t>BSA2988-01</t>
  </si>
  <si>
    <t>Jackson Natl Life Ins Co of NY (SA Company Aggregate)</t>
  </si>
  <si>
    <t>S2988</t>
  </si>
  <si>
    <t>Jacksonville Life Insurance Co</t>
  </si>
  <si>
    <t>C5732</t>
  </si>
  <si>
    <t>Jamestown Life Insurance Co.</t>
  </si>
  <si>
    <t>C2498</t>
  </si>
  <si>
    <t>Jeff Davis Mortuary Benefit</t>
  </si>
  <si>
    <t>C2501</t>
  </si>
  <si>
    <t>Jefferson Life Ins Co (Merged)</t>
  </si>
  <si>
    <t>C5855</t>
  </si>
  <si>
    <t>Jefferson National Life Ins Co</t>
  </si>
  <si>
    <t>C2428</t>
  </si>
  <si>
    <t>Jefferson National Life Ins Co (SA Bifurcated, Unnamed Account, Insulated)</t>
  </si>
  <si>
    <t>BSA2428-01</t>
  </si>
  <si>
    <t>Jefferson National Life Ins Co (SA Company Aggregate)</t>
  </si>
  <si>
    <t>S2428</t>
  </si>
  <si>
    <t>Jefferson Natl Life Ins Co.</t>
  </si>
  <si>
    <t>C8811</t>
  </si>
  <si>
    <t>Jefferson Natl Life Ins Co. (SA Bifurcated, Account 01, Undefined)</t>
  </si>
  <si>
    <t>BSA8811-01</t>
  </si>
  <si>
    <t>Jefferson Natl Life Ins Co. (SA Company Aggregate)</t>
  </si>
  <si>
    <t>S8811</t>
  </si>
  <si>
    <t>Jefferson Pilot Finl Ins Co.</t>
  </si>
  <si>
    <t>C2238</t>
  </si>
  <si>
    <t>NH</t>
  </si>
  <si>
    <t>Jefferson Pilot Finl Ins Co. (SA Company Aggregate)</t>
  </si>
  <si>
    <t>S2238</t>
  </si>
  <si>
    <t>Jefferson-Pilot Life Ins Co.</t>
  </si>
  <si>
    <t>C2504</t>
  </si>
  <si>
    <t>Jefferson-Pilot Life Ins Co. (SA Company Aggregate)</t>
  </si>
  <si>
    <t>S2504</t>
  </si>
  <si>
    <t>Jocamar Life Insurance Co.</t>
  </si>
  <si>
    <t>C7150</t>
  </si>
  <si>
    <t>John Adams Life Ins Co. Amer</t>
  </si>
  <si>
    <t>C7076</t>
  </si>
  <si>
    <t>John Alden Life Ins Co. of NY</t>
  </si>
  <si>
    <t>C7187</t>
  </si>
  <si>
    <t>John Alden Life Insurance Co.</t>
  </si>
  <si>
    <t>C2506</t>
  </si>
  <si>
    <t>John Hancock (SNL Life Group)</t>
  </si>
  <si>
    <t>GK4048408</t>
  </si>
  <si>
    <t>John Hancock (SNL Separate Account Group)</t>
  </si>
  <si>
    <t>X4048408</t>
  </si>
  <si>
    <t>John Hancock L&amp;H Insurance Co.</t>
  </si>
  <si>
    <t>C2507</t>
  </si>
  <si>
    <t>John Hancock L&amp;H Insurance Co. (SA Bifurcated, Unnamed Account, Insulated)</t>
  </si>
  <si>
    <t>BSA2507-01</t>
  </si>
  <si>
    <t>John Hancock L&amp;H Insurance Co. (SA Company Aggregate)</t>
  </si>
  <si>
    <t>S2507</t>
  </si>
  <si>
    <t>John Hancock Life Ins Co (USA)</t>
  </si>
  <si>
    <t>C2563</t>
  </si>
  <si>
    <t>John Hancock Life Ins Co (USA) (SA Bifurcated, Unnamed Account, Insulated)</t>
  </si>
  <si>
    <t>BSA2563-01</t>
  </si>
  <si>
    <t>John Hancock Life Ins Co (USA) (SA Bifurcated, Unnamed Account, Non-insulated)</t>
  </si>
  <si>
    <t>BSA2563-02</t>
  </si>
  <si>
    <t>John Hancock Life Ins Co (USA) (SA Company Aggregate)</t>
  </si>
  <si>
    <t>S2563</t>
  </si>
  <si>
    <t>John Hancock Life Ins Co of NY</t>
  </si>
  <si>
    <t>C2382</t>
  </si>
  <si>
    <t>John Hancock Life Ins Co of NY (SA Bifurcated, Unnamed Account, Insulated)</t>
  </si>
  <si>
    <t>BSA2382-01</t>
  </si>
  <si>
    <t>John Hancock Life Ins Co of NY (SA Company Aggregate)</t>
  </si>
  <si>
    <t>S2382</t>
  </si>
  <si>
    <t>John Hancock Life Insurance Co</t>
  </si>
  <si>
    <t>C2508</t>
  </si>
  <si>
    <t>John Hancock Life Insurance Co (SA Company Aggregate)</t>
  </si>
  <si>
    <t>S2508</t>
  </si>
  <si>
    <t>John Hancock Variable Life Ins</t>
  </si>
  <si>
    <t>C2509</t>
  </si>
  <si>
    <t>John Hancock Variable Life Ins (SA Company Aggregate)</t>
  </si>
  <si>
    <t>S2509</t>
  </si>
  <si>
    <t>John Shaver Life Insurance Co.</t>
  </si>
  <si>
    <t>C7127</t>
  </si>
  <si>
    <t>Jordan Funeral &amp; Insurance Co.</t>
  </si>
  <si>
    <t>C4320</t>
  </si>
  <si>
    <t>Kanawha Insurance Co.</t>
  </si>
  <si>
    <t>C2511</t>
  </si>
  <si>
    <t>Kansas City Life Insurance Co.</t>
  </si>
  <si>
    <t>C3022</t>
  </si>
  <si>
    <t>Kansas City Life Insurance Co. (SA Bifurcated, Unnamed Account, Undefined)</t>
  </si>
  <si>
    <t>BSA3022-01</t>
  </si>
  <si>
    <t>Kansas City Life Insurance Co. (SA Company Aggregate)</t>
  </si>
  <si>
    <t>S3022</t>
  </si>
  <si>
    <t>GK103285</t>
  </si>
  <si>
    <t>Kansas Farm Bureau Life Ins Co</t>
  </si>
  <si>
    <t>C6564</t>
  </si>
  <si>
    <t>Kelley Life Insurance Co.</t>
  </si>
  <si>
    <t>C7235</t>
  </si>
  <si>
    <t>Kemper (SNL Life Group)</t>
  </si>
  <si>
    <t>GK103308</t>
  </si>
  <si>
    <t>Kennedy Natl Life Ins Co. Amer</t>
  </si>
  <si>
    <t>C7102</t>
  </si>
  <si>
    <t>Kentucky Home Life Ins Co.</t>
  </si>
  <si>
    <t>C3297</t>
  </si>
  <si>
    <t>Kentucky Natl Ins Group LLC (SNL Life Group)</t>
  </si>
  <si>
    <t>GK4182416</t>
  </si>
  <si>
    <t>Key Bank Life Insurance Ltd.</t>
  </si>
  <si>
    <t>C5825</t>
  </si>
  <si>
    <t>Key Life Insurance Co.</t>
  </si>
  <si>
    <t>C2513</t>
  </si>
  <si>
    <t>Key Partners Life Insurance Co</t>
  </si>
  <si>
    <t>C7115</t>
  </si>
  <si>
    <t>Keyport Benefit Life Ins Co.</t>
  </si>
  <si>
    <t>C5816</t>
  </si>
  <si>
    <t>Keyport Benefit Life Ins Co. (SA Company Aggregate)</t>
  </si>
  <si>
    <t>S5816</t>
  </si>
  <si>
    <t>Keyport Life Insurance Co.</t>
  </si>
  <si>
    <t>C5718</t>
  </si>
  <si>
    <t>Keyport Life Insurance Co. (SA Company Aggregate)</t>
  </si>
  <si>
    <t>S5718</t>
  </si>
  <si>
    <t>Keystone Financial Life Ins Co</t>
  </si>
  <si>
    <t>C6829</t>
  </si>
  <si>
    <t>Keystone State Life Ins Co.</t>
  </si>
  <si>
    <t>C2514</t>
  </si>
  <si>
    <t>Kilpatrick Life Insurance Co.</t>
  </si>
  <si>
    <t>C2515</t>
  </si>
  <si>
    <t>K-TENN Insurance Co.</t>
  </si>
  <si>
    <t>C9054</t>
  </si>
  <si>
    <t>GK4637000</t>
  </si>
  <si>
    <t>KY Funeral Directors Life Ins</t>
  </si>
  <si>
    <t>C3901</t>
  </si>
  <si>
    <t>KY Home Mutual Life Ins Co.</t>
  </si>
  <si>
    <t>C7103</t>
  </si>
  <si>
    <t>L Life Insurance Co.</t>
  </si>
  <si>
    <t>C6723</t>
  </si>
  <si>
    <t>La Porte Life Insurance Co.</t>
  </si>
  <si>
    <t>C6894</t>
  </si>
  <si>
    <t>Lafayette Life Insurance Co.</t>
  </si>
  <si>
    <t>C2517</t>
  </si>
  <si>
    <t>Lafourche Life Insurance Co.</t>
  </si>
  <si>
    <t>C2518</t>
  </si>
  <si>
    <t>Lamar Life Insurance Co.</t>
  </si>
  <si>
    <t>C7104</t>
  </si>
  <si>
    <t>Landcar Life Insurance Co.</t>
  </si>
  <si>
    <t>C2519</t>
  </si>
  <si>
    <t>Landmark Life Insurance Co.</t>
  </si>
  <si>
    <t>C2520</t>
  </si>
  <si>
    <t>Langhorne Reinsurance (AZ) Ltd</t>
  </si>
  <si>
    <t>C2951</t>
  </si>
  <si>
    <t>Laurel Life Insurance Co.</t>
  </si>
  <si>
    <t>C2521</t>
  </si>
  <si>
    <t>Laurence Life Insurance Co.</t>
  </si>
  <si>
    <t>C7152</t>
  </si>
  <si>
    <t>Leaders Life Insurance Co.</t>
  </si>
  <si>
    <t>C2522</t>
  </si>
  <si>
    <t>Lee Markquart Life Ins Co.</t>
  </si>
  <si>
    <t>C7149</t>
  </si>
  <si>
    <t>Legacy Life Ins Co. of MO</t>
  </si>
  <si>
    <t>C9022</t>
  </si>
  <si>
    <t>GK4145053</t>
  </si>
  <si>
    <t>Legal Security Life Ins Co.</t>
  </si>
  <si>
    <t>C6861</t>
  </si>
  <si>
    <t>Lewer Life Insurance Co.</t>
  </si>
  <si>
    <t>C2524</t>
  </si>
  <si>
    <t>Lewis Life Insurance Co.</t>
  </si>
  <si>
    <t>C2525</t>
  </si>
  <si>
    <t>GK4316016</t>
  </si>
  <si>
    <t>Liberty Bankers Life Ins Co.</t>
  </si>
  <si>
    <t>C2526</t>
  </si>
  <si>
    <t>Liberty Life Ins Co. (OLD)</t>
  </si>
  <si>
    <t>C5741</t>
  </si>
  <si>
    <t>Liberty National Life Ins Co.</t>
  </si>
  <si>
    <t>C2528</t>
  </si>
  <si>
    <t>Life &amp; Health Insurance Co.</t>
  </si>
  <si>
    <t>C5866</t>
  </si>
  <si>
    <t>Life Assurance Co.</t>
  </si>
  <si>
    <t>C2530</t>
  </si>
  <si>
    <t>Life Assurance Co. of America</t>
  </si>
  <si>
    <t>C2531</t>
  </si>
  <si>
    <t>Life Industry</t>
  </si>
  <si>
    <t>I36</t>
  </si>
  <si>
    <t>Life Ins Co. of Boston &amp; NY</t>
  </si>
  <si>
    <t>C2533</t>
  </si>
  <si>
    <t>Life Ins Co. of Mississippi</t>
  </si>
  <si>
    <t>C5852</t>
  </si>
  <si>
    <t>Life Ins Co. of North America</t>
  </si>
  <si>
    <t>C2535</t>
  </si>
  <si>
    <t>Life Ins Co. of North America (SA Bifurcated, Unnamed Account, Insulated)</t>
  </si>
  <si>
    <t>BSA2535-01</t>
  </si>
  <si>
    <t>Life Ins Co. of North America (SA Company Aggregate)</t>
  </si>
  <si>
    <t>S2535</t>
  </si>
  <si>
    <t>Life Insurance Co. of Alabama</t>
  </si>
  <si>
    <t>C2532</t>
  </si>
  <si>
    <t>Life Insurance Co. of Georgia</t>
  </si>
  <si>
    <t>C5747</t>
  </si>
  <si>
    <t>Life Insurance Co. of Georgia (SA Company Aggregate)</t>
  </si>
  <si>
    <t>S5747</t>
  </si>
  <si>
    <t>Life Insurance Co. of LA</t>
  </si>
  <si>
    <t>C2534</t>
  </si>
  <si>
    <t>Life Insurance Co. of the SW</t>
  </si>
  <si>
    <t>C2536</t>
  </si>
  <si>
    <t>National Life Group (SNL Life Group)</t>
  </si>
  <si>
    <t>Life Investors Ins Co. of Am</t>
  </si>
  <si>
    <t>C2538</t>
  </si>
  <si>
    <t>Life Investors Ins Co. of Am (SA Company Aggregate)</t>
  </si>
  <si>
    <t>S2538</t>
  </si>
  <si>
    <t>Life of Am Ins Co. (Merged)</t>
  </si>
  <si>
    <t>C2539</t>
  </si>
  <si>
    <t>New Era Life Insurance Companies (SNL Life Group)</t>
  </si>
  <si>
    <t>Life of America Insurance Co.</t>
  </si>
  <si>
    <t>C2759</t>
  </si>
  <si>
    <t>Life of Maryland Inc.</t>
  </si>
  <si>
    <t>C5915</t>
  </si>
  <si>
    <t>Life of the South Insurance Co</t>
  </si>
  <si>
    <t>C2541</t>
  </si>
  <si>
    <t>Life Protection Insurance Co.</t>
  </si>
  <si>
    <t>C2542</t>
  </si>
  <si>
    <t>LifeCare Assurance Co.</t>
  </si>
  <si>
    <t>C2544</t>
  </si>
  <si>
    <t>Lifeguard Life Insurance Co.</t>
  </si>
  <si>
    <t>C2545</t>
  </si>
  <si>
    <t>Lifeline Underwriters Life Ins</t>
  </si>
  <si>
    <t>C5923</t>
  </si>
  <si>
    <t>LifeMap Assurance Co.</t>
  </si>
  <si>
    <t>C2677</t>
  </si>
  <si>
    <t>OR</t>
  </si>
  <si>
    <t>LifeRe Insurance Co.</t>
  </si>
  <si>
    <t>C2546</t>
  </si>
  <si>
    <t>Lifesecure Insurance Co.</t>
  </si>
  <si>
    <t>C4339</t>
  </si>
  <si>
    <t>LifeSecure Insurance Co.</t>
  </si>
  <si>
    <t>C2258</t>
  </si>
  <si>
    <t>LifeShield National Ins Co.</t>
  </si>
  <si>
    <t>C2468</t>
  </si>
  <si>
    <t>LifeUSA Insurance Co.</t>
  </si>
  <si>
    <t>C5893</t>
  </si>
  <si>
    <t>LifeWise Assurance Co.</t>
  </si>
  <si>
    <t>C2826</t>
  </si>
  <si>
    <t>Linc Life &amp; Annty Co. NY (Old)</t>
  </si>
  <si>
    <t>C2957</t>
  </si>
  <si>
    <t>Linc Life &amp; Annty Co. NY (Old) (SA Company Aggregate)</t>
  </si>
  <si>
    <t>S2957</t>
  </si>
  <si>
    <t>Lincoln American Life Ins Co.</t>
  </si>
  <si>
    <t>C6872</t>
  </si>
  <si>
    <t>Lincoln Benefit Life Co.</t>
  </si>
  <si>
    <t>C2547</t>
  </si>
  <si>
    <t>Lincoln Benefit Life Co. (SA Bifurcated, Unnamed Account, Insulated)</t>
  </si>
  <si>
    <t>BSA2547-01</t>
  </si>
  <si>
    <t>Lincoln Benefit Life Co. (SA Company Aggregate)</t>
  </si>
  <si>
    <t>S2547</t>
  </si>
  <si>
    <t>Lincoln Direct Life Ins. Co.</t>
  </si>
  <si>
    <t>C5759</t>
  </si>
  <si>
    <t>GK103362</t>
  </si>
  <si>
    <t>Lincoln Financial (SNL Separate Account Group)</t>
  </si>
  <si>
    <t>X103362</t>
  </si>
  <si>
    <t>Lincoln Heritage Life Ins Co.</t>
  </si>
  <si>
    <t>C2540</t>
  </si>
  <si>
    <t>Lincoln Hrtg Life Ins (Merged)</t>
  </si>
  <si>
    <t>C6874</t>
  </si>
  <si>
    <t>Lincoln Liberty Life Ins Co.</t>
  </si>
  <si>
    <t>C7107</t>
  </si>
  <si>
    <t>Lincoln Life &amp; Annty Co. of NY</t>
  </si>
  <si>
    <t>C2237</t>
  </si>
  <si>
    <t>Lincoln Life &amp; Annty Co. of NY (SA Bifurcated, Unnamed Account, Insulated)</t>
  </si>
  <si>
    <t>BSA2237-01</t>
  </si>
  <si>
    <t>Lincoln Life &amp; Annty Co. of NY (SA Company Aggregate)</t>
  </si>
  <si>
    <t>S2237</t>
  </si>
  <si>
    <t>Lincoln Life &amp; Casualty Co.</t>
  </si>
  <si>
    <t>C6877</t>
  </si>
  <si>
    <t>Lincoln Life Assr Co of Boston</t>
  </si>
  <si>
    <t>C2527</t>
  </si>
  <si>
    <t>Lincoln Life Assr Co of Boston (SA Bifurcated, Unnamed Account, Insulated)</t>
  </si>
  <si>
    <t>BSA2527-01</t>
  </si>
  <si>
    <t>Lincoln Life Assr Co of Boston (SA Company Aggregate)</t>
  </si>
  <si>
    <t>S2527</t>
  </si>
  <si>
    <t>Lincoln Memorial Life Ins Co.</t>
  </si>
  <si>
    <t>C2950</t>
  </si>
  <si>
    <t>Lincoln National Life Ins Co.</t>
  </si>
  <si>
    <t>C3038</t>
  </si>
  <si>
    <t>Lincoln National Life Ins Co. (SA Bifurcated, Unnamed Account, Insulated)</t>
  </si>
  <si>
    <t>BSA3038-01</t>
  </si>
  <si>
    <t>Lincoln National Life Ins Co. (SA Bifurcated, Unnamed Account, Non-insulated)</t>
  </si>
  <si>
    <t>BSA3038-02</t>
  </si>
  <si>
    <t>Lincoln National Life Ins Co. (SA Company Aggregate)</t>
  </si>
  <si>
    <t>S3038</t>
  </si>
  <si>
    <t>Lincoln National Reassurance</t>
  </si>
  <si>
    <t>C6063</t>
  </si>
  <si>
    <t>Lincoln Security Life Ins Co.</t>
  </si>
  <si>
    <t>C7082</t>
  </si>
  <si>
    <t>Lincolnway Life Insurance Co.</t>
  </si>
  <si>
    <t>C6785</t>
  </si>
  <si>
    <t>Lobo Life Insurance Co.</t>
  </si>
  <si>
    <t>C7183</t>
  </si>
  <si>
    <t>Locomotive Engineers</t>
  </si>
  <si>
    <t>C2550</t>
  </si>
  <si>
    <t>Lombard International (SNL Life Group)</t>
  </si>
  <si>
    <t>GK4610208</t>
  </si>
  <si>
    <t>Lombard Intl Life Assr Co (NY)</t>
  </si>
  <si>
    <t>C2568</t>
  </si>
  <si>
    <t>Lombard Intl Life Assr Co.</t>
  </si>
  <si>
    <t>C2105</t>
  </si>
  <si>
    <t>Lombard Intl Life Assr Co. (SA Bifurcated, Unnamed Account, Insulated)</t>
  </si>
  <si>
    <t>BSA2105-01</t>
  </si>
  <si>
    <t>Lombard Intl Life Assr Co. (SA Company Aggregate)</t>
  </si>
  <si>
    <t>S2105</t>
  </si>
  <si>
    <t>London Life Ins Co (US Branch)</t>
  </si>
  <si>
    <t>C2551</t>
  </si>
  <si>
    <t>London Life Ins Co of Michigan</t>
  </si>
  <si>
    <t>C7165</t>
  </si>
  <si>
    <t>London Life Reinsurance Co.</t>
  </si>
  <si>
    <t>C2552</t>
  </si>
  <si>
    <t>London Pacfc Life &amp; Annty Co.</t>
  </si>
  <si>
    <t>C5754</t>
  </si>
  <si>
    <t>London Pacfc Life &amp; Annty Co. (SA Company Aggregate)</t>
  </si>
  <si>
    <t>S5754</t>
  </si>
  <si>
    <t>Lone Star Life Ins (Merged)</t>
  </si>
  <si>
    <t>C6879</t>
  </si>
  <si>
    <t>Lone Star Life Insurance Co.</t>
  </si>
  <si>
    <t>C5376</t>
  </si>
  <si>
    <t>Longford Life Insurance Co.</t>
  </si>
  <si>
    <t>C7084</t>
  </si>
  <si>
    <t>Louisiana Credit Life Ins</t>
  </si>
  <si>
    <t>C6680</t>
  </si>
  <si>
    <t>GK4051189</t>
  </si>
  <si>
    <t>Loyal American Life Ins Co.</t>
  </si>
  <si>
    <t>C2553</t>
  </si>
  <si>
    <t>Lumico Life Insurance Co of NY</t>
  </si>
  <si>
    <t>C9272</t>
  </si>
  <si>
    <t>Lumico Life Insurance Co.</t>
  </si>
  <si>
    <t>C2278</t>
  </si>
  <si>
    <t>M Life Insurance Co.</t>
  </si>
  <si>
    <t>C2557</t>
  </si>
  <si>
    <t>MABCO Life Insurance Co.</t>
  </si>
  <si>
    <t>C7199</t>
  </si>
  <si>
    <t>Mack H. Hannah Life Ins Co.</t>
  </si>
  <si>
    <t>C5860</t>
  </si>
  <si>
    <t>Madison National Life Ins Co.</t>
  </si>
  <si>
    <t>C2558</t>
  </si>
  <si>
    <t>Mag Mutual Life Insurance Co.</t>
  </si>
  <si>
    <t>C5676</t>
  </si>
  <si>
    <t>Magnolia Guaranty Life Ins Co.</t>
  </si>
  <si>
    <t>C7779</t>
  </si>
  <si>
    <t>Majestic Life Insurance Co.</t>
  </si>
  <si>
    <t>C5807</t>
  </si>
  <si>
    <t>Manchester Life Insurance Co.</t>
  </si>
  <si>
    <t>C7181</t>
  </si>
  <si>
    <t>Manhattan Life Insurance Co.</t>
  </si>
  <si>
    <t>C2561</t>
  </si>
  <si>
    <t>Manhattan National Life Ins Co</t>
  </si>
  <si>
    <t>C2562</t>
  </si>
  <si>
    <t>GK4041840</t>
  </si>
  <si>
    <t>ManhattanLife Assr Co. of Am</t>
  </si>
  <si>
    <t>C2225</t>
  </si>
  <si>
    <t>Manufacturers Life Ins Co Amer</t>
  </si>
  <si>
    <t>C5868</t>
  </si>
  <si>
    <t>Manufacturers Life Ins Co Amer (SA Company Aggregate)</t>
  </si>
  <si>
    <t>S5868</t>
  </si>
  <si>
    <t>Manufacturers Life Ins Co.</t>
  </si>
  <si>
    <t>C5873</t>
  </si>
  <si>
    <t>Manufacturers Life Ins Co. (SA Company Aggregate)</t>
  </si>
  <si>
    <t>S5873</t>
  </si>
  <si>
    <t>Manufacturers Life Insurance</t>
  </si>
  <si>
    <t>C7185</t>
  </si>
  <si>
    <t>Manulife Re Corp. (U.S.A.)</t>
  </si>
  <si>
    <t>C6091</t>
  </si>
  <si>
    <t>MAPFRE Life Insurance Co of PR</t>
  </si>
  <si>
    <t>C2784</t>
  </si>
  <si>
    <t>MAPFRE Life Insurance Co of PR (SA Company Aggregate)</t>
  </si>
  <si>
    <t>S2784</t>
  </si>
  <si>
    <t>Mark Stolkin Life Insurance Co</t>
  </si>
  <si>
    <t>C7216</t>
  </si>
  <si>
    <t>Marmid Life Insurance Co.</t>
  </si>
  <si>
    <t>C5910</t>
  </si>
  <si>
    <t>Marquette Indem &amp; Life Ins Co.</t>
  </si>
  <si>
    <t>C2564</t>
  </si>
  <si>
    <t>Marquette National Life Ins Co</t>
  </si>
  <si>
    <t>C2565</t>
  </si>
  <si>
    <t>Marv Hill Life Insurance Co.</t>
  </si>
  <si>
    <t>C7267</t>
  </si>
  <si>
    <t>Maryland Southern Life Ins Co.</t>
  </si>
  <si>
    <t>C6828</t>
  </si>
  <si>
    <t>Massachusetts Mutl Life Ins Co</t>
  </si>
  <si>
    <t>C3040</t>
  </si>
  <si>
    <t>Massachusetts Mutl Life Ins Co (SA Bifurcated, Unnamed Account, Insulated)</t>
  </si>
  <si>
    <t>BSA3040-01</t>
  </si>
  <si>
    <t>Massachusetts Mutl Life Ins Co (SA Company Aggregate)</t>
  </si>
  <si>
    <t>S3040</t>
  </si>
  <si>
    <t>GK110235</t>
  </si>
  <si>
    <t>MassMutual (SNL Separate Account Group)</t>
  </si>
  <si>
    <t>X110235</t>
  </si>
  <si>
    <t>Matthew Thornton Insurance Co.</t>
  </si>
  <si>
    <t>C6705</t>
  </si>
  <si>
    <t>Maxicare Life &amp; Health Ins Co.</t>
  </si>
  <si>
    <t>C6217</t>
  </si>
  <si>
    <t>GK4171137</t>
  </si>
  <si>
    <t>Mayflower National Life Ins Co</t>
  </si>
  <si>
    <t>C2569</t>
  </si>
  <si>
    <t>MBL Life Assurance Corp.</t>
  </si>
  <si>
    <t>C6903</t>
  </si>
  <si>
    <t>MBL Life Assurance Corp. (SA Company Aggregate)</t>
  </si>
  <si>
    <t>S6903</t>
  </si>
  <si>
    <t>MCB Life Insurance Co.</t>
  </si>
  <si>
    <t>C5094</t>
  </si>
  <si>
    <t>McCarthy Life Insurance Co.</t>
  </si>
  <si>
    <t>C7071</t>
  </si>
  <si>
    <t>McDonald Life Insurance Co.</t>
  </si>
  <si>
    <t>C2570</t>
  </si>
  <si>
    <t>McKinney Life Insurance Co.</t>
  </si>
  <si>
    <t>C7129</t>
  </si>
  <si>
    <t>McLaren Health Plan Ins Co.</t>
  </si>
  <si>
    <t>C7590</t>
  </si>
  <si>
    <t>MCS Life Insurance Co.</t>
  </si>
  <si>
    <t>C5061</t>
  </si>
  <si>
    <t>MDPhysicians Insurance Co.</t>
  </si>
  <si>
    <t>C7256</t>
  </si>
  <si>
    <t>Med Benefits Mutl Life Ins Co.</t>
  </si>
  <si>
    <t>C2575</t>
  </si>
  <si>
    <t>MedAmerica Insurance (SNL Life Group)</t>
  </si>
  <si>
    <t>GK4050937</t>
  </si>
  <si>
    <t>MedAmerica Insurance Co.</t>
  </si>
  <si>
    <t>C2572</t>
  </si>
  <si>
    <t>MedAmerica Insurance Co. of FL</t>
  </si>
  <si>
    <t>C6257</t>
  </si>
  <si>
    <t>MedAmerica Insurance Co. of NY</t>
  </si>
  <si>
    <t>C2359</t>
  </si>
  <si>
    <t>Medical Community Insurance Co</t>
  </si>
  <si>
    <t>C6676</t>
  </si>
  <si>
    <t>Medical Life Insurance Co.</t>
  </si>
  <si>
    <t>C5839</t>
  </si>
  <si>
    <t>Medico Corp. Life Insurance Co</t>
  </si>
  <si>
    <t>C2594</t>
  </si>
  <si>
    <t>Medico Insurance Co.</t>
  </si>
  <si>
    <t>C1245</t>
  </si>
  <si>
    <t>Medico L&amp;H Insurance Co.</t>
  </si>
  <si>
    <t>C2549</t>
  </si>
  <si>
    <t>MedMutual Life Insurance Co.</t>
  </si>
  <si>
    <t>C2282</t>
  </si>
  <si>
    <t>MEGA L&amp;H Insurance Co.</t>
  </si>
  <si>
    <t>C2579</t>
  </si>
  <si>
    <t>MEGA L&amp;H Insurance Co. (SA Bifurcated, Unnamed Account, Insulated)</t>
  </si>
  <si>
    <t>BSA2579-01</t>
  </si>
  <si>
    <t>MEGA L&amp;H Insurance Co. (SA Company Aggregate)</t>
  </si>
  <si>
    <t>S2579</t>
  </si>
  <si>
    <t>Melancon Life Insurance Co.</t>
  </si>
  <si>
    <t>C2580</t>
  </si>
  <si>
    <t>Mello Life Insurance Co.</t>
  </si>
  <si>
    <t>C7153</t>
  </si>
  <si>
    <t>Mellon Life Insurance Co.</t>
  </si>
  <si>
    <t>C2581</t>
  </si>
  <si>
    <t>Member Service Life Ins Co.</t>
  </si>
  <si>
    <t>C5886</t>
  </si>
  <si>
    <t>MEMBERS Life Insurance Co.</t>
  </si>
  <si>
    <t>C2582</t>
  </si>
  <si>
    <t>MEMBERS Life Insurance Co. (SA Bifurcated, Account 01, Undefined)</t>
  </si>
  <si>
    <t>BSA2582-01</t>
  </si>
  <si>
    <t>MEMBERS Life Insurance Co. (SA Company Aggregate)</t>
  </si>
  <si>
    <t>S2582</t>
  </si>
  <si>
    <t>Memorial Insurance Co. of Am</t>
  </si>
  <si>
    <t>C2583</t>
  </si>
  <si>
    <t>Memorial Life Ins (Historical)</t>
  </si>
  <si>
    <t>C7259</t>
  </si>
  <si>
    <t>Memorial Life Insurance Co.</t>
  </si>
  <si>
    <t>C2584</t>
  </si>
  <si>
    <t>Memorial Service Life Ins Co.</t>
  </si>
  <si>
    <t>C2585</t>
  </si>
  <si>
    <t>Memorial Sisters of Charity</t>
  </si>
  <si>
    <t>C6672</t>
  </si>
  <si>
    <t>Menlo Life Insurance Co.</t>
  </si>
  <si>
    <t>C5771</t>
  </si>
  <si>
    <t>Mercantile Life Insurance Co.</t>
  </si>
  <si>
    <t>C7112</t>
  </si>
  <si>
    <t>Merit Life Insurance Co.</t>
  </si>
  <si>
    <t>C2587</t>
  </si>
  <si>
    <t>Meta Life Insurance Co.</t>
  </si>
  <si>
    <t>C7139</t>
  </si>
  <si>
    <t>GK4051708</t>
  </si>
  <si>
    <t>MetLife (SNL Separate Account Group)</t>
  </si>
  <si>
    <t>X4051708</t>
  </si>
  <si>
    <t>MetLife Insurance Ltd.</t>
  </si>
  <si>
    <t>C7558</t>
  </si>
  <si>
    <t>MetLife International Ins Ltd.</t>
  </si>
  <si>
    <t>C5089</t>
  </si>
  <si>
    <t>MetLife Investors Insurance Co</t>
  </si>
  <si>
    <t>C2296</t>
  </si>
  <si>
    <t>MetLife Investors Insurance Co (SA Bifurcated, Unnamed Account, Insulated)</t>
  </si>
  <si>
    <t>BSA2296-01</t>
  </si>
  <si>
    <t>MetLife Investors Insurance Co (SA Company Aggregate)</t>
  </si>
  <si>
    <t>S2296</t>
  </si>
  <si>
    <t>MetLife Investors USA Ins Co.</t>
  </si>
  <si>
    <t>C2779</t>
  </si>
  <si>
    <t>MetLife Investors USA Ins Co. (SA Bifurcated, Unnamed Account, Insulated)</t>
  </si>
  <si>
    <t>BSA2779-01</t>
  </si>
  <si>
    <t>MetLife Investors USA Ins Co. (SA Company Aggregate)</t>
  </si>
  <si>
    <t>S2779</t>
  </si>
  <si>
    <t>MetLife Invrs Ins Co. of CA</t>
  </si>
  <si>
    <t>C5939</t>
  </si>
  <si>
    <t>MetLife Invrs Ins Co. of CA (SA Company Aggregate)</t>
  </si>
  <si>
    <t>S5939</t>
  </si>
  <si>
    <t>MetLife Life and Annuity Co.</t>
  </si>
  <si>
    <t>C2865</t>
  </si>
  <si>
    <t>MetLife Life and Annuity Co. (SA Company Aggregate)</t>
  </si>
  <si>
    <t>S2865</t>
  </si>
  <si>
    <t>MetLife Security Ins Co. of LA</t>
  </si>
  <si>
    <t>C5765</t>
  </si>
  <si>
    <t>Metropolitan Ins &amp; Annuity Co.</t>
  </si>
  <si>
    <t>C5846</t>
  </si>
  <si>
    <t>Metropolitan Life Insurance Co</t>
  </si>
  <si>
    <t>C3052</t>
  </si>
  <si>
    <t>Metropolitan Life Insurance Co (SA Bifurcated, Unnamed Account, Insulated)</t>
  </si>
  <si>
    <t>BSA3052-01</t>
  </si>
  <si>
    <t>Metropolitan Life Insurance Co (SA Company Aggregate)</t>
  </si>
  <si>
    <t>S3052</t>
  </si>
  <si>
    <t>Metropolitan Tower Life Ins Co</t>
  </si>
  <si>
    <t>C2591</t>
  </si>
  <si>
    <t>Metropolitan Tower Life Ins Co (SA Bifurcated, Unnamed Account, Insulated)</t>
  </si>
  <si>
    <t>BSA2591-01</t>
  </si>
  <si>
    <t>Metropolitan Tower Life Ins Co (SA Company Aggregate)</t>
  </si>
  <si>
    <t>S2591</t>
  </si>
  <si>
    <t>MHN Reinsurance Co. of Arizona</t>
  </si>
  <si>
    <t>C5856</t>
  </si>
  <si>
    <t>Miami Valley Insurance Co.</t>
  </si>
  <si>
    <t>C6768</t>
  </si>
  <si>
    <t>GK4050625</t>
  </si>
  <si>
    <t>Michigan Health Insurance Co.</t>
  </si>
  <si>
    <t>C4372</t>
  </si>
  <si>
    <t>Mid Amer Century Life Ins Co.</t>
  </si>
  <si>
    <t>C5686</t>
  </si>
  <si>
    <t>Mid States Life Insurance Co.</t>
  </si>
  <si>
    <t>C7070</t>
  </si>
  <si>
    <t>Mid-America Crdt Life Assr Co.</t>
  </si>
  <si>
    <t>C5882</t>
  </si>
  <si>
    <t>MidAmerica Mutual Life Ins Co.</t>
  </si>
  <si>
    <t>C7110</t>
  </si>
  <si>
    <t>Mid-Atlantic Life Insurance Co</t>
  </si>
  <si>
    <t>C4373</t>
  </si>
  <si>
    <t>WV</t>
  </si>
  <si>
    <t>Middle Tennessee Life Ins Co.</t>
  </si>
  <si>
    <t>C6579</t>
  </si>
  <si>
    <t>Midland Life Insurance Co.</t>
  </si>
  <si>
    <t>C5773</t>
  </si>
  <si>
    <t>Midland National Life Ins Co.</t>
  </si>
  <si>
    <t>C2596</t>
  </si>
  <si>
    <t>Midland National Life Ins Co. (SA Bifurcated, Accounts C, Insulated)</t>
  </si>
  <si>
    <t>BSA2596-02</t>
  </si>
  <si>
    <t>Midland National Life Ins Co. (SA Bifurcated, Unnamed Account, Insulated)</t>
  </si>
  <si>
    <t>BSA2596-01</t>
  </si>
  <si>
    <t>Midland National Life Ins Co. (SA Company Aggregate)</t>
  </si>
  <si>
    <t>S2596</t>
  </si>
  <si>
    <t>Mid-West National Life Ins Co.</t>
  </si>
  <si>
    <t>C2597</t>
  </si>
  <si>
    <t>Mid-West National Life Ins Co. (SA Bifurcated, Account 01, Undefined)</t>
  </si>
  <si>
    <t>BSA2597-01</t>
  </si>
  <si>
    <t>Mid-West National Life Ins Co. (SA Company Aggregate)</t>
  </si>
  <si>
    <t>S2597</t>
  </si>
  <si>
    <t>Midwestern Natl Life Ins OH</t>
  </si>
  <si>
    <t>C7111</t>
  </si>
  <si>
    <t>Midwestern United Life Ins Co.</t>
  </si>
  <si>
    <t>C2599</t>
  </si>
  <si>
    <t>Mililani Life Insurance Co Ltd</t>
  </si>
  <si>
    <t>C2601</t>
  </si>
  <si>
    <t>Military Life Insurance Co.</t>
  </si>
  <si>
    <t>C4379</t>
  </si>
  <si>
    <t>Miller Life Insurance Co.</t>
  </si>
  <si>
    <t>C7087</t>
  </si>
  <si>
    <t>Milwaukee Life Insurance Co.</t>
  </si>
  <si>
    <t>C5709</t>
  </si>
  <si>
    <t>MIMLIC Life Insurance Co.</t>
  </si>
  <si>
    <t>C5749</t>
  </si>
  <si>
    <t>Minnesota Life Insurance Co.</t>
  </si>
  <si>
    <t>C2603</t>
  </si>
  <si>
    <t>Minnesota Life Insurance Co. (SA Bifurcated, Unnamed Account, Insulated)</t>
  </si>
  <si>
    <t>BSA2603-01</t>
  </si>
  <si>
    <t>Minnesota Life Insurance Co. (SA Company Aggregate)</t>
  </si>
  <si>
    <t>S2603</t>
  </si>
  <si>
    <t>Minnetonka Life Insurance Co.</t>
  </si>
  <si>
    <t>C7170</t>
  </si>
  <si>
    <t>Mission Life Ins Co. of Am</t>
  </si>
  <si>
    <t>C5906</t>
  </si>
  <si>
    <t>Mission Life Insurance Co.</t>
  </si>
  <si>
    <t>C6870</t>
  </si>
  <si>
    <t>GK4053473</t>
  </si>
  <si>
    <t>MML Bay State Life Ins Co.</t>
  </si>
  <si>
    <t>C2607</t>
  </si>
  <si>
    <t>MML Bay State Life Ins Co. (SA Bifurcated, Unnamed Account, Insulated)</t>
  </si>
  <si>
    <t>BSA2607-01</t>
  </si>
  <si>
    <t>MML Bay State Life Ins Co. (SA Company Aggregate)</t>
  </si>
  <si>
    <t>S2607</t>
  </si>
  <si>
    <t>MNL Metro Re Co.</t>
  </si>
  <si>
    <t>C7089</t>
  </si>
  <si>
    <t>Modern Life Ins Co. of AZ Inc.</t>
  </si>
  <si>
    <t>C2129</t>
  </si>
  <si>
    <t>Molina Hlthcr Of Texas Ins Co.</t>
  </si>
  <si>
    <t>C7596</t>
  </si>
  <si>
    <t>Monarch Life Insurance Co.</t>
  </si>
  <si>
    <t>C2608</t>
  </si>
  <si>
    <t>Regal Reinsurance Co. (SNL Life Group)</t>
  </si>
  <si>
    <t>Monarch Life Insurance Co. (SA Bifurcated, Unnamed Account, Insulated)</t>
  </si>
  <si>
    <t>BSA2608-01</t>
  </si>
  <si>
    <t>Monarch Life Insurance Co. (SA Company Aggregate)</t>
  </si>
  <si>
    <t>S2608</t>
  </si>
  <si>
    <t>Monitor Life Ins Co. of NY</t>
  </si>
  <si>
    <t>C2609</t>
  </si>
  <si>
    <t>Montana Benefits &amp; Life Co.</t>
  </si>
  <si>
    <t>C5760</t>
  </si>
  <si>
    <t>Montgomery Ward Life Ins Co.</t>
  </si>
  <si>
    <t>C6888</t>
  </si>
  <si>
    <t>Monumental Genl Life Ins Co.</t>
  </si>
  <si>
    <t>C5287</t>
  </si>
  <si>
    <t>C2612</t>
  </si>
  <si>
    <t>BSA2612-01</t>
  </si>
  <si>
    <t>BSA2612-02</t>
  </si>
  <si>
    <t>S2612</t>
  </si>
  <si>
    <t>MONY Life Insurance Co.</t>
  </si>
  <si>
    <t>C2620</t>
  </si>
  <si>
    <t>MONY Life Insurance Co. (SA Bifurcated, Unnamed Account, Insulated)</t>
  </si>
  <si>
    <t>BSA2620-01</t>
  </si>
  <si>
    <t>MONY Life Insurance Co. (SA Company Aggregate)</t>
  </si>
  <si>
    <t>S2620</t>
  </si>
  <si>
    <t>Moon Life Insurance Co.</t>
  </si>
  <si>
    <t>C7055</t>
  </si>
  <si>
    <t>Mothe Life Insurance Co.</t>
  </si>
  <si>
    <t>C2613</t>
  </si>
  <si>
    <t>Motorists Life Insurance Co.</t>
  </si>
  <si>
    <t>C2614</t>
  </si>
  <si>
    <t>Motorsport Life Insurance Co.</t>
  </si>
  <si>
    <t>C7207</t>
  </si>
  <si>
    <t>Mountain Life Insurance Co.</t>
  </si>
  <si>
    <t>C2615</t>
  </si>
  <si>
    <t>Mrs Insurance Co.</t>
  </si>
  <si>
    <t>C6573</t>
  </si>
  <si>
    <t>MS Diversified Life Ins Co.</t>
  </si>
  <si>
    <t>C5871</t>
  </si>
  <si>
    <t>MS Life Insurance Co.</t>
  </si>
  <si>
    <t>C5976</t>
  </si>
  <si>
    <t>MTM Life Insurance Company</t>
  </si>
  <si>
    <t>C2617</t>
  </si>
  <si>
    <t>Mulhearn Protective Ins Co.</t>
  </si>
  <si>
    <t>C2618</t>
  </si>
  <si>
    <t>Multinational Life Ins Co.</t>
  </si>
  <si>
    <t>C2638</t>
  </si>
  <si>
    <t>Munich American Life Re Co.</t>
  </si>
  <si>
    <t>C7852</t>
  </si>
  <si>
    <t>Munich American Reassurance Co</t>
  </si>
  <si>
    <t>C2619</t>
  </si>
  <si>
    <t>GK4005715</t>
  </si>
  <si>
    <t>Munich Re US Life Corp.</t>
  </si>
  <si>
    <t>C2841</t>
  </si>
  <si>
    <t>Munich Re US Life Corp. (SA Bifurcated, Unnamed Account, Insulated)</t>
  </si>
  <si>
    <t>BSA2841-01</t>
  </si>
  <si>
    <t>Munich Re US Life Corp. (SA Company Aggregate)</t>
  </si>
  <si>
    <t>S2841</t>
  </si>
  <si>
    <t>Municipal Insurance Co.of Am</t>
  </si>
  <si>
    <t>C4771</t>
  </si>
  <si>
    <t>Mustang Life Insurance Co.</t>
  </si>
  <si>
    <t>C6708</t>
  </si>
  <si>
    <t>Mutual of America Life Ins Co.</t>
  </si>
  <si>
    <t>C2621</t>
  </si>
  <si>
    <t>Mutual of America Life Ins Co. (SA Bifurcated, Unnamed Account, Insulated)</t>
  </si>
  <si>
    <t>BSA2621-01</t>
  </si>
  <si>
    <t>Mutual of America Life Ins Co. (SA Company Aggregate)</t>
  </si>
  <si>
    <t>S2621</t>
  </si>
  <si>
    <t>Mutual of Detroit Insurance Co</t>
  </si>
  <si>
    <t>C2622</t>
  </si>
  <si>
    <t>GK15762</t>
  </si>
  <si>
    <t>Mutual of Omaha (SNL Separate Account Group)</t>
  </si>
  <si>
    <t>X15762</t>
  </si>
  <si>
    <t>Mutual of Omaha Insurance Co.</t>
  </si>
  <si>
    <t>C2623</t>
  </si>
  <si>
    <t>Mutual Savings Life Ins Co.</t>
  </si>
  <si>
    <t>C2624</t>
  </si>
  <si>
    <t>Mutual Service Life Ins Co.</t>
  </si>
  <si>
    <t>C3041</t>
  </si>
  <si>
    <t>Mutual Service Life Ins Co. (SA Company Aggregate)</t>
  </si>
  <si>
    <t>S3041</t>
  </si>
  <si>
    <t>Mutual Trust Life Insurance Co</t>
  </si>
  <si>
    <t>C2625</t>
  </si>
  <si>
    <t>Mutual Trust Life Insurance Co (SA Company Aggregate)</t>
  </si>
  <si>
    <t>S2625</t>
  </si>
  <si>
    <t>Myers Life Insurance Co.</t>
  </si>
  <si>
    <t>C7175</t>
  </si>
  <si>
    <t>N Amer Co. for L&amp;H Ins of NY</t>
  </si>
  <si>
    <t>C5884</t>
  </si>
  <si>
    <t>NACOLAH Life Insurance Co.</t>
  </si>
  <si>
    <t>C5827</t>
  </si>
  <si>
    <t>Nassau Life &amp; Annuity Co.</t>
  </si>
  <si>
    <t>C2714</t>
  </si>
  <si>
    <t>Nassau Life &amp; Annuity Co. (SA Bifurcated, Unnamed Account, Insulated)</t>
  </si>
  <si>
    <t>BSA2714-01</t>
  </si>
  <si>
    <t>Nassau Life &amp; Annuity Co. (SA Company Aggregate)</t>
  </si>
  <si>
    <t>S2714</t>
  </si>
  <si>
    <t>Nassau Life Ins Co. of KS</t>
  </si>
  <si>
    <t>C2746</t>
  </si>
  <si>
    <t>Nassau Life Ins Co. of TX</t>
  </si>
  <si>
    <t>C2280</t>
  </si>
  <si>
    <t>Nassau Life Insurance Co.</t>
  </si>
  <si>
    <t>C2713</t>
  </si>
  <si>
    <t>Nassau Life Insurance Co. (SA Bifurcated, Unnamed Account, Insulated)</t>
  </si>
  <si>
    <t>BSA2713-01</t>
  </si>
  <si>
    <t>Nassau Life Insurance Co. (SA Company Aggregate)</t>
  </si>
  <si>
    <t>S2713</t>
  </si>
  <si>
    <t>GK4627668</t>
  </si>
  <si>
    <t>Nassau Re (SNL Separate Account Group)</t>
  </si>
  <si>
    <t>X4627668</t>
  </si>
  <si>
    <t>National Annuity Company</t>
  </si>
  <si>
    <t>C4394</t>
  </si>
  <si>
    <t>National Benefit Life Ins Co.</t>
  </si>
  <si>
    <t>C2627</t>
  </si>
  <si>
    <t>Primerica (SNL Life Group)</t>
  </si>
  <si>
    <t>National Benefit Life Ins Co. (SA Bifurcated, Unnamed Account, Insulated)</t>
  </si>
  <si>
    <t>BSA2627-01</t>
  </si>
  <si>
    <t>National Benefit Life Ins Co. (SA Company Aggregate)</t>
  </si>
  <si>
    <t>S2627</t>
  </si>
  <si>
    <t>National Capital Life Ins Co.</t>
  </si>
  <si>
    <t>C5740</t>
  </si>
  <si>
    <t>National City Life Ins Co.</t>
  </si>
  <si>
    <t>C5854</t>
  </si>
  <si>
    <t>National Farm Life Ins Co.</t>
  </si>
  <si>
    <t>C2629</t>
  </si>
  <si>
    <t>GK15783</t>
  </si>
  <si>
    <t>National Fidelity &amp; Sec Ins Co</t>
  </si>
  <si>
    <t>C6867</t>
  </si>
  <si>
    <t>National Fidelity Life Ins Co.</t>
  </si>
  <si>
    <t>C6694</t>
  </si>
  <si>
    <t>National Financial Ins Company</t>
  </si>
  <si>
    <t>C2631</t>
  </si>
  <si>
    <t>National Fndtn Life Ins Co.</t>
  </si>
  <si>
    <t>C5000</t>
  </si>
  <si>
    <t>GK4243865</t>
  </si>
  <si>
    <t>National Group Life Ins Co.</t>
  </si>
  <si>
    <t>C6858</t>
  </si>
  <si>
    <t>GK15790</t>
  </si>
  <si>
    <t>National Guardian Life Ins Co.</t>
  </si>
  <si>
    <t>C2633</t>
  </si>
  <si>
    <t>National Health Insurance Co.</t>
  </si>
  <si>
    <t>C2634</t>
  </si>
  <si>
    <t>National Heritage Ins Co (TX)</t>
  </si>
  <si>
    <t>C5849</t>
  </si>
  <si>
    <t>National Income Life Ins Co.</t>
  </si>
  <si>
    <t>C3585</t>
  </si>
  <si>
    <t>National Integrity Life Ins Co</t>
  </si>
  <si>
    <t>C2636</t>
  </si>
  <si>
    <t>National Integrity Life Ins Co (SA Bifurcated, Unnamed Account, Insulated)</t>
  </si>
  <si>
    <t>BSA2636-01</t>
  </si>
  <si>
    <t>National Integrity Life Ins Co (SA Company Aggregate)</t>
  </si>
  <si>
    <t>S2636</t>
  </si>
  <si>
    <t>National Life &amp; Accdt Ins Co.</t>
  </si>
  <si>
    <t>C5726</t>
  </si>
  <si>
    <t>GK4048602</t>
  </si>
  <si>
    <t>VT</t>
  </si>
  <si>
    <t>National Life Insurance Co.</t>
  </si>
  <si>
    <t>C2637</t>
  </si>
  <si>
    <t>National Life Insurance Co. (SA Bifurcated, Unnamed Account, Insulated)</t>
  </si>
  <si>
    <t>BSA2637-01</t>
  </si>
  <si>
    <t>National Life Insurance Co. (SA Company Aggregate)</t>
  </si>
  <si>
    <t>S2637</t>
  </si>
  <si>
    <t>National Marketing Life Ins Co</t>
  </si>
  <si>
    <t>C7061</t>
  </si>
  <si>
    <t>National Safety Life Ins Co.</t>
  </si>
  <si>
    <t>C2640</t>
  </si>
  <si>
    <t>National Sec Life &amp; Annuity Co</t>
  </si>
  <si>
    <t>C2375</t>
  </si>
  <si>
    <t>Ohio National (SNL Life Group)</t>
  </si>
  <si>
    <t>National Sec Life &amp; Annuity Co (SA Bifurcated, Unnamed Account, Insulated)</t>
  </si>
  <si>
    <t>BSA2375-01</t>
  </si>
  <si>
    <t>National Sec Life &amp; Annuity Co (SA Company Aggregate)</t>
  </si>
  <si>
    <t>S2375</t>
  </si>
  <si>
    <t>National Security Insurance Co</t>
  </si>
  <si>
    <t>C2641</t>
  </si>
  <si>
    <t>National States Insurance Co.</t>
  </si>
  <si>
    <t>C2642</t>
  </si>
  <si>
    <t>National Term Life Ins Co.</t>
  </si>
  <si>
    <t>C6868</t>
  </si>
  <si>
    <t>National Travelers Life Co.</t>
  </si>
  <si>
    <t>C5724</t>
  </si>
  <si>
    <t>National Travelers Life Co. (SA Company Aggregate)</t>
  </si>
  <si>
    <t>S5724</t>
  </si>
  <si>
    <t>National Western Life</t>
  </si>
  <si>
    <t>C3023</t>
  </si>
  <si>
    <t>National Western Life Grp Inc. (SNL Life Group)</t>
  </si>
  <si>
    <t>GK4633670</t>
  </si>
  <si>
    <t>NationalCare Insurance Co.</t>
  </si>
  <si>
    <t>C5876</t>
  </si>
  <si>
    <t>NationsBanc Insurance Co.</t>
  </si>
  <si>
    <t>C5733</t>
  </si>
  <si>
    <t>GK4193513</t>
  </si>
  <si>
    <t>Nationwide (SNL Separate Account Group)</t>
  </si>
  <si>
    <t>X4193513</t>
  </si>
  <si>
    <t>Nationwide Life &amp; Annty Ins Co</t>
  </si>
  <si>
    <t>C2644</t>
  </si>
  <si>
    <t>Nationwide Life &amp; Annty Ins Co (SA Bifurcated, Unnamed Account, Insulated)</t>
  </si>
  <si>
    <t>BSA2644-01</t>
  </si>
  <si>
    <t>Nationwide Life &amp; Annty Ins Co (SA Company Aggregate)</t>
  </si>
  <si>
    <t>S2644</t>
  </si>
  <si>
    <t>Nationwide Life Ins Co. of Am</t>
  </si>
  <si>
    <t>C3047</t>
  </si>
  <si>
    <t>Nationwide Life Ins Co. of Am (SA Company Aggregate)</t>
  </si>
  <si>
    <t>S3047</t>
  </si>
  <si>
    <t>Nationwide Life Ins Co. of DE</t>
  </si>
  <si>
    <t>C2737</t>
  </si>
  <si>
    <t>Nationwide Life Insurance Co.</t>
  </si>
  <si>
    <t>C2645</t>
  </si>
  <si>
    <t>Nationwide Life Insurance Co. (SA Bifurcated, Unnamed Account, Insulated)</t>
  </si>
  <si>
    <t>BSA2645-01</t>
  </si>
  <si>
    <t>Nationwide Life Insurance Co. (SA Company Aggregate)</t>
  </si>
  <si>
    <t>S2645</t>
  </si>
  <si>
    <t>Natl Affiliated Invrs Life Ins</t>
  </si>
  <si>
    <t>C6902</t>
  </si>
  <si>
    <t>Natl Family Care Life Ins Co.</t>
  </si>
  <si>
    <t>C2628</t>
  </si>
  <si>
    <t>Natl Farmers Union Life Ins Co</t>
  </si>
  <si>
    <t>C2630</t>
  </si>
  <si>
    <t>Natl Home Life &amp; Accdt Ins Co.</t>
  </si>
  <si>
    <t>C2635</t>
  </si>
  <si>
    <t>Natl Masonic Provident Assn.</t>
  </si>
  <si>
    <t>C2639</t>
  </si>
  <si>
    <t>Natl Ptnrs Grp Life Ins Co.</t>
  </si>
  <si>
    <t>C5699</t>
  </si>
  <si>
    <t>Natl Sec Life &amp; Accdt Ins Co.</t>
  </si>
  <si>
    <t>C6697</t>
  </si>
  <si>
    <t>Natl Service Indl Life Ins Co.</t>
  </si>
  <si>
    <t>C7151</t>
  </si>
  <si>
    <t>Natl Teachers Assoc. Life Ins</t>
  </si>
  <si>
    <t>C2643</t>
  </si>
  <si>
    <t>Natwide Life &amp; Annty Co. of Am</t>
  </si>
  <si>
    <t>C2740</t>
  </si>
  <si>
    <t>Natwide Life &amp; Annty Co. of Am (SA Company Aggregate)</t>
  </si>
  <si>
    <t>S2740</t>
  </si>
  <si>
    <t>NC Mutual Life Insurance Co.</t>
  </si>
  <si>
    <t>C2655</t>
  </si>
  <si>
    <t>NetCare L&amp;H Insurance Co.</t>
  </si>
  <si>
    <t>C3471</t>
  </si>
  <si>
    <t>New England Life Insurance Co.</t>
  </si>
  <si>
    <t>C3039</t>
  </si>
  <si>
    <t>New England Life Insurance Co. (SA Bifurcated, Unnamed Account, Insulated)</t>
  </si>
  <si>
    <t>BSA3039-01</t>
  </si>
  <si>
    <t>New England Life Insurance Co. (SA Company Aggregate)</t>
  </si>
  <si>
    <t>S3039</t>
  </si>
  <si>
    <t>New England Pension &amp; Annuity</t>
  </si>
  <si>
    <t>C5890</t>
  </si>
  <si>
    <t>New Era Life Ins Co. of the MW</t>
  </si>
  <si>
    <t>C2648</t>
  </si>
  <si>
    <t>New Era Life Insurance Co.</t>
  </si>
  <si>
    <t>C2647</t>
  </si>
  <si>
    <t>GK4023118</t>
  </si>
  <si>
    <t>New Foundation Life Ins Co.</t>
  </si>
  <si>
    <t>C2402</t>
  </si>
  <si>
    <t>New South Life Insurance Co.</t>
  </si>
  <si>
    <t>C2649</t>
  </si>
  <si>
    <t>New York Life (SNL Life Group)</t>
  </si>
  <si>
    <t>GK110248</t>
  </si>
  <si>
    <t>New York Life (SNL Separate Account Group)</t>
  </si>
  <si>
    <t>X110248</t>
  </si>
  <si>
    <t>New York Life Agents Re Co.</t>
  </si>
  <si>
    <t>C3016</t>
  </si>
  <si>
    <t>New York Life Ins &amp; Annty Corp</t>
  </si>
  <si>
    <t>C2651</t>
  </si>
  <si>
    <t>New York Life Ins &amp; Annty Corp (SA Bifurcated, Unnamed Account, Insulated)</t>
  </si>
  <si>
    <t>BSA2651-01</t>
  </si>
  <si>
    <t>New York Life Ins &amp; Annty Corp (SA Company Aggregate)</t>
  </si>
  <si>
    <t>S2651</t>
  </si>
  <si>
    <t>New York Life Insurance Co.</t>
  </si>
  <si>
    <t>C3043</t>
  </si>
  <si>
    <t>New York Life Insurance Co. (SA Bifurcated, Unnamed Account, Insulated)</t>
  </si>
  <si>
    <t>BSA3043-01</t>
  </si>
  <si>
    <t>New York Life Insurance Co. (SA Company Aggregate)</t>
  </si>
  <si>
    <t>S3043</t>
  </si>
  <si>
    <t>Niagara L&amp;H Insurance Co.</t>
  </si>
  <si>
    <t>C4210</t>
  </si>
  <si>
    <t>Nippon Life Insurance Co of Am</t>
  </si>
  <si>
    <t>C2652</t>
  </si>
  <si>
    <t>Nippon Life Insurance Co of Am (SA Company Aggregate)</t>
  </si>
  <si>
    <t>S2652</t>
  </si>
  <si>
    <t>Nissan Motor Life Ins Corp.</t>
  </si>
  <si>
    <t>C6727</t>
  </si>
  <si>
    <t>Normandy Life Insurance Co.</t>
  </si>
  <si>
    <t>C6715</t>
  </si>
  <si>
    <t>North Amer Natl Life Ins Co.</t>
  </si>
  <si>
    <t>C5784</t>
  </si>
  <si>
    <t>North America Life Ins Co.</t>
  </si>
  <si>
    <t>C2529</t>
  </si>
  <si>
    <t>North American Co. for L&amp;H Ins</t>
  </si>
  <si>
    <t>C2653</t>
  </si>
  <si>
    <t>North American Insurance Co.</t>
  </si>
  <si>
    <t>C2654</t>
  </si>
  <si>
    <t>North American Natl Re Ins Co.</t>
  </si>
  <si>
    <t>C5670</t>
  </si>
  <si>
    <t>North Central Life Ins Co.</t>
  </si>
  <si>
    <t>C5728</t>
  </si>
  <si>
    <t>North West Life Assr Co. Amer</t>
  </si>
  <si>
    <t>C6565</t>
  </si>
  <si>
    <t>Northbrook Life Insurance Co.</t>
  </si>
  <si>
    <t>C5840</t>
  </si>
  <si>
    <t>Northbrook Life Insurance Co. (SA Company Aggregate)</t>
  </si>
  <si>
    <t>S5840</t>
  </si>
  <si>
    <t>Northeast United Life Ins Co.</t>
  </si>
  <si>
    <t>C2657</t>
  </si>
  <si>
    <t>Northern Life Insurance Co.</t>
  </si>
  <si>
    <t>C5853</t>
  </si>
  <si>
    <t>Northern Life Insurance Co. (SA Company Aggregate)</t>
  </si>
  <si>
    <t>S5853</t>
  </si>
  <si>
    <t>Northern National Life Ins Co.</t>
  </si>
  <si>
    <t>C2658</t>
  </si>
  <si>
    <t>Northwestern Mutl Life Ins Co.</t>
  </si>
  <si>
    <t>C2660</t>
  </si>
  <si>
    <t>Northwestern Mutual (SNL Life Group)</t>
  </si>
  <si>
    <t>Northwestern Mutl Life Ins Co. (SA Bifurcated, Unnamed Account, Insulated)</t>
  </si>
  <si>
    <t>BSA2660-01</t>
  </si>
  <si>
    <t>Northwestern Mutl Life Ins Co. (SA Company Aggregate)</t>
  </si>
  <si>
    <t>S2660</t>
  </si>
  <si>
    <t>GK15866</t>
  </si>
  <si>
    <t>NTA Life Insurance Co. of NY</t>
  </si>
  <si>
    <t>C8517</t>
  </si>
  <si>
    <t>NWrn Long Term Care Ins Co.</t>
  </si>
  <si>
    <t>C2816</t>
  </si>
  <si>
    <t>NYLIFE Insurance Co. of AZ</t>
  </si>
  <si>
    <t>C2661</t>
  </si>
  <si>
    <t>Oakwood Life Insurance Co.</t>
  </si>
  <si>
    <t>C6834</t>
  </si>
  <si>
    <t>Obrien National Life Ins Co.</t>
  </si>
  <si>
    <t>C7159</t>
  </si>
  <si>
    <t>Occidental Life Ins Co. of NC</t>
  </si>
  <si>
    <t>C2663</t>
  </si>
  <si>
    <t>Oceanview Life &amp; Annuity Co.</t>
  </si>
  <si>
    <t>C2761</t>
  </si>
  <si>
    <t>Ocoee Life Insurance Co.</t>
  </si>
  <si>
    <t>C6578</t>
  </si>
  <si>
    <t>Octorion Life Insurance Co.</t>
  </si>
  <si>
    <t>C7214</t>
  </si>
  <si>
    <t>Ohio Motorists Life Ins Co.</t>
  </si>
  <si>
    <t>C2665</t>
  </si>
  <si>
    <t>GK4042248</t>
  </si>
  <si>
    <t>Ohio National (SNL Separate Account Group)</t>
  </si>
  <si>
    <t>X4042248</t>
  </si>
  <si>
    <t>Ohio National Life Assr Corp.</t>
  </si>
  <si>
    <t>C2666</t>
  </si>
  <si>
    <t>Ohio National Life Assr Corp. (SA Bifurcated, Unnamed Account, Insulated)</t>
  </si>
  <si>
    <t>BSA2666-01</t>
  </si>
  <si>
    <t>Ohio National Life Assr Corp. (SA Company Aggregate)</t>
  </si>
  <si>
    <t>S2666</t>
  </si>
  <si>
    <t>Ohio National Life Ins Co.</t>
  </si>
  <si>
    <t>C3045</t>
  </si>
  <si>
    <t>Ohio National Life Ins Co. (SA Bifurcated, Unnamed Account, Insulated)</t>
  </si>
  <si>
    <t>BSA3045-01</t>
  </si>
  <si>
    <t>Ohio National Life Ins Co. (SA Company Aggregate)</t>
  </si>
  <si>
    <t>S3045</t>
  </si>
  <si>
    <t>Ohio State Life Insurance Co.</t>
  </si>
  <si>
    <t>C2667</t>
  </si>
  <si>
    <t>Old American Insurance Co.</t>
  </si>
  <si>
    <t>C2668</t>
  </si>
  <si>
    <t>Old Dominion Life Insurance Co</t>
  </si>
  <si>
    <t>C5908</t>
  </si>
  <si>
    <t>PROSPERITY (SNL Life Group)</t>
  </si>
  <si>
    <t>Old Kent Financial Life Ins Co</t>
  </si>
  <si>
    <t>C6587</t>
  </si>
  <si>
    <t>Old Line Life Insurance Co.</t>
  </si>
  <si>
    <t>C5729</t>
  </si>
  <si>
    <t>Old Repub Life Insurance Co.</t>
  </si>
  <si>
    <t>C2670</t>
  </si>
  <si>
    <t>Old Republic AZ Co.</t>
  </si>
  <si>
    <t>C4690</t>
  </si>
  <si>
    <t>Old South Life Insurance Co.</t>
  </si>
  <si>
    <t>C5863</t>
  </si>
  <si>
    <t>Old Southwest Life Ins Co.</t>
  </si>
  <si>
    <t>C6820</t>
  </si>
  <si>
    <t>Old Spartan Life Insurance Co.</t>
  </si>
  <si>
    <t>C2672</t>
  </si>
  <si>
    <t>Old Standard Life Insurance</t>
  </si>
  <si>
    <t>C5842</t>
  </si>
  <si>
    <t>Old Surety (SNL Life Group)</t>
  </si>
  <si>
    <t>GK4054428</t>
  </si>
  <si>
    <t>Old Surety Insurance Co.</t>
  </si>
  <si>
    <t>C9231</t>
  </si>
  <si>
    <t>Old Surety Life Insurance Co.</t>
  </si>
  <si>
    <t>C2673</t>
  </si>
  <si>
    <t>Old United Life Insurance Co.</t>
  </si>
  <si>
    <t>C2674</t>
  </si>
  <si>
    <t>Old United Reinsurance Co.</t>
  </si>
  <si>
    <t>C5829</t>
  </si>
  <si>
    <t>Old West Annuity &amp; Life Ins Co</t>
  </si>
  <si>
    <t>C2159</t>
  </si>
  <si>
    <t>Olivia Life Insurance Co.</t>
  </si>
  <si>
    <t>C6876</t>
  </si>
  <si>
    <t>Omaha Health Insurance Co. (SA Company Aggregate)</t>
  </si>
  <si>
    <t>S2556</t>
  </si>
  <si>
    <t>Omaha Insurance Co.</t>
  </si>
  <si>
    <t>C6515</t>
  </si>
  <si>
    <t>Omaha Life Ins Co. (Merged)</t>
  </si>
  <si>
    <t>C5750</t>
  </si>
  <si>
    <t>Omaha Supplemental Ins Co.</t>
  </si>
  <si>
    <t>C9330</t>
  </si>
  <si>
    <t>Omega Reinsurance Corp.</t>
  </si>
  <si>
    <t>C2675</t>
  </si>
  <si>
    <t>Omnia Life Insurance Co.</t>
  </si>
  <si>
    <t>C5274</t>
  </si>
  <si>
    <t>GK110229</t>
  </si>
  <si>
    <t>Oneida Life Insurance Co.</t>
  </si>
  <si>
    <t>C7155</t>
  </si>
  <si>
    <t>Ontario Re Co. Ltd. (L&amp;H)</t>
  </si>
  <si>
    <t>C6679</t>
  </si>
  <si>
    <t>Optimum (SNL Life Group)</t>
  </si>
  <si>
    <t>GK4054430</t>
  </si>
  <si>
    <t>Optimum Re Insurance Co.</t>
  </si>
  <si>
    <t>C2676</t>
  </si>
  <si>
    <t>Optum Insurance of OH Inc.</t>
  </si>
  <si>
    <t>C2272</t>
  </si>
  <si>
    <t>Orange Security Life Ins Co.</t>
  </si>
  <si>
    <t>C6866</t>
  </si>
  <si>
    <t>ORDESCO Life &amp; Accident Ins Co</t>
  </si>
  <si>
    <t>C7143</t>
  </si>
  <si>
    <t>Overton Life Insurance Co.</t>
  </si>
  <si>
    <t>C6558</t>
  </si>
  <si>
    <t>OWL Insurance Co.</t>
  </si>
  <si>
    <t>C5325</t>
  </si>
  <si>
    <t>Oxford Health Plans (IL) Inc.</t>
  </si>
  <si>
    <t>C7073</t>
  </si>
  <si>
    <t>GK4023192</t>
  </si>
  <si>
    <t>Oxford Life Insurance Co.</t>
  </si>
  <si>
    <t>C2683</t>
  </si>
  <si>
    <t>Ozark Natl Life Ins Co. (AR)</t>
  </si>
  <si>
    <t>C2684</t>
  </si>
  <si>
    <t>Ozark Natl Life Ins Co. (MO)</t>
  </si>
  <si>
    <t>C2685</t>
  </si>
  <si>
    <t>Pacfc Beacon Life Reassurance</t>
  </si>
  <si>
    <t>C3903</t>
  </si>
  <si>
    <t>Pacific Century Life Ins Corp.</t>
  </si>
  <si>
    <t>C4747</t>
  </si>
  <si>
    <t>Pacific Corinthian Life Ins Co</t>
  </si>
  <si>
    <t>C7227</t>
  </si>
  <si>
    <t>Pacific Life (SNL Life Group)</t>
  </si>
  <si>
    <t>Pacific Corinthian Life Ins Co (SA Company Aggregate)</t>
  </si>
  <si>
    <t>S7227</t>
  </si>
  <si>
    <t>Pacific Guardian Life Ins Co.</t>
  </si>
  <si>
    <t>C2686</t>
  </si>
  <si>
    <t>Standard (SNL Life Group)</t>
  </si>
  <si>
    <t>Pacific Heritage Assurance Co.</t>
  </si>
  <si>
    <t>C7157</t>
  </si>
  <si>
    <t>Pacific Life &amp; Accident Ins Co</t>
  </si>
  <si>
    <t>C2688</t>
  </si>
  <si>
    <t>Pacific Life &amp; Annuity Co.</t>
  </si>
  <si>
    <t>C2722</t>
  </si>
  <si>
    <t>Pacific Life &amp; Annuity Co. (SA Bifurcated, Unnamed Account, Insulated)</t>
  </si>
  <si>
    <t>BSA2722-01</t>
  </si>
  <si>
    <t>Pacific Life &amp; Annuity Co. (SA Company Aggregate)</t>
  </si>
  <si>
    <t>S2722</t>
  </si>
  <si>
    <t>GK4025122</t>
  </si>
  <si>
    <t>Pacific Life (SNL Separate Account Group)</t>
  </si>
  <si>
    <t>X4025122</t>
  </si>
  <si>
    <t>Pacific Life Insurance Co.</t>
  </si>
  <si>
    <t>C3036</t>
  </si>
  <si>
    <t>Pacific Life Insurance Co. (SA Bifurcated, Unnamed Account, Insulated)</t>
  </si>
  <si>
    <t>BSA3036-01</t>
  </si>
  <si>
    <t>Pacific Life Insurance Co. (SA Bifurcated, Unnamed Account, Non-insulated)</t>
  </si>
  <si>
    <t>BSA3036-02</t>
  </si>
  <si>
    <t>Pacific Life Insurance Co. (SA Company Aggregate)</t>
  </si>
  <si>
    <t>S3036</t>
  </si>
  <si>
    <t>Pacific Union Assurance Co.</t>
  </si>
  <si>
    <t>C2689</t>
  </si>
  <si>
    <t>PacifiCare L&amp;H Insurance Co.</t>
  </si>
  <si>
    <t>C2690</t>
  </si>
  <si>
    <t>PacifiCare Life Insurance Co.</t>
  </si>
  <si>
    <t>C5903</t>
  </si>
  <si>
    <t>GK4202142</t>
  </si>
  <si>
    <t>Pan American Life (SNL Separate Account Group)</t>
  </si>
  <si>
    <t>X4202142</t>
  </si>
  <si>
    <t>Pan-American Assr Co. Intl Inc</t>
  </si>
  <si>
    <t>C7353</t>
  </si>
  <si>
    <t>Pan-American Assurance Co.</t>
  </si>
  <si>
    <t>C2692</t>
  </si>
  <si>
    <t>Pan-American Assurance Co. (SA Company Aggregate)</t>
  </si>
  <si>
    <t>S2692</t>
  </si>
  <si>
    <t>Pan-American Life Ins Co of PR</t>
  </si>
  <si>
    <t>C6246</t>
  </si>
  <si>
    <t>Pan-American Life Insurance Co</t>
  </si>
  <si>
    <t>C2693</t>
  </si>
  <si>
    <t>Pan-American Life Insurance Co (SA Bifurcated, Unnamed Account, Insulated)</t>
  </si>
  <si>
    <t>BSA2693-01</t>
  </si>
  <si>
    <t>Pan-American Life Insurance Co (SA Company Aggregate)</t>
  </si>
  <si>
    <t>S2693</t>
  </si>
  <si>
    <t>Paragon Life Ins Co of Indiana</t>
  </si>
  <si>
    <t>C7732</t>
  </si>
  <si>
    <t>Paragon Life Insurance Co.</t>
  </si>
  <si>
    <t>C5901</t>
  </si>
  <si>
    <t>Paragon Life Insurance Co. (SA Company Aggregate)</t>
  </si>
  <si>
    <t>S5901</t>
  </si>
  <si>
    <t>Park Avenue Life Insurance Co.</t>
  </si>
  <si>
    <t>C2376</t>
  </si>
  <si>
    <t>Park Life Insurance Co.</t>
  </si>
  <si>
    <t>C7232</t>
  </si>
  <si>
    <t>Park Two Life Insurance Co.</t>
  </si>
  <si>
    <t>C7067</t>
  </si>
  <si>
    <t>Parker Centennial Assurance Co</t>
  </si>
  <si>
    <t>C2059</t>
  </si>
  <si>
    <t>Sentry (SNL Life Group)</t>
  </si>
  <si>
    <t>PartnerRe Life Re Co. of Am</t>
  </si>
  <si>
    <t>C2201</t>
  </si>
  <si>
    <t>Partners Life Insurance Co.</t>
  </si>
  <si>
    <t>C7238</t>
  </si>
  <si>
    <t>Partners Life Insurance Co. DE</t>
  </si>
  <si>
    <t>C6890</t>
  </si>
  <si>
    <t>Pathmark Administrators Inc.</t>
  </si>
  <si>
    <t>C5905</t>
  </si>
  <si>
    <t>Patriot Life Insurance Co.</t>
  </si>
  <si>
    <t>C2694</t>
  </si>
  <si>
    <t>Paul Revere Life Insurance Co.</t>
  </si>
  <si>
    <t>C2695</t>
  </si>
  <si>
    <t>Paul Revere Protective Life</t>
  </si>
  <si>
    <t>C5911</t>
  </si>
  <si>
    <t>PAULA Assurance Co.</t>
  </si>
  <si>
    <t>C5788</t>
  </si>
  <si>
    <t>Pavonia Life Ins Co. MI</t>
  </si>
  <si>
    <t>C2471</t>
  </si>
  <si>
    <t>Pavonia Life Ins Co. of AZ</t>
  </si>
  <si>
    <t>C2073</t>
  </si>
  <si>
    <t>Pavonia Life Ins Co. of DE</t>
  </si>
  <si>
    <t>C4293</t>
  </si>
  <si>
    <t>Pavonia Life Ins Co. of NY</t>
  </si>
  <si>
    <t>C2365</t>
  </si>
  <si>
    <t>PCA Life Insurance Co of Texas</t>
  </si>
  <si>
    <t>C6670</t>
  </si>
  <si>
    <t>PCA Life Insurance Co.</t>
  </si>
  <si>
    <t>C7074</t>
  </si>
  <si>
    <t>Peachtree Life Insurance Co.</t>
  </si>
  <si>
    <t>C7243</t>
  </si>
  <si>
    <t>Pekin Life Insurance Co.</t>
  </si>
  <si>
    <t>C2697</t>
  </si>
  <si>
    <t>Pellerin Life Insurance Co.</t>
  </si>
  <si>
    <t>C2698</t>
  </si>
  <si>
    <t>PEMCO Life Insurance Co.</t>
  </si>
  <si>
    <t>C2699</t>
  </si>
  <si>
    <t>Penn Insurance &amp; Annuity Co.</t>
  </si>
  <si>
    <t>C2701</t>
  </si>
  <si>
    <t>Penn Mutual (SNL Life Group)</t>
  </si>
  <si>
    <t>Penn Insurance &amp; Annuity Co. (SA Bifurcated, Unnamed Account, Insulated)</t>
  </si>
  <si>
    <t>BSA2701-01</t>
  </si>
  <si>
    <t>Penn Insurance &amp; Annuity Co. (SA Company Aggregate)</t>
  </si>
  <si>
    <t>S2701</t>
  </si>
  <si>
    <t>GK110258</t>
  </si>
  <si>
    <t>Penn Mutual (SNL Separate Account Group)</t>
  </si>
  <si>
    <t>X110258</t>
  </si>
  <si>
    <t>Penn Mutual Life Insurance Co.</t>
  </si>
  <si>
    <t>C3046</t>
  </si>
  <si>
    <t>Penn Mutual Life Insurance Co. (SA Bifurcated, Unnamed Account, Insulated)</t>
  </si>
  <si>
    <t>BSA3046-01</t>
  </si>
  <si>
    <t>Penn Mutual Life Insurance Co. (SA Company Aggregate)</t>
  </si>
  <si>
    <t>S3046</t>
  </si>
  <si>
    <t>Penn Ohio Life Insurance Co.</t>
  </si>
  <si>
    <t>C6701</t>
  </si>
  <si>
    <t>Penn Treaty Ntwrk Am Ins Co</t>
  </si>
  <si>
    <t>C2646</t>
  </si>
  <si>
    <t>Pennco Life Insurance Co.</t>
  </si>
  <si>
    <t>C7244</t>
  </si>
  <si>
    <t>Pension Life Ins Co of America</t>
  </si>
  <si>
    <t>C5739</t>
  </si>
  <si>
    <t>Peoples Benefit Life Ins Co.</t>
  </si>
  <si>
    <t>C2741</t>
  </si>
  <si>
    <t>Peoples Benefit Life Ins Co. (SA Company Aggregate)</t>
  </si>
  <si>
    <t>S2741</t>
  </si>
  <si>
    <t>Peoples Life Insurance Co.</t>
  </si>
  <si>
    <t>C7140</t>
  </si>
  <si>
    <t>Peoples Savings Life Ins Co.</t>
  </si>
  <si>
    <t>C2704</t>
  </si>
  <si>
    <t>Peoples Security Life Ins Co.</t>
  </si>
  <si>
    <t>C7098</t>
  </si>
  <si>
    <t>Peoples Security Life Ins Co. (SA Company Aggregate)</t>
  </si>
  <si>
    <t>S7098</t>
  </si>
  <si>
    <t>Performance Life of America</t>
  </si>
  <si>
    <t>C2705</t>
  </si>
  <si>
    <t>PHF Life Insurance Co.</t>
  </si>
  <si>
    <t>C6816</t>
  </si>
  <si>
    <t>Philadelphia Amer Life Ins Co.</t>
  </si>
  <si>
    <t>C2709</t>
  </si>
  <si>
    <t>Philadelphia Life Insurance Co</t>
  </si>
  <si>
    <t>C7262</t>
  </si>
  <si>
    <t>Philadelphia Life Insurance Co (SA Company Aggregate)</t>
  </si>
  <si>
    <t>S7262</t>
  </si>
  <si>
    <t>Philadelphia-Untd Life Ins Co.</t>
  </si>
  <si>
    <t>C2710</t>
  </si>
  <si>
    <t>Philanthropic Mutl Life Ins Co</t>
  </si>
  <si>
    <t>C5719</t>
  </si>
  <si>
    <t>PHL Variable Insurance Co.</t>
  </si>
  <si>
    <t>C2711</t>
  </si>
  <si>
    <t>PHL Variable Insurance Co. (SA Bifurcated, Unnamed Account, Insulated)</t>
  </si>
  <si>
    <t>BSA2711-01</t>
  </si>
  <si>
    <t>PHL Variable Insurance Co. (SA Company Aggregate)</t>
  </si>
  <si>
    <t>S2711</t>
  </si>
  <si>
    <t>Phoenix Life Ins (Historical)</t>
  </si>
  <si>
    <t>C6671</t>
  </si>
  <si>
    <t>PHP Reinsurance Co.</t>
  </si>
  <si>
    <t>C7125</t>
  </si>
  <si>
    <t>Physicians' Bnfts Tr Life Ins</t>
  </si>
  <si>
    <t>C2889</t>
  </si>
  <si>
    <t>Physicians Life Insurance Co.</t>
  </si>
  <si>
    <t>C2715</t>
  </si>
  <si>
    <t>Physicians Mutual (SNL Life Group)</t>
  </si>
  <si>
    <t>GK15990</t>
  </si>
  <si>
    <t>Physicians Mutual Insurance Co</t>
  </si>
  <si>
    <t>C2716</t>
  </si>
  <si>
    <t>Piedmont Insurance Co.</t>
  </si>
  <si>
    <t>C5891</t>
  </si>
  <si>
    <t>Pierce National Life Ins Co.</t>
  </si>
  <si>
    <t>C5725</t>
  </si>
  <si>
    <t>Pima Life Insurance Co.</t>
  </si>
  <si>
    <t>C7265</t>
  </si>
  <si>
    <t>Pine Belt Life Insurance Co.</t>
  </si>
  <si>
    <t>C7275</t>
  </si>
  <si>
    <t>Pioneer American Insurance Co.</t>
  </si>
  <si>
    <t>C2717</t>
  </si>
  <si>
    <t>Pioneer Life Insurance Co.</t>
  </si>
  <si>
    <t>C5790</t>
  </si>
  <si>
    <t>Pioneer Military Ins Co. (AZ)</t>
  </si>
  <si>
    <t>C2718</t>
  </si>
  <si>
    <t>Pioneer Military Insurance Co.</t>
  </si>
  <si>
    <t>C4475</t>
  </si>
  <si>
    <t>Pioneer Mutual Life Ins Co.</t>
  </si>
  <si>
    <t>C2719</t>
  </si>
  <si>
    <t>Pioneer Reinsurance Co.</t>
  </si>
  <si>
    <t>C7253</t>
  </si>
  <si>
    <t>Pioneer Security Life Ins Co.</t>
  </si>
  <si>
    <t>C2720</t>
  </si>
  <si>
    <t>Plateau Insurance Co.</t>
  </si>
  <si>
    <t>C2721</t>
  </si>
  <si>
    <t>PMA Life Insurance Co.</t>
  </si>
  <si>
    <t>C6703</t>
  </si>
  <si>
    <t>Popular Life Re</t>
  </si>
  <si>
    <t>C3827</t>
  </si>
  <si>
    <t>Powell Insurance Group LLLP (SNL Life Group)</t>
  </si>
  <si>
    <t>GK4171053</t>
  </si>
  <si>
    <t>Prairie National Life Ins Co.</t>
  </si>
  <si>
    <t>C6801</t>
  </si>
  <si>
    <t>Pramco Life Insurance Company</t>
  </si>
  <si>
    <t>C6114</t>
  </si>
  <si>
    <t>Preferred Access Insurance Co.</t>
  </si>
  <si>
    <t>C7062</t>
  </si>
  <si>
    <t>Preferred Mgmt Life Ins Co.</t>
  </si>
  <si>
    <t>C7109</t>
  </si>
  <si>
    <t>Preferred Security Life Ins Co</t>
  </si>
  <si>
    <t>C2217</t>
  </si>
  <si>
    <t>GK4171648</t>
  </si>
  <si>
    <t>Preneed Reinsurance Co. of Am</t>
  </si>
  <si>
    <t>C4492</t>
  </si>
  <si>
    <t>Preservation Life Insurance Co</t>
  </si>
  <si>
    <t>C2662</t>
  </si>
  <si>
    <t>Presidential Life Ins Co. (TX)</t>
  </si>
  <si>
    <t>C2726</t>
  </si>
  <si>
    <t>Pride of Carroll Life Ins Co.</t>
  </si>
  <si>
    <t>C6585</t>
  </si>
  <si>
    <t>GK4245322</t>
  </si>
  <si>
    <t>Primerica Life Insurance Co.</t>
  </si>
  <si>
    <t>C2728</t>
  </si>
  <si>
    <t>Princeton Life Insurance Co.</t>
  </si>
  <si>
    <t>C7186</t>
  </si>
  <si>
    <t>Princeton Reinsurance Co.</t>
  </si>
  <si>
    <t>C5678</t>
  </si>
  <si>
    <t>Principal Financial Group Inc. (SNL Life Group)</t>
  </si>
  <si>
    <t>GK110230</t>
  </si>
  <si>
    <t>Principal Financial Group Inc. (SNL Separate Account Group)</t>
  </si>
  <si>
    <t>X110230</t>
  </si>
  <si>
    <t>Principal Life Ins Co. of Iowa</t>
  </si>
  <si>
    <t>C6396</t>
  </si>
  <si>
    <t>Principal Life Insurance Co.</t>
  </si>
  <si>
    <t>C2730</t>
  </si>
  <si>
    <t>Principal Life Insurance Co. (SA Bifurcated, Unnamed Account, Insulated)</t>
  </si>
  <si>
    <t>BSA2730-01</t>
  </si>
  <si>
    <t>Principal Life Insurance Co. (SA Company Aggregate)</t>
  </si>
  <si>
    <t>S2730</t>
  </si>
  <si>
    <t>Principal National Life Ins Co</t>
  </si>
  <si>
    <t>C2733</t>
  </si>
  <si>
    <t>Principal National Life Ins Co (SA Bifurcated, Unnamed Account, Insulated)</t>
  </si>
  <si>
    <t>BSA2733-01</t>
  </si>
  <si>
    <t>Principal National Life Ins Co (SA Company Aggregate)</t>
  </si>
  <si>
    <t>S2733</t>
  </si>
  <si>
    <t>PROActive Insurance Corp.</t>
  </si>
  <si>
    <t>C6710</t>
  </si>
  <si>
    <t>Prof Life &amp; Annuity Ins Co.</t>
  </si>
  <si>
    <t>C7245</t>
  </si>
  <si>
    <t>Professional Benefits Ins Co.</t>
  </si>
  <si>
    <t>C7269</t>
  </si>
  <si>
    <t>Professional Insurance Co.</t>
  </si>
  <si>
    <t>C2731</t>
  </si>
  <si>
    <t>Professional Life &amp; Cas Co.</t>
  </si>
  <si>
    <t>C2732</t>
  </si>
  <si>
    <t>Programmed Life Insurance Co.</t>
  </si>
  <si>
    <t>C5745</t>
  </si>
  <si>
    <t>GK15039587</t>
  </si>
  <si>
    <t>Prosperity Life Insurance Co.</t>
  </si>
  <si>
    <t>C6852</t>
  </si>
  <si>
    <t>ProTec Insurance Co.</t>
  </si>
  <si>
    <t>C8482</t>
  </si>
  <si>
    <t>Protected Home Mutual Life Ins</t>
  </si>
  <si>
    <t>C5761</t>
  </si>
  <si>
    <t>GK4005257</t>
  </si>
  <si>
    <t>Protective (SNL Separate Account Group)</t>
  </si>
  <si>
    <t>X4005257</t>
  </si>
  <si>
    <t>Protective Industrial Ins Co.</t>
  </si>
  <si>
    <t>C5217</t>
  </si>
  <si>
    <t>Protective Life &amp; Annty Ins Co</t>
  </si>
  <si>
    <t>C2101</t>
  </si>
  <si>
    <t>Protective Life &amp; Annty Ins Co (SA Bifurcated, Unnamed Account, Insulated)</t>
  </si>
  <si>
    <t>BSA2101-01</t>
  </si>
  <si>
    <t>Protective Life &amp; Annty Ins Co (SA Company Aggregate)</t>
  </si>
  <si>
    <t>S2101</t>
  </si>
  <si>
    <t>Protective Life Ins Co. of NY</t>
  </si>
  <si>
    <t>C3888</t>
  </si>
  <si>
    <t>Protective Life Ins Corp of AL</t>
  </si>
  <si>
    <t>C6835</t>
  </si>
  <si>
    <t>Protective Life Insurance Co.</t>
  </si>
  <si>
    <t>C3035</t>
  </si>
  <si>
    <t>Protective Life Insurance Co. (SA Bifurcated, Unnamed Account, Insulated)</t>
  </si>
  <si>
    <t>BSA3035-02</t>
  </si>
  <si>
    <t>Protective Life Insurance Co. (SA Bifurcated, Unnamed Account, Non-insulated)</t>
  </si>
  <si>
    <t>BSA3035-01</t>
  </si>
  <si>
    <t>Protective Life Insurance Co. (SA Company Aggregate)</t>
  </si>
  <si>
    <t>S3035</t>
  </si>
  <si>
    <t>Provident American Ins Co.</t>
  </si>
  <si>
    <t>C2735</t>
  </si>
  <si>
    <t>Provident American L&amp;H Ins Co.</t>
  </si>
  <si>
    <t>C2734</t>
  </si>
  <si>
    <t>Provident Indem Life Ins Co.</t>
  </si>
  <si>
    <t>C5776</t>
  </si>
  <si>
    <t>Provident Life &amp; Accident Ins</t>
  </si>
  <si>
    <t>C3048</t>
  </si>
  <si>
    <t>Provident Life &amp; Cas Ins Co.</t>
  </si>
  <si>
    <t>C2736</t>
  </si>
  <si>
    <t>Providential Life Insurance Co</t>
  </si>
  <si>
    <t>C6699</t>
  </si>
  <si>
    <t>Providential Uniformed Svcs</t>
  </si>
  <si>
    <t>C6736</t>
  </si>
  <si>
    <t>Pruco Life Insurance Co.</t>
  </si>
  <si>
    <t>C2743</t>
  </si>
  <si>
    <t>Prudential Financial Inc. (SNL Life Group)</t>
  </si>
  <si>
    <t>Pruco Life Insurance Co. (SA Bifurcated, Unnamed Account, Insulated)</t>
  </si>
  <si>
    <t>BSA2743-01</t>
  </si>
  <si>
    <t>Pruco Life Insurance Co. (SA Company Aggregate)</t>
  </si>
  <si>
    <t>S2743</t>
  </si>
  <si>
    <t>Pruco Life Insurance Co. of NJ</t>
  </si>
  <si>
    <t>C2742</t>
  </si>
  <si>
    <t>Pruco Life Insurance Co. of NJ (SA Bifurcated, Unnamed Account, Insulated)</t>
  </si>
  <si>
    <t>BSA2742-01</t>
  </si>
  <si>
    <t>Pruco Life Insurance Co. of NJ (SA Company Aggregate)</t>
  </si>
  <si>
    <t>S2742</t>
  </si>
  <si>
    <t>Prudential Annuities Life</t>
  </si>
  <si>
    <t>C2140</t>
  </si>
  <si>
    <t>Prudential Annuities Life (SA Bifurcated, Unnamed Account, Insulated)</t>
  </si>
  <si>
    <t>BSA2140-01</t>
  </si>
  <si>
    <t>Prudential Annuities Life (SA Company Aggregate)</t>
  </si>
  <si>
    <t>S2140</t>
  </si>
  <si>
    <t>GK4072932</t>
  </si>
  <si>
    <t>Prudential Financial Inc. (SNL Separate Account Group)</t>
  </si>
  <si>
    <t>X4072932</t>
  </si>
  <si>
    <t>Prudential Healthcare Lic Amer</t>
  </si>
  <si>
    <t>C6570</t>
  </si>
  <si>
    <t>Prudential Insurance Co. of Am</t>
  </si>
  <si>
    <t>C2744</t>
  </si>
  <si>
    <t>Prudential Insurance Co. of Am (SA Bifurcated, Unnamed Account, Insulated)</t>
  </si>
  <si>
    <t>BSA2744-01</t>
  </si>
  <si>
    <t>Prudential Insurance Co. of Am (SA Company Aggregate)</t>
  </si>
  <si>
    <t>S2744</t>
  </si>
  <si>
    <t>Prudential Legacy Ins Co of NJ</t>
  </si>
  <si>
    <t>C7605</t>
  </si>
  <si>
    <t>Prudential Legacy Ins Co of NJ (SA Bifurcated, Account 01, Undefined)</t>
  </si>
  <si>
    <t>BSA7605-01</t>
  </si>
  <si>
    <t>Prudential Legacy Ins Co of NJ (SA Company Aggregate)</t>
  </si>
  <si>
    <t>S7605</t>
  </si>
  <si>
    <t>Prudential Life Ins Co. of AZ</t>
  </si>
  <si>
    <t>C6730</t>
  </si>
  <si>
    <t>Prudential Retirement Ins</t>
  </si>
  <si>
    <t>C2240</t>
  </si>
  <si>
    <t>Prudential Retirement Ins (SA Bifurcated, Unnamed Account, Insulated)</t>
  </si>
  <si>
    <t>BSA2240-01</t>
  </si>
  <si>
    <t>Prudential Retirement Ins (SA Company Aggregate)</t>
  </si>
  <si>
    <t>S2240</t>
  </si>
  <si>
    <t>Puerto Rico Health Plan Inc.</t>
  </si>
  <si>
    <t>C3094</t>
  </si>
  <si>
    <t>Puritan Life Ins Co. of Am</t>
  </si>
  <si>
    <t>C2060</t>
  </si>
  <si>
    <t>Puritan Life Insurance Co.</t>
  </si>
  <si>
    <t>C2483</t>
  </si>
  <si>
    <t>Quick Silver Life Insurance Co</t>
  </si>
  <si>
    <t>C7188</t>
  </si>
  <si>
    <t>Rabenhorst Life Insurance Co.</t>
  </si>
  <si>
    <t>C2748</t>
  </si>
  <si>
    <t>Rader Life Insurance Co.</t>
  </si>
  <si>
    <t>C6822</t>
  </si>
  <si>
    <t>Rand Life Insurance Co.</t>
  </si>
  <si>
    <t>C7184</t>
  </si>
  <si>
    <t>Rayen Life Insurance Co.</t>
  </si>
  <si>
    <t>C7234</t>
  </si>
  <si>
    <t>Reassure Am Life (Old 1999)</t>
  </si>
  <si>
    <t>C6747</t>
  </si>
  <si>
    <t>Reassure Am Life (Old 2007)</t>
  </si>
  <si>
    <t>C2766</t>
  </si>
  <si>
    <t>Reassure Am Life (Old 2007) (SA Company Aggregate)</t>
  </si>
  <si>
    <t>S2766</t>
  </si>
  <si>
    <t>Reassure America Life Ins Co.</t>
  </si>
  <si>
    <t>C2915</t>
  </si>
  <si>
    <t>Reassure America Life Ins Co. (SA Company Aggregate)</t>
  </si>
  <si>
    <t>S2915</t>
  </si>
  <si>
    <t>Regal Life Insurance Co.</t>
  </si>
  <si>
    <t>C5841</t>
  </si>
  <si>
    <t>GK4171231</t>
  </si>
  <si>
    <t>Regal Life of America Ins Co.</t>
  </si>
  <si>
    <t>C2750</t>
  </si>
  <si>
    <t>Regal Reinsurance Co.</t>
  </si>
  <si>
    <t>C2751</t>
  </si>
  <si>
    <t>GK16082</t>
  </si>
  <si>
    <t>GK4086580</t>
  </si>
  <si>
    <t>Reinsurance Co. of MO Inc.</t>
  </si>
  <si>
    <t>C3728</t>
  </si>
  <si>
    <t>Reliable Life Ins Co. (LA)</t>
  </si>
  <si>
    <t>C2752</t>
  </si>
  <si>
    <t>Reliable Life Ins Co. (LA) (SNL Life Group)</t>
  </si>
  <si>
    <t>GK16084</t>
  </si>
  <si>
    <t>Reliable Life Ins Co. (MO)</t>
  </si>
  <si>
    <t>C5003</t>
  </si>
  <si>
    <t>Reliable Life Ins Co. of TX</t>
  </si>
  <si>
    <t>C2753</t>
  </si>
  <si>
    <t>Reliable Service Insurance Co.</t>
  </si>
  <si>
    <t>C2754</t>
  </si>
  <si>
    <t>GK4090200</t>
  </si>
  <si>
    <t>Reliance Standard Life Ins Co.</t>
  </si>
  <si>
    <t>C2755</t>
  </si>
  <si>
    <t>Reliance Standard Life Ins Co. (SA Bifurcated, Unnamed Account, Insulated)</t>
  </si>
  <si>
    <t>BSA2755-01</t>
  </si>
  <si>
    <t>Reliance Standard Life Ins Co. (SA Company Aggregate)</t>
  </si>
  <si>
    <t>S2755</t>
  </si>
  <si>
    <t>Reliance Std Life Ins Co. (TX)</t>
  </si>
  <si>
    <t>C2756</t>
  </si>
  <si>
    <t>ReliaStar Life Ins Co. (MN)</t>
  </si>
  <si>
    <t>C2758</t>
  </si>
  <si>
    <t>ReliaStar Life Ins Co. (MN) (SA Bifurcated, Unnamed Account, Insulated)</t>
  </si>
  <si>
    <t>BSA2758-01</t>
  </si>
  <si>
    <t>ReliaStar Life Ins Co. (MN) (SA Company Aggregate)</t>
  </si>
  <si>
    <t>S2758</t>
  </si>
  <si>
    <t>ReliaStar Life Ins Co. of NY</t>
  </si>
  <si>
    <t>C2757</t>
  </si>
  <si>
    <t>ReliaStar Life Ins Co. of NY (SA Bifurcated, Unnamed Account, Insulated)</t>
  </si>
  <si>
    <t>BSA2757-01</t>
  </si>
  <si>
    <t>ReliaStar Life Ins Co. of NY (SA Bifurcated, Unnamed Account, Non-insulated)</t>
  </si>
  <si>
    <t>BSA2757-02</t>
  </si>
  <si>
    <t>ReliaStar Life Ins Co. of NY (SA Company Aggregate)</t>
  </si>
  <si>
    <t>S2757</t>
  </si>
  <si>
    <t>ReliaStar United Svcs Life Ins</t>
  </si>
  <si>
    <t>C7120</t>
  </si>
  <si>
    <t>ReliaStar United Svcs Life Ins (SA Company Aggregate)</t>
  </si>
  <si>
    <t>S7120</t>
  </si>
  <si>
    <t>Remington Life Insurance Co.</t>
  </si>
  <si>
    <t>C7223</t>
  </si>
  <si>
    <t>Renaissance Health Svc Corp. (SNL Life Group)</t>
  </si>
  <si>
    <t>GK4171912</t>
  </si>
  <si>
    <t>Renaissance L&amp;H Ins Co. of Am</t>
  </si>
  <si>
    <t>C6129</t>
  </si>
  <si>
    <t>Renaissance L&amp;H Ins Co. of NY</t>
  </si>
  <si>
    <t>C5223</t>
  </si>
  <si>
    <t>Requia Life Insurance Corp.</t>
  </si>
  <si>
    <t>C7522</t>
  </si>
  <si>
    <t>Reserve National Insurance Co.</t>
  </si>
  <si>
    <t>C2762</t>
  </si>
  <si>
    <t>Resnick Wulbert &amp; Resnick Life</t>
  </si>
  <si>
    <t>C6896</t>
  </si>
  <si>
    <t>Resource Life Insurance Co.</t>
  </si>
  <si>
    <t>C2089</t>
  </si>
  <si>
    <t>Revelation Life Insurance Co.</t>
  </si>
  <si>
    <t>C6821</t>
  </si>
  <si>
    <t>Revios Canada Ltd.</t>
  </si>
  <si>
    <t>C4666</t>
  </si>
  <si>
    <t>SCOR (SNL Life Group)</t>
  </si>
  <si>
    <t>GK103450</t>
  </si>
  <si>
    <t>RGA Reinsurance Co.</t>
  </si>
  <si>
    <t>C2763</t>
  </si>
  <si>
    <t>RGA Reinsurance Co. (SA Company Aggregate)</t>
  </si>
  <si>
    <t>S2763</t>
  </si>
  <si>
    <t>Rhine Re Life Ins. Ltd.</t>
  </si>
  <si>
    <t>C6712</t>
  </si>
  <si>
    <t>Rhodes Life Insurance Co.</t>
  </si>
  <si>
    <t>C5869</t>
  </si>
  <si>
    <t>Ridge Life Insurance Co.</t>
  </si>
  <si>
    <t>C7166</t>
  </si>
  <si>
    <t>Ridgeway Life Insurance Co.</t>
  </si>
  <si>
    <t>C6584</t>
  </si>
  <si>
    <t>RightCHOICE Insurance Co.</t>
  </si>
  <si>
    <t>C2300</t>
  </si>
  <si>
    <t>River Lake Insurance Co.</t>
  </si>
  <si>
    <t>C7308</t>
  </si>
  <si>
    <t>River Lake Insurance Co. II</t>
  </si>
  <si>
    <t>C7309</t>
  </si>
  <si>
    <t>River Lake Insurance Co. III</t>
  </si>
  <si>
    <t>C7310</t>
  </si>
  <si>
    <t>Rivermont Life Insurance Co. I</t>
  </si>
  <si>
    <t>C7311</t>
  </si>
  <si>
    <t>Riverside Life Insurance Co.</t>
  </si>
  <si>
    <t>C7196</t>
  </si>
  <si>
    <t>GK113901</t>
  </si>
  <si>
    <t>RiverSource (SNL Separate Account Group)</t>
  </si>
  <si>
    <t>X113901</t>
  </si>
  <si>
    <t>RiverSource Life Ins Co. of NY</t>
  </si>
  <si>
    <t>C2477</t>
  </si>
  <si>
    <t>RiverSource Life Ins Co. of NY (SA Bifurcated, Unnamed Account, Insulated)</t>
  </si>
  <si>
    <t>BSA2477-01</t>
  </si>
  <si>
    <t>RiverSource Life Ins Co. of NY (SA Company Aggregate)</t>
  </si>
  <si>
    <t>S2477</t>
  </si>
  <si>
    <t>RiverSource Life Insurance Co.</t>
  </si>
  <si>
    <t>C2478</t>
  </si>
  <si>
    <t>RiverSource Life Insurance Co. (SA Bifurcated, Unnamed Account, Insulated)</t>
  </si>
  <si>
    <t>BSA2478-01</t>
  </si>
  <si>
    <t>RiverSource Life Insurance Co. (SA Bifurcated, Unnamed Account, Non-insulated)</t>
  </si>
  <si>
    <t>BSA2478-02</t>
  </si>
  <si>
    <t>RiverSource Life Insurance Co. (SA Company Aggregate)</t>
  </si>
  <si>
    <t>S2478</t>
  </si>
  <si>
    <t>Rockett Life Insurance Co.</t>
  </si>
  <si>
    <t>C6859</t>
  </si>
  <si>
    <t>Rockford Hlth Plans</t>
  </si>
  <si>
    <t>C5716</t>
  </si>
  <si>
    <t>Rocky Mountain Life Ins Co.</t>
  </si>
  <si>
    <t>C6725</t>
  </si>
  <si>
    <t>Roger Bryden Life Insurance Co</t>
  </si>
  <si>
    <t>C7213</t>
  </si>
  <si>
    <t>Ropers Life Insurance Co.</t>
  </si>
  <si>
    <t>C7063</t>
  </si>
  <si>
    <t>Rose Life Insurance Co.</t>
  </si>
  <si>
    <t>C7218</t>
  </si>
  <si>
    <t>Rosemurgy Life Insurance Co.</t>
  </si>
  <si>
    <t>C7154</t>
  </si>
  <si>
    <t>Rosen Life Insurance Co.</t>
  </si>
  <si>
    <t>C7118</t>
  </si>
  <si>
    <t>Royal Life Insurance Co. of NY</t>
  </si>
  <si>
    <t>C6737</t>
  </si>
  <si>
    <t>Royal State Natl Ins Co. Ltd.</t>
  </si>
  <si>
    <t>C2767</t>
  </si>
  <si>
    <t>Royalty Capital Life Ins Co.</t>
  </si>
  <si>
    <t>C2208</t>
  </si>
  <si>
    <t>Rudanda Life Insurance Co.</t>
  </si>
  <si>
    <t>C7189</t>
  </si>
  <si>
    <t>Rush Life Insurance Co.</t>
  </si>
  <si>
    <t>C2430</t>
  </si>
  <si>
    <t>Rushmore Life Insurance Co.</t>
  </si>
  <si>
    <t>C5870</t>
  </si>
  <si>
    <t>Rushmore National Life Ins Co.</t>
  </si>
  <si>
    <t>C5826</t>
  </si>
  <si>
    <t>RX Life Insurance Co.</t>
  </si>
  <si>
    <t>C2708</t>
  </si>
  <si>
    <t>S.USA Life Insurance Co.</t>
  </si>
  <si>
    <t>C2833</t>
  </si>
  <si>
    <t>Sabine Life Insurance Co.</t>
  </si>
  <si>
    <t>C2769</t>
  </si>
  <si>
    <t>Safe Mate Life Insurance Co.</t>
  </si>
  <si>
    <t>C7229</t>
  </si>
  <si>
    <t>SafeHealth Life Ins Co. Inc.</t>
  </si>
  <si>
    <t>C7080</t>
  </si>
  <si>
    <t>Safety Indl Life &amp; Sick</t>
  </si>
  <si>
    <t>C7163</t>
  </si>
  <si>
    <t>Sage Life Assurance of America</t>
  </si>
  <si>
    <t>C5914</t>
  </si>
  <si>
    <t>Sage Life Assurance of America (SA Company Aggregate)</t>
  </si>
  <si>
    <t>S5914</t>
  </si>
  <si>
    <t>Sagicor Life Insurance Co.</t>
  </si>
  <si>
    <t>C2102</t>
  </si>
  <si>
    <t>Sagicor Life Insurance Co. (SA Company Aggregate)</t>
  </si>
  <si>
    <t>S2102</t>
  </si>
  <si>
    <t>Sailfish Midwest Life Ins Co.</t>
  </si>
  <si>
    <t>C7160</t>
  </si>
  <si>
    <t>Salem Life Insurance Corp.</t>
  </si>
  <si>
    <t>C7204</t>
  </si>
  <si>
    <t>GK4021613</t>
  </si>
  <si>
    <t>Sammons Enterprises Inc. (SNL Separate Account Group)</t>
  </si>
  <si>
    <t>X4021613</t>
  </si>
  <si>
    <t>Sauers Life Insurance Co.</t>
  </si>
  <si>
    <t>C7138</t>
  </si>
  <si>
    <t>Savers Life Insurance Co.</t>
  </si>
  <si>
    <t>C7242</t>
  </si>
  <si>
    <t>SB Mutl Life Ins Co. of MA</t>
  </si>
  <si>
    <t>C2774</t>
  </si>
  <si>
    <t>SBLI USA Life Insurance Co.</t>
  </si>
  <si>
    <t>C3578</t>
  </si>
  <si>
    <t>Scenic City Life Insurance Co.</t>
  </si>
  <si>
    <t>C6576</t>
  </si>
  <si>
    <t>Schoen Life Insurance Co.</t>
  </si>
  <si>
    <t>C5755</t>
  </si>
  <si>
    <t>GK4020905</t>
  </si>
  <si>
    <t>SCOR Glbl Life Americas Re Co.</t>
  </si>
  <si>
    <t>C2944</t>
  </si>
  <si>
    <t>SCOR Glbl Life Re Co.</t>
  </si>
  <si>
    <t>C2765</t>
  </si>
  <si>
    <t>SCOR Glbl Life Reins Co. of DE</t>
  </si>
  <si>
    <t>C2281</t>
  </si>
  <si>
    <t>SCOR Global Life USA Re Co.</t>
  </si>
  <si>
    <t>C2586</t>
  </si>
  <si>
    <t>Scott &amp; White Group Hosp Svc</t>
  </si>
  <si>
    <t>C5874</t>
  </si>
  <si>
    <t>Scott Life Insurance Co.</t>
  </si>
  <si>
    <t>C2775</t>
  </si>
  <si>
    <t>Scottish Re (U.S.) Inc.</t>
  </si>
  <si>
    <t>C2452</t>
  </si>
  <si>
    <t>Scottish Re Life Corp.</t>
  </si>
  <si>
    <t>C2330</t>
  </si>
  <si>
    <t>Sears Life Insurance Co.</t>
  </si>
  <si>
    <t>C2417</t>
  </si>
  <si>
    <t>SEB Trygg Life (USA) Assr Co.</t>
  </si>
  <si>
    <t>C4744</t>
  </si>
  <si>
    <t>Sec Mutual Life Ins Co. of NY</t>
  </si>
  <si>
    <t>C2783</t>
  </si>
  <si>
    <t>Sec Mutual Life Ins Co. of NY (SA Bifurcated, Unnamed Account, Insulated)</t>
  </si>
  <si>
    <t>BSA2783-01</t>
  </si>
  <si>
    <t>Sec Mutual Life Ins Co. of NY (SA Company Aggregate)</t>
  </si>
  <si>
    <t>S2783</t>
  </si>
  <si>
    <t>Sec Natl Life Ins Co. of LA</t>
  </si>
  <si>
    <t>C3950</t>
  </si>
  <si>
    <t>SECU Life Insurance Co.</t>
  </si>
  <si>
    <t>C8092</t>
  </si>
  <si>
    <t>SECURA Life Insurance Co.</t>
  </si>
  <si>
    <t>C7099</t>
  </si>
  <si>
    <t>Secured Risk Life Insurance Co</t>
  </si>
  <si>
    <t>C7114</t>
  </si>
  <si>
    <t>GK4041398</t>
  </si>
  <si>
    <t>Securian (SNL Separate Account Group)</t>
  </si>
  <si>
    <t>X4041398</t>
  </si>
  <si>
    <t>Securian Life Insurance Co.</t>
  </si>
  <si>
    <t>C2602</t>
  </si>
  <si>
    <t>Securian Life Insurance Co. (SA Bifurcated, Unnamed Account, Insulated)</t>
  </si>
  <si>
    <t>BSA2602-01</t>
  </si>
  <si>
    <t>Securian Life Insurance Co. (SA Company Aggregate)</t>
  </si>
  <si>
    <t>S2602</t>
  </si>
  <si>
    <t>Securico Life Insurance Co.</t>
  </si>
  <si>
    <t>C2626</t>
  </si>
  <si>
    <t>Security Alliance Insurance Co</t>
  </si>
  <si>
    <t>C5832</t>
  </si>
  <si>
    <t>Security Assurance Co. of PR</t>
  </si>
  <si>
    <t>C7081</t>
  </si>
  <si>
    <t>GK5614298</t>
  </si>
  <si>
    <t>Security Benefit (SNL Separate Account Group)</t>
  </si>
  <si>
    <t>X5614298</t>
  </si>
  <si>
    <t>Security Benefit Life Ins Co.</t>
  </si>
  <si>
    <t>C2777</t>
  </si>
  <si>
    <t>Security Benefit Life Ins Co. (SA Bifurcated, Unnamed Account, Insulated)</t>
  </si>
  <si>
    <t>BSA2777-01</t>
  </si>
  <si>
    <t>Security Benefit Life Ins Co. (SA Company Aggregate)</t>
  </si>
  <si>
    <t>S2777</t>
  </si>
  <si>
    <t>Security Equity Life Ins Co.</t>
  </si>
  <si>
    <t>C6093</t>
  </si>
  <si>
    <t>Security Equity Life Ins Co. (SA Company Aggregate)</t>
  </si>
  <si>
    <t>S6093</t>
  </si>
  <si>
    <t>Security Financial Life Ins Co</t>
  </si>
  <si>
    <t>C2782</t>
  </si>
  <si>
    <t>Security Financial Life Ins Co (SA Company Aggregate)</t>
  </si>
  <si>
    <t>S2782</t>
  </si>
  <si>
    <t>Security First Life Ins Co. AZ</t>
  </si>
  <si>
    <t>C7228</t>
  </si>
  <si>
    <t>Security General Life Ins Co.</t>
  </si>
  <si>
    <t>C5744</t>
  </si>
  <si>
    <t>Security Life and Trust Ins</t>
  </si>
  <si>
    <t>C6700</t>
  </si>
  <si>
    <t>Security Life Ins Co. Amer AL</t>
  </si>
  <si>
    <t>C6857</t>
  </si>
  <si>
    <t>Security Life Ins Co. of Am</t>
  </si>
  <si>
    <t>C2780</t>
  </si>
  <si>
    <t>Security Life of Denver Ins Co</t>
  </si>
  <si>
    <t>C2781</t>
  </si>
  <si>
    <t>Security Life of Denver Ins Co (SA Bifurcated, Unnamed Account, Insulated)</t>
  </si>
  <si>
    <t>BSA2781-01</t>
  </si>
  <si>
    <t>Security Life of Denver Ins Co (SA Company Aggregate)</t>
  </si>
  <si>
    <t>S2781</t>
  </si>
  <si>
    <t>GK103458</t>
  </si>
  <si>
    <t>Security National Life Ins Co.</t>
  </si>
  <si>
    <t>C2785</t>
  </si>
  <si>
    <t>Security Plan Life Ins Co.</t>
  </si>
  <si>
    <t>C2968</t>
  </si>
  <si>
    <t>Security-CT Life Insurance Co.</t>
  </si>
  <si>
    <t>C5889</t>
  </si>
  <si>
    <t>Seguros De Vida Triple-S Inc.</t>
  </si>
  <si>
    <t>C5793</t>
  </si>
  <si>
    <t>Triple-S Management (SNL Life Group)</t>
  </si>
  <si>
    <t>Selected Funeral &amp; Life Ins Co</t>
  </si>
  <si>
    <t>C2786</t>
  </si>
  <si>
    <t>Selected Funeral Insurance Co.</t>
  </si>
  <si>
    <t>C6901</t>
  </si>
  <si>
    <t>Senate Ins Co. (L&amp;H)</t>
  </si>
  <si>
    <t>C5778</t>
  </si>
  <si>
    <t>Senate National Life Ins Co.</t>
  </si>
  <si>
    <t>C5872</t>
  </si>
  <si>
    <t>Senior Health Ins Co. of PA</t>
  </si>
  <si>
    <t>C2142</t>
  </si>
  <si>
    <t>Senior Life Ins Co. of Texas</t>
  </si>
  <si>
    <t>C2312</t>
  </si>
  <si>
    <t>Senior Life Insurance Co.</t>
  </si>
  <si>
    <t>C2739</t>
  </si>
  <si>
    <t>Sentinel American Life Ins Co.</t>
  </si>
  <si>
    <t>C2788</t>
  </si>
  <si>
    <t>Sentinel Security Life Ins Co.</t>
  </si>
  <si>
    <t>C2789</t>
  </si>
  <si>
    <t>GK13853</t>
  </si>
  <si>
    <t>Sentry (SNL Separate Account Group)</t>
  </si>
  <si>
    <t>X13853</t>
  </si>
  <si>
    <t>Sentry Life Insurance Co of NY</t>
  </si>
  <si>
    <t>C2791</t>
  </si>
  <si>
    <t>Sentry Life Insurance Co of NY (SA Bifurcated, Unnamed Account, Insulated)</t>
  </si>
  <si>
    <t>BSA2791-01</t>
  </si>
  <si>
    <t>Sentry Life Insurance Co of NY (SA Company Aggregate)</t>
  </si>
  <si>
    <t>S2791</t>
  </si>
  <si>
    <t>Sentry Life Insurance Co.</t>
  </si>
  <si>
    <t>C2790</t>
  </si>
  <si>
    <t>Sentry Life Insurance Co. (SA Bifurcated, Unnamed Account, Insulated)</t>
  </si>
  <si>
    <t>BSA2790-01</t>
  </si>
  <si>
    <t>Sentry Life Insurance Co. (SA Company Aggregate)</t>
  </si>
  <si>
    <t>S2790</t>
  </si>
  <si>
    <t>Sequatchie Life Insurance Co.</t>
  </si>
  <si>
    <t>C6559</t>
  </si>
  <si>
    <t>Servco Life Insurance Co.</t>
  </si>
  <si>
    <t>C2792</t>
  </si>
  <si>
    <t>Service Life &amp; Casualty Ins Co</t>
  </si>
  <si>
    <t>C2793</t>
  </si>
  <si>
    <t>Settlers Life Ins Co. (VA)</t>
  </si>
  <si>
    <t>C5715</t>
  </si>
  <si>
    <t>Settlers Life Insurance Co.</t>
  </si>
  <si>
    <t>C2442</t>
  </si>
  <si>
    <t>Shawmut Life Insurance Company</t>
  </si>
  <si>
    <t>C6689</t>
  </si>
  <si>
    <t>Shelter Life Insurance Co.</t>
  </si>
  <si>
    <t>C2794</t>
  </si>
  <si>
    <t>ShelterPoint (SNL Life Group)</t>
  </si>
  <si>
    <t>GK4049415</t>
  </si>
  <si>
    <t>ShelterPoint Insurance Co.</t>
  </si>
  <si>
    <t>C2505</t>
  </si>
  <si>
    <t>ShelterPoint Life Ins Co.</t>
  </si>
  <si>
    <t>C2384</t>
  </si>
  <si>
    <t>Shenandoah Life Insurance Co.</t>
  </si>
  <si>
    <t>C2795</t>
  </si>
  <si>
    <t>Sheridan Life Insurance Co.</t>
  </si>
  <si>
    <t>C2796</t>
  </si>
  <si>
    <t>Wichita National Life Ins Co. (SNL Life Group)</t>
  </si>
  <si>
    <t>Sierra Pacific Life Ins Co.</t>
  </si>
  <si>
    <t>C5812</t>
  </si>
  <si>
    <t>Signature Life Ins Co. of Am</t>
  </si>
  <si>
    <t>C6101</t>
  </si>
  <si>
    <t>Signature Life Ins Co. of Amer</t>
  </si>
  <si>
    <t>C6886</t>
  </si>
  <si>
    <t>GK4644698</t>
  </si>
  <si>
    <t>Sloans Lake Health Ins Co.</t>
  </si>
  <si>
    <t>C5743</t>
  </si>
  <si>
    <t>Smith Burial &amp; Life Ins Co.</t>
  </si>
  <si>
    <t>C2798</t>
  </si>
  <si>
    <t>Smith Burial/Southern Fidelity (SNL Life Group)</t>
  </si>
  <si>
    <t>GK4193627</t>
  </si>
  <si>
    <t>South TX Bankers Life Ins Co.</t>
  </si>
  <si>
    <t>C7271</t>
  </si>
  <si>
    <t>Southeastern Legacy Ins Co.</t>
  </si>
  <si>
    <t>C5763</t>
  </si>
  <si>
    <t>Southern Capital Life Ins Co.</t>
  </si>
  <si>
    <t>C2800</t>
  </si>
  <si>
    <t>Southern Farm Bureau Life Ins</t>
  </si>
  <si>
    <t>C2801</t>
  </si>
  <si>
    <t>Southern Farm Bureau Life Ins (SA Bifurcated, Unnamed Account, Insulated)</t>
  </si>
  <si>
    <t>BSA2801-01</t>
  </si>
  <si>
    <t>Southern Farm Bureau Life Ins (SA Company Aggregate)</t>
  </si>
  <si>
    <t>S2801</t>
  </si>
  <si>
    <t>Southern Farm Bureau Univ Life</t>
  </si>
  <si>
    <t>C7261</t>
  </si>
  <si>
    <t>Southern Fidelity Life Ins Co.</t>
  </si>
  <si>
    <t>C2802</t>
  </si>
  <si>
    <t>Southern L&amp;H Insurance Co.</t>
  </si>
  <si>
    <t>C2804</t>
  </si>
  <si>
    <t>Southern National Life Ins Co.</t>
  </si>
  <si>
    <t>C2805</t>
  </si>
  <si>
    <t>Southern Pioneer Life Ins Co.</t>
  </si>
  <si>
    <t>C2806</t>
  </si>
  <si>
    <t>Southern Provident Life Ins Co</t>
  </si>
  <si>
    <t>C6855</t>
  </si>
  <si>
    <t>Southern Prtctv Life Ins Co.</t>
  </si>
  <si>
    <t>C6102</t>
  </si>
  <si>
    <t>Southern Sec Life (Historical)</t>
  </si>
  <si>
    <t>C3024</t>
  </si>
  <si>
    <t>Southern Security Life Ins Co.</t>
  </si>
  <si>
    <t>C2807</t>
  </si>
  <si>
    <t>Southern United Life Ins Co.</t>
  </si>
  <si>
    <t>C7116</t>
  </si>
  <si>
    <t>Southland Life Insurance Co.</t>
  </si>
  <si>
    <t>C5798</t>
  </si>
  <si>
    <t>Southland Life Insurance Co. (SA Company Aggregate)</t>
  </si>
  <si>
    <t>S5798</t>
  </si>
  <si>
    <t>Southland National Ins Corp.</t>
  </si>
  <si>
    <t>C2808</t>
  </si>
  <si>
    <t>Southlawn Life Insurance Co.</t>
  </si>
  <si>
    <t>C7172</t>
  </si>
  <si>
    <t>Southwest Credit Life Inc.</t>
  </si>
  <si>
    <t>C2809</t>
  </si>
  <si>
    <t>Southwest Protective Life Ins</t>
  </si>
  <si>
    <t>C6696</t>
  </si>
  <si>
    <t>Southwest Service Life Ins Co.</t>
  </si>
  <si>
    <t>C2812</t>
  </si>
  <si>
    <t>Southwestern Life Ins Co.</t>
  </si>
  <si>
    <t>C5888</t>
  </si>
  <si>
    <t>Southwestern Life Ins Co. (SA Company Aggregate)</t>
  </si>
  <si>
    <t>S5888</t>
  </si>
  <si>
    <t>Spectera Ins Co (L&amp;H)</t>
  </si>
  <si>
    <t>C5796</t>
  </si>
  <si>
    <t>Spry Life &amp; Accident Ins Co.</t>
  </si>
  <si>
    <t>C6808</t>
  </si>
  <si>
    <t>Squire Reassurance Co. LLC</t>
  </si>
  <si>
    <t>C7330</t>
  </si>
  <si>
    <t>GK4005681</t>
  </si>
  <si>
    <t>Standard Amer Life &amp; Annuity</t>
  </si>
  <si>
    <t>C5969</t>
  </si>
  <si>
    <t>Standard Insurance Co.</t>
  </si>
  <si>
    <t>C3051</t>
  </si>
  <si>
    <t>Standard Insurance Co. (SA Bifurcated, Unnamed Account, Insulated)</t>
  </si>
  <si>
    <t>BSA3051-01</t>
  </si>
  <si>
    <t>Standard Insurance Co. (SA Company Aggregate)</t>
  </si>
  <si>
    <t>S3051</t>
  </si>
  <si>
    <t>Standard Life &amp; Accdt Ins Co.</t>
  </si>
  <si>
    <t>C2813</t>
  </si>
  <si>
    <t>Standard Life &amp; Cas Ins Co.</t>
  </si>
  <si>
    <t>C2814</t>
  </si>
  <si>
    <t>Standard Life Ins Co. of NY</t>
  </si>
  <si>
    <t>C3581</t>
  </si>
  <si>
    <t>Standard Sec Life Ins Co of NY</t>
  </si>
  <si>
    <t>C2817</t>
  </si>
  <si>
    <t>Stanford Life Insurance Co.</t>
  </si>
  <si>
    <t>C2818</t>
  </si>
  <si>
    <t>Stanislaus Life Insurance Co.</t>
  </si>
  <si>
    <t>C7192</t>
  </si>
  <si>
    <t>Star Life Insurance Co.</t>
  </si>
  <si>
    <t>C7124</t>
  </si>
  <si>
    <t>Starmount Life Insurance Co.</t>
  </si>
  <si>
    <t>C2819</t>
  </si>
  <si>
    <t>Starved Rock Life Insurance Co</t>
  </si>
  <si>
    <t>C7225</t>
  </si>
  <si>
    <t>State Auto Life Insurance Co.</t>
  </si>
  <si>
    <t>C7221</t>
  </si>
  <si>
    <t>State Farm (SNL Life Group)</t>
  </si>
  <si>
    <t>GK13959</t>
  </si>
  <si>
    <t>State Farm (SNL Separate Account Group)</t>
  </si>
  <si>
    <t>X13959</t>
  </si>
  <si>
    <t>State Farm Health Insurance Co</t>
  </si>
  <si>
    <t>C2820</t>
  </si>
  <si>
    <t>State Farm Life &amp; Accdt Assr</t>
  </si>
  <si>
    <t>C2821</t>
  </si>
  <si>
    <t>State Farm Life &amp; Accdt Assr (SA Bifurcated, Unnamed Account, Insulated)</t>
  </si>
  <si>
    <t>BSA2821-01</t>
  </si>
  <si>
    <t>State Farm Life &amp; Accdt Assr (SA Company Aggregate)</t>
  </si>
  <si>
    <t>S2821</t>
  </si>
  <si>
    <t>State Farm Life Insurance Co.</t>
  </si>
  <si>
    <t>C2822</t>
  </si>
  <si>
    <t>State Farm Life Insurance Co. (SA Bifurcated, Unnamed Account, Insulated)</t>
  </si>
  <si>
    <t>BSA2822-01</t>
  </si>
  <si>
    <t>State Farm Life Insurance Co. (SA Company Aggregate)</t>
  </si>
  <si>
    <t>S2822</t>
  </si>
  <si>
    <t>State Life Insurance Co.</t>
  </si>
  <si>
    <t>C2823</t>
  </si>
  <si>
    <t>State Life Insurance Fund</t>
  </si>
  <si>
    <t>C2824</t>
  </si>
  <si>
    <t>State Mutual Insurance Co (GA)</t>
  </si>
  <si>
    <t>C2825</t>
  </si>
  <si>
    <t>State National Life Ins Co.</t>
  </si>
  <si>
    <t>C6891</t>
  </si>
  <si>
    <t>States General Life Ins Co.</t>
  </si>
  <si>
    <t>C5722</t>
  </si>
  <si>
    <t>Statesman Natl Life Ins Co.</t>
  </si>
  <si>
    <t>C6900</t>
  </si>
  <si>
    <t>Std Life Ins Co IN</t>
  </si>
  <si>
    <t>C2815</t>
  </si>
  <si>
    <t>Steel City Life Insurance Co.</t>
  </si>
  <si>
    <t>C7057</t>
  </si>
  <si>
    <t>Sterling Investors Life Ins Co</t>
  </si>
  <si>
    <t>C2827</t>
  </si>
  <si>
    <t>Sterling Life Insurance Co.</t>
  </si>
  <si>
    <t>C2828</t>
  </si>
  <si>
    <t>Sthrn Finl Life Ins Co. (KY)</t>
  </si>
  <si>
    <t>C3777</t>
  </si>
  <si>
    <t>Sthrn Finl Life Ins Co. (LA)</t>
  </si>
  <si>
    <t>C2803</t>
  </si>
  <si>
    <t>Stonebridge Insurance Co.</t>
  </si>
  <si>
    <t>C5713</t>
  </si>
  <si>
    <t>Stonebridge Life Insurance Co.</t>
  </si>
  <si>
    <t>C2499</t>
  </si>
  <si>
    <t>Structured Annuity Re Co.</t>
  </si>
  <si>
    <t>C8487</t>
  </si>
  <si>
    <t>Sullivan Life Insurance Co.</t>
  </si>
  <si>
    <t>C2829</t>
  </si>
  <si>
    <t>Summit Credit Life Ins Co.</t>
  </si>
  <si>
    <t>C6804</t>
  </si>
  <si>
    <t>Summit Life &amp; Annuity Co.</t>
  </si>
  <si>
    <t>C6779</t>
  </si>
  <si>
    <t>Sun L&amp;H Insurance Co. (U.S.)</t>
  </si>
  <si>
    <t>C2712</t>
  </si>
  <si>
    <t>Sun Life Assr Co. of Canada</t>
  </si>
  <si>
    <t>C4669</t>
  </si>
  <si>
    <t>Sun Life Assr Co. of Canada (SA Bifurcated, Unnamed Account, Insulated)</t>
  </si>
  <si>
    <t>BSA4669-01</t>
  </si>
  <si>
    <t>Sun Life Assr Co. of Canada (SA Company Aggregate)</t>
  </si>
  <si>
    <t>S4669</t>
  </si>
  <si>
    <t>GK4057252</t>
  </si>
  <si>
    <t>Sun Life Financial (SNL Separate Account Group)</t>
  </si>
  <si>
    <t>X4057252</t>
  </si>
  <si>
    <t>Sun States Life Insurance Co.</t>
  </si>
  <si>
    <t>C5821</t>
  </si>
  <si>
    <t>Sun West Life Insurance Co.</t>
  </si>
  <si>
    <t>C7258</t>
  </si>
  <si>
    <t>SunAmerica Annuity &amp; Life Assr</t>
  </si>
  <si>
    <t>C2152</t>
  </si>
  <si>
    <t>SunAmerica Annuity &amp; Life Assr (SA Company Aggregate)</t>
  </si>
  <si>
    <t>S2152</t>
  </si>
  <si>
    <t>SunAmerica Life Insurance Co.</t>
  </si>
  <si>
    <t>C2832</t>
  </si>
  <si>
    <t>SunAmerica Life Insurance Co. (SA Company Aggregate)</t>
  </si>
  <si>
    <t>S2832</t>
  </si>
  <si>
    <t>Sunland Life Insurance Co.</t>
  </si>
  <si>
    <t>C5730</t>
  </si>
  <si>
    <t>Sunset Life Insurance Co of Am</t>
  </si>
  <si>
    <t>C2834</t>
  </si>
  <si>
    <t>Suntrust Insurance Co.</t>
  </si>
  <si>
    <t>C2835</t>
  </si>
  <si>
    <t>Surency L&amp;H Insurance Co.</t>
  </si>
  <si>
    <t>C7283</t>
  </si>
  <si>
    <t>Surety American Life Ins Co.</t>
  </si>
  <si>
    <t>C6090</t>
  </si>
  <si>
    <t>Surety Life &amp; Casualty Ins Co.</t>
  </si>
  <si>
    <t>C2837</t>
  </si>
  <si>
    <t>Surety Life Insurance Co.</t>
  </si>
  <si>
    <t>C2836</t>
  </si>
  <si>
    <t>Sutter Preferred H&amp;L Ins Co.</t>
  </si>
  <si>
    <t>C5845</t>
  </si>
  <si>
    <t>SW Physicians Life Ins Co.</t>
  </si>
  <si>
    <t>C6692</t>
  </si>
  <si>
    <t>SWBC Life Insurance Co.</t>
  </si>
  <si>
    <t>C2321</t>
  </si>
  <si>
    <t>GK4290308</t>
  </si>
  <si>
    <t>Swiss Re L&amp;H Am (Merged)</t>
  </si>
  <si>
    <t>C6698</t>
  </si>
  <si>
    <t>Swiss Re L&amp;H America Inc.</t>
  </si>
  <si>
    <t>C2543</t>
  </si>
  <si>
    <t>Swiss Re Life &amp; Health Ltd.</t>
  </si>
  <si>
    <t>C7205</t>
  </si>
  <si>
    <t>Swiss-Am Reassurance Co.</t>
  </si>
  <si>
    <t>C5899</t>
  </si>
  <si>
    <t>GK4048741</t>
  </si>
  <si>
    <t>Symetra (SNL Separate Account Group)</t>
  </si>
  <si>
    <t>X4048741</t>
  </si>
  <si>
    <t>Symetra Life Ins (Historical)</t>
  </si>
  <si>
    <t>C7211</t>
  </si>
  <si>
    <t>Symetra Life Ins (Historical) (SA Company Aggregate)</t>
  </si>
  <si>
    <t>S7211</t>
  </si>
  <si>
    <t>Symetra Life Insurance Co.</t>
  </si>
  <si>
    <t>C2770</t>
  </si>
  <si>
    <t>Symetra Life Insurance Co. (SA Bifurcated, Unnamed Account, Insulated)</t>
  </si>
  <si>
    <t>BSA2770-01</t>
  </si>
  <si>
    <t>Symetra Life Insurance Co. (SA Company Aggregate)</t>
  </si>
  <si>
    <t>S2770</t>
  </si>
  <si>
    <t>Symetra National Life Ins Co.</t>
  </si>
  <si>
    <t>C2771</t>
  </si>
  <si>
    <t>TakeCare Insurance Co (Merged)</t>
  </si>
  <si>
    <t>C6773</t>
  </si>
  <si>
    <t>GK15350</t>
  </si>
  <si>
    <t>Talcott Resolution (SNL Separate Account Group)</t>
  </si>
  <si>
    <t>X15350</t>
  </si>
  <si>
    <t>Talcott Resolution Intl Life</t>
  </si>
  <si>
    <t>C2494</t>
  </si>
  <si>
    <t>Talcott Resolution Life Ins Co</t>
  </si>
  <si>
    <t>C2455</t>
  </si>
  <si>
    <t>Talcott Resolution Life Ins Co (SA Bifurcated, Unnamed Account, Insulated)</t>
  </si>
  <si>
    <t>BSA2455-01</t>
  </si>
  <si>
    <t>Talcott Resolution Life Ins Co (SA Bifurcated, Unnamed Account, Non-insulated)</t>
  </si>
  <si>
    <t>BSA2455-02</t>
  </si>
  <si>
    <t>Talcott Resolution Life Ins Co (SA Company Aggregate)</t>
  </si>
  <si>
    <t>S2455</t>
  </si>
  <si>
    <t>Talcott Resolution Life&amp;Annty</t>
  </si>
  <si>
    <t>C2495</t>
  </si>
  <si>
    <t>Talcott Resolution Life&amp;Annty (SA Bifurcated, Unnamed Account, Insulated)</t>
  </si>
  <si>
    <t>BSA2495-01</t>
  </si>
  <si>
    <t>Talcott Resolution Life&amp;Annty (SA Company Aggregate)</t>
  </si>
  <si>
    <t>S2495</t>
  </si>
  <si>
    <t>Tandy Life Insurance Co.</t>
  </si>
  <si>
    <t>C2838</t>
  </si>
  <si>
    <t>Taylor Life Insurance Co.</t>
  </si>
  <si>
    <t>C5702</t>
  </si>
  <si>
    <t>Teachers Ins &amp; Annty Assn.</t>
  </si>
  <si>
    <t>C2839</t>
  </si>
  <si>
    <t>TIAA (SNL Life Group)</t>
  </si>
  <si>
    <t>Teachers Ins &amp; Annty Assn. (SA Bifurcated, Unnamed Account, Insulated)</t>
  </si>
  <si>
    <t>BSA2839-01</t>
  </si>
  <si>
    <t>Teachers Ins &amp; Annty Assn. (SA Company Aggregate)</t>
  </si>
  <si>
    <t>S2839</t>
  </si>
  <si>
    <t>Team Life Insurance Co.</t>
  </si>
  <si>
    <t>C5815</t>
  </si>
  <si>
    <t>GK4387551</t>
  </si>
  <si>
    <t>Tejas Life Insurance Co.</t>
  </si>
  <si>
    <t>C7251</t>
  </si>
  <si>
    <t>Tennco Life Insurance Co.</t>
  </si>
  <si>
    <t>C7247</t>
  </si>
  <si>
    <t>Tennessee Farmers Life Ins Co.</t>
  </si>
  <si>
    <t>C2842</t>
  </si>
  <si>
    <t>Teton National Insurance Co.</t>
  </si>
  <si>
    <t>C5736</t>
  </si>
  <si>
    <t>Texas Bankers Life Ins Co.</t>
  </si>
  <si>
    <t>C7198</t>
  </si>
  <si>
    <t>Texas Directors Life Ins Co.</t>
  </si>
  <si>
    <t>C2844</t>
  </si>
  <si>
    <t>Texas Founders Life Ins Co.</t>
  </si>
  <si>
    <t>C7197</t>
  </si>
  <si>
    <t>Texas Hospital Life Ins Co.</t>
  </si>
  <si>
    <t>C7126</t>
  </si>
  <si>
    <t>Texas Imperial Life Ins Co.</t>
  </si>
  <si>
    <t>C2845</t>
  </si>
  <si>
    <t>Texas Intl Life Insurance Co.</t>
  </si>
  <si>
    <t>C2846</t>
  </si>
  <si>
    <t>Texas Life Insurance Co.</t>
  </si>
  <si>
    <t>C2847</t>
  </si>
  <si>
    <t>Texas Memorial Life Ins Co.</t>
  </si>
  <si>
    <t>C2681</t>
  </si>
  <si>
    <t>Texas Protective Life Ins Co.</t>
  </si>
  <si>
    <t>C5942</t>
  </si>
  <si>
    <t>Texas Repub Life Ins Co.</t>
  </si>
  <si>
    <t>C8992</t>
  </si>
  <si>
    <t>Texas Savings Life Ins Co.</t>
  </si>
  <si>
    <t>C2848</t>
  </si>
  <si>
    <t>Texas Sec Mutual Life Ins Co.</t>
  </si>
  <si>
    <t>C2849</t>
  </si>
  <si>
    <t>Texas Service Life Ins Co.</t>
  </si>
  <si>
    <t>C2850</t>
  </si>
  <si>
    <t>Texas South Life Insurance Co.</t>
  </si>
  <si>
    <t>C7220</t>
  </si>
  <si>
    <t>Texas State Life Insurance Co.</t>
  </si>
  <si>
    <t>C5859</t>
  </si>
  <si>
    <t>TexasRe Life Insurance Co.</t>
  </si>
  <si>
    <t>C6577</t>
  </si>
  <si>
    <t>Thrivent Life Insurance Co.</t>
  </si>
  <si>
    <t>C2555</t>
  </si>
  <si>
    <t>Thrivent Life Insurance Co. (SA Bifurcated, Unnamed Account, Insulated)</t>
  </si>
  <si>
    <t>BSA2555-01</t>
  </si>
  <si>
    <t>Thrivent Life Insurance Co. (SA Company Aggregate)</t>
  </si>
  <si>
    <t>S2555</t>
  </si>
  <si>
    <t>GK4270330</t>
  </si>
  <si>
    <t>TIAA (SNL Separate Account Group)</t>
  </si>
  <si>
    <t>X4270330</t>
  </si>
  <si>
    <t>TIAA-CREF Life Insurance Co.</t>
  </si>
  <si>
    <t>C3007</t>
  </si>
  <si>
    <t>TIAA-CREF Life Insurance Co. (SA Bifurcated, Unnamed Account, Insulated)</t>
  </si>
  <si>
    <t>BSA3007-01</t>
  </si>
  <si>
    <t>TIAA-CREF Life Insurance Co. (SA Bifurcated, Unnamed Account, Non-insulated)</t>
  </si>
  <si>
    <t>BSA3007-02</t>
  </si>
  <si>
    <t>TIAA-CREF Life Insurance Co. (SA Company Aggregate)</t>
  </si>
  <si>
    <t>S3007</t>
  </si>
  <si>
    <t>Tier One Insurance Co.</t>
  </si>
  <si>
    <t>C2353</t>
  </si>
  <si>
    <t>Time Insurance Co. II</t>
  </si>
  <si>
    <t>C2852</t>
  </si>
  <si>
    <t>Tippecanoe Life Insurance Co.</t>
  </si>
  <si>
    <t>C7257</t>
  </si>
  <si>
    <t>GK4426760</t>
  </si>
  <si>
    <t>T-J-M Life Insurance Co.</t>
  </si>
  <si>
    <t>C4738</t>
  </si>
  <si>
    <t>TLIC Life Insurance Co.</t>
  </si>
  <si>
    <t>C7065</t>
  </si>
  <si>
    <t>TN Farmers Life Reassurance Co</t>
  </si>
  <si>
    <t>C2843</t>
  </si>
  <si>
    <t>Tower Life Insurance Co.</t>
  </si>
  <si>
    <t>C2853</t>
  </si>
  <si>
    <t>Town &amp; Country Life Ins Co.</t>
  </si>
  <si>
    <t>C2854</t>
  </si>
  <si>
    <t>TPM Life Insurance Co.</t>
  </si>
  <si>
    <t>C2840</t>
  </si>
  <si>
    <t>Trailblazer Insurance Company</t>
  </si>
  <si>
    <t>C6678</t>
  </si>
  <si>
    <t>Trans City Life Insurance Co.</t>
  </si>
  <si>
    <t>C2856</t>
  </si>
  <si>
    <t>Trans World Assurance Co.</t>
  </si>
  <si>
    <t>C2858</t>
  </si>
  <si>
    <t>TransAm Assurance Co.</t>
  </si>
  <si>
    <t>C2862</t>
  </si>
  <si>
    <t>GK113920</t>
  </si>
  <si>
    <t>Transamerica (SNL Separate Account Group)</t>
  </si>
  <si>
    <t>X113920</t>
  </si>
  <si>
    <t>Transamerica Advs Life Ins Co.</t>
  </si>
  <si>
    <t>C2588</t>
  </si>
  <si>
    <t>Transamerica Advs Life Ins Co. (SA Bifurcated, Unnamed Account, Insulated)</t>
  </si>
  <si>
    <t>BSA2588-01</t>
  </si>
  <si>
    <t>Transamerica Advs Life Ins Co. (SA Bifurcated, Unnamed Account, Non-insulated)</t>
  </si>
  <si>
    <t>BSA2588-02</t>
  </si>
  <si>
    <t>Transamerica Advs Life Ins Co. (SA Company Aggregate)</t>
  </si>
  <si>
    <t>S2588</t>
  </si>
  <si>
    <t>Transamerica Assurance Co.</t>
  </si>
  <si>
    <t>C5909</t>
  </si>
  <si>
    <t>Transamerica Finl Life Ins Co.</t>
  </si>
  <si>
    <t>C2171</t>
  </si>
  <si>
    <t>Transamerica Finl Life Ins Co. (SA Bifurcated, Account 02, Undefined)</t>
  </si>
  <si>
    <t>BSA2171-02</t>
  </si>
  <si>
    <t>Transamerica Finl Life Ins Co. (SA Bifurcated, Unnamed Account, Insulated)</t>
  </si>
  <si>
    <t>BSA2171-01</t>
  </si>
  <si>
    <t>Transamerica Finl Life Ins Co. (SA Company Aggregate)</t>
  </si>
  <si>
    <t>S2171</t>
  </si>
  <si>
    <t>Transamerica Insurance Corp</t>
  </si>
  <si>
    <t>C5907</t>
  </si>
  <si>
    <t>Transamerica Life Ins Co of NY</t>
  </si>
  <si>
    <t>C5978</t>
  </si>
  <si>
    <t>Transamerica Life Ins Co of NY (SA Company Aggregate)</t>
  </si>
  <si>
    <t>S5978</t>
  </si>
  <si>
    <t>Transamerica Life Insurance Co</t>
  </si>
  <si>
    <t>C2707</t>
  </si>
  <si>
    <t>Transamerica Life Insurance Co (SA Bifurcated, Unnamed Account, Insulated)</t>
  </si>
  <si>
    <t>BSA2707-01</t>
  </si>
  <si>
    <t>Transamerica Life Insurance Co (SA Company Aggregate)</t>
  </si>
  <si>
    <t>S2707</t>
  </si>
  <si>
    <t>Transamerica Occidental Life I</t>
  </si>
  <si>
    <t>C2863</t>
  </si>
  <si>
    <t>Transamerica Occidental Life I (SA Company Aggregate)</t>
  </si>
  <si>
    <t>S2863</t>
  </si>
  <si>
    <t>Trans-National Life Ins Co.</t>
  </si>
  <si>
    <t>C2860</t>
  </si>
  <si>
    <t>Trans-Oceanic Life Ins Co.</t>
  </si>
  <si>
    <t>C2857</t>
  </si>
  <si>
    <t>Transport Life Insurance Co.</t>
  </si>
  <si>
    <t>C7119</t>
  </si>
  <si>
    <t>Trans-Western Life Ins Co.</t>
  </si>
  <si>
    <t>C2861</t>
  </si>
  <si>
    <t>Travelers Ins Holdings Inc.</t>
  </si>
  <si>
    <t>C7263</t>
  </si>
  <si>
    <t>Tri City Life Insurance Co.</t>
  </si>
  <si>
    <t>C7173</t>
  </si>
  <si>
    <t>Triangle Life Insurance Co.</t>
  </si>
  <si>
    <t>C2866</t>
  </si>
  <si>
    <t>Tricentennial Life Ins Co.</t>
  </si>
  <si>
    <t>C7158</t>
  </si>
  <si>
    <t>Trinity Life Ins Co. (Merged)</t>
  </si>
  <si>
    <t>C4582</t>
  </si>
  <si>
    <t>Trinity Life Insurance Co.</t>
  </si>
  <si>
    <t>C3264</t>
  </si>
  <si>
    <t>Triple-S Blue Inc. I. I.</t>
  </si>
  <si>
    <t>C2169</t>
  </si>
  <si>
    <t>GK4074762</t>
  </si>
  <si>
    <t>Triple-S Vida Inc.</t>
  </si>
  <si>
    <t>C2410</t>
  </si>
  <si>
    <t>Triumphe Life Ins. Co.</t>
  </si>
  <si>
    <t>C5727</t>
  </si>
  <si>
    <t>Trnsam Life Ins &amp; Annty Co.</t>
  </si>
  <si>
    <t>C5734</t>
  </si>
  <si>
    <t>Trnsam Life Ins &amp; Annty Co. (SA Company Aggregate)</t>
  </si>
  <si>
    <t>S5734</t>
  </si>
  <si>
    <t>Trnsam Life Ins Co. of NY</t>
  </si>
  <si>
    <t>C2605</t>
  </si>
  <si>
    <t>Trnsam Life Ins Co. of NY (SA Bifurcated, Unnamed Account, Insulated)</t>
  </si>
  <si>
    <t>BSA2605-01</t>
  </si>
  <si>
    <t>Trnsam Life Ins Co. of NY (SA Bifurcated, Unnamed Account, Non-insulated)</t>
  </si>
  <si>
    <t>BSA2605-02</t>
  </si>
  <si>
    <t>Trnsam Life Ins Co. of NY (SA Company Aggregate)</t>
  </si>
  <si>
    <t>S2605</t>
  </si>
  <si>
    <t>Trnsam Premier Life Ins Co.</t>
  </si>
  <si>
    <t>C2611</t>
  </si>
  <si>
    <t>Trnsam Premier Life Ins Co. (SA Bifurcated, Unnamed Account, Insulated)</t>
  </si>
  <si>
    <t>BSA2611-01</t>
  </si>
  <si>
    <t>Trnsam Premier Life Ins Co. (SA Company Aggregate)</t>
  </si>
  <si>
    <t>S2611</t>
  </si>
  <si>
    <t>Trustmark Cos. (SNL Life Group)</t>
  </si>
  <si>
    <t>GK4182462</t>
  </si>
  <si>
    <t>Trustmark Insurance Co.</t>
  </si>
  <si>
    <t>C2867</t>
  </si>
  <si>
    <t>Trustmark Life Ins Co. of NY</t>
  </si>
  <si>
    <t>C7462</t>
  </si>
  <si>
    <t>Trustmark Life Insurance Co.</t>
  </si>
  <si>
    <t>C2868</t>
  </si>
  <si>
    <t>TSO National Life Insurance Co</t>
  </si>
  <si>
    <t>C7179</t>
  </si>
  <si>
    <t>Twin Life Insurance Company</t>
  </si>
  <si>
    <t>C2869</t>
  </si>
  <si>
    <t>Twin Mercury Life Insurance Co</t>
  </si>
  <si>
    <t>C6788</t>
  </si>
  <si>
    <t>U.S. Branch of Clarica Life</t>
  </si>
  <si>
    <t>C6112</t>
  </si>
  <si>
    <t>U.S. Financial Life Ins Co.</t>
  </si>
  <si>
    <t>C2908</t>
  </si>
  <si>
    <t>U.S. Life Insurance Co. NYC</t>
  </si>
  <si>
    <t>C2897</t>
  </si>
  <si>
    <t>U.S. Life Insurance Co. NYC (SA Bifurcated, Unnamed Account, Insulated)</t>
  </si>
  <si>
    <t>BSA2897-01</t>
  </si>
  <si>
    <t>U.S. Life Insurance Co. NYC (SA Company Aggregate)</t>
  </si>
  <si>
    <t>S2897</t>
  </si>
  <si>
    <t>UBS Life Insurance Co. USA</t>
  </si>
  <si>
    <t>C2691</t>
  </si>
  <si>
    <t>UBS Life Insurance Co. USA (SA Bifurcated, Unnamed Account, Insulated)</t>
  </si>
  <si>
    <t>BSA2691-01</t>
  </si>
  <si>
    <t>UBS Life Insurance Co. USA (SA Company Aggregate)</t>
  </si>
  <si>
    <t>S2691</t>
  </si>
  <si>
    <t>UFS Life Reinsurance Co.</t>
  </si>
  <si>
    <t>C5770</t>
  </si>
  <si>
    <t>UNICARE L&amp;H Insurance Co.</t>
  </si>
  <si>
    <t>C2870</t>
  </si>
  <si>
    <t>Unified Life Insurance Co.</t>
  </si>
  <si>
    <t>C3891</t>
  </si>
  <si>
    <t>UniLife Insurance Co.</t>
  </si>
  <si>
    <t>C5705</t>
  </si>
  <si>
    <t>Unimerica Insurance Co.</t>
  </si>
  <si>
    <t>C2729</t>
  </si>
  <si>
    <t>Unimerica Life Ins Co. of NY</t>
  </si>
  <si>
    <t>C3723</t>
  </si>
  <si>
    <t>Union Bankers Insurance Co.</t>
  </si>
  <si>
    <t>C2872</t>
  </si>
  <si>
    <t>Union Central Life Ins Co.</t>
  </si>
  <si>
    <t>C2873</t>
  </si>
  <si>
    <t>Union Central Life Ins Co. (SA Bifurcated, Unnamed Account, Insulated)</t>
  </si>
  <si>
    <t>BSA2873-01</t>
  </si>
  <si>
    <t>Union Central Life Ins Co. (SA Company Aggregate)</t>
  </si>
  <si>
    <t>S2873</t>
  </si>
  <si>
    <t>Union Fidelity Life Ins Co.</t>
  </si>
  <si>
    <t>C2874</t>
  </si>
  <si>
    <t>Union Labor Life Ins Co</t>
  </si>
  <si>
    <t>C3044</t>
  </si>
  <si>
    <t>Union Labor Life Ins Co (SA Bifurcated, Unnamed Account, Insulated)</t>
  </si>
  <si>
    <t>BSA3044-01</t>
  </si>
  <si>
    <t>Union Labor Life Ins Co (SA Company Aggregate)</t>
  </si>
  <si>
    <t>S3044</t>
  </si>
  <si>
    <t>Union Life Insurance Co.</t>
  </si>
  <si>
    <t>C2875</t>
  </si>
  <si>
    <t>Union National Life Ins Co.</t>
  </si>
  <si>
    <t>C2876</t>
  </si>
  <si>
    <t>Union Sec Life Ins Co. of NY</t>
  </si>
  <si>
    <t>C2374</t>
  </si>
  <si>
    <t>Union Sec Life Ins Co. of NY (SA Bifurcated, Unnamed Account, Insulated)</t>
  </si>
  <si>
    <t>BSA2374-01</t>
  </si>
  <si>
    <t>Union Sec Life Ins Co. of NY (SA Bifurcated, Unnamed Account, Non-insulated)</t>
  </si>
  <si>
    <t>BSA2374-02</t>
  </si>
  <si>
    <t>Union Sec Life Ins Co. of NY (SA Company Aggregate)</t>
  </si>
  <si>
    <t>S2374</t>
  </si>
  <si>
    <t>Union Security Insurance Co.</t>
  </si>
  <si>
    <t>C2398</t>
  </si>
  <si>
    <t>Union Security Insurance Co. (SA Bifurcated, Unnamed Account, Insulated)</t>
  </si>
  <si>
    <t>BSA2398-01</t>
  </si>
  <si>
    <t>Union Security Insurance Co. (SA Bifurcated, Unnamed Account, Non-insulated)</t>
  </si>
  <si>
    <t>BSA2398-02</t>
  </si>
  <si>
    <t>Union Security Insurance Co. (SA Company Aggregate)</t>
  </si>
  <si>
    <t>S2398</t>
  </si>
  <si>
    <t>Union Security Life Ins Co.</t>
  </si>
  <si>
    <t>C5108</t>
  </si>
  <si>
    <t>Union Std of Am Life Ins co.</t>
  </si>
  <si>
    <t>C5919</t>
  </si>
  <si>
    <t>DC</t>
  </si>
  <si>
    <t>United American Insurance Co.</t>
  </si>
  <si>
    <t>C2877</t>
  </si>
  <si>
    <t>United Assurance Life Ins Co.</t>
  </si>
  <si>
    <t>C2878</t>
  </si>
  <si>
    <t>United Benefit Life Ins Co.</t>
  </si>
  <si>
    <t>C2879</t>
  </si>
  <si>
    <t>United Farm Family Life Ins Co</t>
  </si>
  <si>
    <t>C2882</t>
  </si>
  <si>
    <t>United Fidelity Life Ins Co.</t>
  </si>
  <si>
    <t>C2883</t>
  </si>
  <si>
    <t>United General Life Ins Co.</t>
  </si>
  <si>
    <t>C6831</t>
  </si>
  <si>
    <t>United Health &amp; Life Ins Co.</t>
  </si>
  <si>
    <t>C7106</t>
  </si>
  <si>
    <t>United Heartland Life Ins Co.</t>
  </si>
  <si>
    <t>C5819</t>
  </si>
  <si>
    <t>United Heritage Life Ins Co.</t>
  </si>
  <si>
    <t>C2888</t>
  </si>
  <si>
    <t>ID</t>
  </si>
  <si>
    <t>United Home Life Insurance Co.</t>
  </si>
  <si>
    <t>C3028</t>
  </si>
  <si>
    <t>United Insurance Co of America</t>
  </si>
  <si>
    <t>C2890</t>
  </si>
  <si>
    <t>United Intl Life Ins Co. (OK)</t>
  </si>
  <si>
    <t>C4605</t>
  </si>
  <si>
    <t>United Intl Life Ins Co. (TX)</t>
  </si>
  <si>
    <t>C5858</t>
  </si>
  <si>
    <t>United Investors Life Ins Co.</t>
  </si>
  <si>
    <t>C2891</t>
  </si>
  <si>
    <t>United Investors Life Ins Co. (SA Company Aggregate)</t>
  </si>
  <si>
    <t>S2891</t>
  </si>
  <si>
    <t>United Liberty Life Ins Co.</t>
  </si>
  <si>
    <t>C2892</t>
  </si>
  <si>
    <t>United Life &amp; Annuity Ins Co.</t>
  </si>
  <si>
    <t>C5737</t>
  </si>
  <si>
    <t>United Life &amp; Annuity Ins Co. (SA Company Aggregate)</t>
  </si>
  <si>
    <t>S5737</t>
  </si>
  <si>
    <t>United Life Insurance Co.</t>
  </si>
  <si>
    <t>C2893</t>
  </si>
  <si>
    <t>United Mercantile Life Ins Co.</t>
  </si>
  <si>
    <t>C6097</t>
  </si>
  <si>
    <t>United Natl Life Ins Co. of Am</t>
  </si>
  <si>
    <t>C2894</t>
  </si>
  <si>
    <t>United of Omaha Life Ins Co.</t>
  </si>
  <si>
    <t>C2895</t>
  </si>
  <si>
    <t>United of Omaha Life Ins Co. (SA Bifurcated, Unnamed Account, Insulated)</t>
  </si>
  <si>
    <t>BSA2895-01</t>
  </si>
  <si>
    <t>United of Omaha Life Ins Co. (SA Company Aggregate)</t>
  </si>
  <si>
    <t>S2895</t>
  </si>
  <si>
    <t>United Security Assr Co. of PA</t>
  </si>
  <si>
    <t>C1902</t>
  </si>
  <si>
    <t>United Security Assurance Co.</t>
  </si>
  <si>
    <t>C6728</t>
  </si>
  <si>
    <t>United Security Life Ins Co.</t>
  </si>
  <si>
    <t>C6713</t>
  </si>
  <si>
    <t>United Teacher Assoc. Ins Co.</t>
  </si>
  <si>
    <t>C2898</t>
  </si>
  <si>
    <t>United Western Life Ins Co.</t>
  </si>
  <si>
    <t>C5623</t>
  </si>
  <si>
    <t>United World Life Insurance Co</t>
  </si>
  <si>
    <t>C2901</t>
  </si>
  <si>
    <t>United World Life Insurance Co (SA Bifurcated, Unnamed Account, Insulated)</t>
  </si>
  <si>
    <t>BSA2901-01</t>
  </si>
  <si>
    <t>United World Life Insurance Co (SA Company Aggregate)</t>
  </si>
  <si>
    <t>S2901</t>
  </si>
  <si>
    <t>GK111568</t>
  </si>
  <si>
    <t>UnitedHealth Group (SNL Separate Account Group)</t>
  </si>
  <si>
    <t>X111568</t>
  </si>
  <si>
    <t>UnitedHealthcare Ins Co. (CT)</t>
  </si>
  <si>
    <t>C2589</t>
  </si>
  <si>
    <t>UnitedHealthcare Life Ins Co.</t>
  </si>
  <si>
    <t>C2900</t>
  </si>
  <si>
    <t>Unity Financial Life Ins Co.</t>
  </si>
  <si>
    <t>C2416</t>
  </si>
  <si>
    <t>Unity Insurance Co.</t>
  </si>
  <si>
    <t>C5720</t>
  </si>
  <si>
    <t>Unity Mutual Life Insurance Co</t>
  </si>
  <si>
    <t>C2902</t>
  </si>
  <si>
    <t>Univ Underwriters Life Ins Co.</t>
  </si>
  <si>
    <t>C2906</t>
  </si>
  <si>
    <t>Univantage Insurance Co.</t>
  </si>
  <si>
    <t>C2974</t>
  </si>
  <si>
    <t>Universal Assurors Life</t>
  </si>
  <si>
    <t>C5857</t>
  </si>
  <si>
    <t>Universal Fidelity Life Ins Co</t>
  </si>
  <si>
    <t>C2903</t>
  </si>
  <si>
    <t>Universal Guaranty Life Ins Co</t>
  </si>
  <si>
    <t>C2904</t>
  </si>
  <si>
    <t>Universal Life Ins Co. (AL)</t>
  </si>
  <si>
    <t>C2905</t>
  </si>
  <si>
    <t>Universal Life Ins Co. (PR)</t>
  </si>
  <si>
    <t>C2313</t>
  </si>
  <si>
    <t>Universal Life Ins Co. (PR) (SA Bifurcated, Unnamed Account, Insulated)</t>
  </si>
  <si>
    <t>BSA2313-01</t>
  </si>
  <si>
    <t>Universal Life Ins Co. (PR) (SA Company Aggregate)</t>
  </si>
  <si>
    <t>S2313</t>
  </si>
  <si>
    <t>Universe Life Insurance Co.</t>
  </si>
  <si>
    <t>C6880</t>
  </si>
  <si>
    <t>Untd Funeral Benefit Life Ins</t>
  </si>
  <si>
    <t>C2884</t>
  </si>
  <si>
    <t>Untd Funeral Directors Benefit</t>
  </si>
  <si>
    <t>C2885</t>
  </si>
  <si>
    <t>Untd Presidential Life Ins Co.</t>
  </si>
  <si>
    <t>C6223</t>
  </si>
  <si>
    <t>GK103324</t>
  </si>
  <si>
    <t>Unum Group (SNL Separate Account Group)</t>
  </si>
  <si>
    <t>X103324</t>
  </si>
  <si>
    <t>Unum Insurance Co.</t>
  </si>
  <si>
    <t>C2696</t>
  </si>
  <si>
    <t>Unum Insurance Co. (SA Bifurcated, Unnamed Account, Insulated)</t>
  </si>
  <si>
    <t>BSA2696-01</t>
  </si>
  <si>
    <t>Unum Insurance Co. (SA Company Aggregate)</t>
  </si>
  <si>
    <t>S2696</t>
  </si>
  <si>
    <t>Unum Life Insurance Co. of Am</t>
  </si>
  <si>
    <t>C2907</t>
  </si>
  <si>
    <t>Unum Life Insurance Co. of Am (SA Bifurcated, Unnamed Account, Insulated)</t>
  </si>
  <si>
    <t>BSA2907-01</t>
  </si>
  <si>
    <t>Unum Life Insurance Co. of Am (SA Company Aggregate)</t>
  </si>
  <si>
    <t>S2907</t>
  </si>
  <si>
    <t>Upstream Life Insurance Co.</t>
  </si>
  <si>
    <t>C2357</t>
  </si>
  <si>
    <t>GK4325703</t>
  </si>
  <si>
    <t>US Alliance Life &amp; Sec Co (KS)</t>
  </si>
  <si>
    <t>C7918</t>
  </si>
  <si>
    <t>US Alliance Life &amp; Sec Co (MT)</t>
  </si>
  <si>
    <t>C2437</t>
  </si>
  <si>
    <t>US Health Insurance Co.</t>
  </si>
  <si>
    <t>C5780</t>
  </si>
  <si>
    <t>USA Insurance Co (Life Branch)</t>
  </si>
  <si>
    <t>C4678</t>
  </si>
  <si>
    <t>USA Life One Ins Co of Indiana</t>
  </si>
  <si>
    <t>C2911</t>
  </si>
  <si>
    <t>USAA (SNL Life Group)</t>
  </si>
  <si>
    <t>GK14193</t>
  </si>
  <si>
    <t>USAA Direct Life Insurance Co.</t>
  </si>
  <si>
    <t>C4735</t>
  </si>
  <si>
    <t>USAA Life Insurance Co.</t>
  </si>
  <si>
    <t>C2912</t>
  </si>
  <si>
    <t>USAA Life Insurance Co. (SA Bifurcated, Unnamed Account, Insulated)</t>
  </si>
  <si>
    <t>BSA2912-01</t>
  </si>
  <si>
    <t>USAA Life Insurance Co. (SA Company Aggregate)</t>
  </si>
  <si>
    <t>S2912</t>
  </si>
  <si>
    <t>USAA Life Insurance Co. of NY</t>
  </si>
  <si>
    <t>C3265</t>
  </si>
  <si>
    <t>USAble Life</t>
  </si>
  <si>
    <t>C2913</t>
  </si>
  <si>
    <t>USG Annuity &amp; Life Co.</t>
  </si>
  <si>
    <t>C5785</t>
  </si>
  <si>
    <t>USIC Life Insurance Co.</t>
  </si>
  <si>
    <t>C3887</t>
  </si>
  <si>
    <t>USLIFE Credit Life Ins Co. AZ</t>
  </si>
  <si>
    <t>C6075</t>
  </si>
  <si>
    <t>UTIC Insurance Co.</t>
  </si>
  <si>
    <t>C2899</t>
  </si>
  <si>
    <t>Utica National Life Ins Co.</t>
  </si>
  <si>
    <t>C5697</t>
  </si>
  <si>
    <t>Valley Group Hosp Svc Corp.</t>
  </si>
  <si>
    <t>C5261</t>
  </si>
  <si>
    <t>Value Health Reinsurance Inc.</t>
  </si>
  <si>
    <t>C2916</t>
  </si>
  <si>
    <t>Van El Life Insurance Co.</t>
  </si>
  <si>
    <t>C7233</t>
  </si>
  <si>
    <t>Vantis Life Insurance Co of NY</t>
  </si>
  <si>
    <t>C7426</t>
  </si>
  <si>
    <t>Vantis Life Insurance Co.</t>
  </si>
  <si>
    <t>C2773</t>
  </si>
  <si>
    <t>Variable Annuity Life Ins Co.</t>
  </si>
  <si>
    <t>C2917</t>
  </si>
  <si>
    <t>Variable Annuity Life Ins Co. (SA Bifurcated, Unnamed Account, Insulated)</t>
  </si>
  <si>
    <t>BSA2917-01</t>
  </si>
  <si>
    <t>Variable Annuity Life Ins Co. (SA Bifurcated, Unnamed Account, Non-insulated)</t>
  </si>
  <si>
    <t>BSA2917-02</t>
  </si>
  <si>
    <t>Variable Annuity Life Ins Co. (SA Company Aggregate)</t>
  </si>
  <si>
    <t>S2917</t>
  </si>
  <si>
    <t>Venerable Insurance &amp; Annty Co</t>
  </si>
  <si>
    <t>C2420</t>
  </si>
  <si>
    <t>Venerable Insurance &amp; Annty Co (SA Bifurcated, Unnamed Account, Insulated)</t>
  </si>
  <si>
    <t>BSA2420-01</t>
  </si>
  <si>
    <t>Venerable Insurance &amp; Annty Co (SA Bifurcated, Unnamed Account, Non-insulated)</t>
  </si>
  <si>
    <t>BSA2420-02</t>
  </si>
  <si>
    <t>Venerable Insurance &amp; Annty Co (SA Company Aggregate)</t>
  </si>
  <si>
    <t>S2420</t>
  </si>
  <si>
    <t>Venture Life Insurance Co.</t>
  </si>
  <si>
    <t>C2918</t>
  </si>
  <si>
    <t>Versant Life Insurance Co.</t>
  </si>
  <si>
    <t>C3917</t>
  </si>
  <si>
    <t>Veterans Life Insurance Co.</t>
  </si>
  <si>
    <t>C2919</t>
  </si>
  <si>
    <t>Victory Life Insurance Co.</t>
  </si>
  <si>
    <t>C7122</t>
  </si>
  <si>
    <t>GK4041737</t>
  </si>
  <si>
    <t>Voya Financial Inc. (SNL Separate Account Group)</t>
  </si>
  <si>
    <t>X4041737</t>
  </si>
  <si>
    <t>Voya Retirement Ins and Annty</t>
  </si>
  <si>
    <t>C2064</t>
  </si>
  <si>
    <t>Voya Retirement Ins and Annty (SA Bifurcated, Unnamed Account, Insulated)</t>
  </si>
  <si>
    <t>BSA2064-01</t>
  </si>
  <si>
    <t>Voya Retirement Ins and Annty (SA Company Aggregate)</t>
  </si>
  <si>
    <t>S2064</t>
  </si>
  <si>
    <t>Voyager Life &amp; Health Ins Co.</t>
  </si>
  <si>
    <t>C5748</t>
  </si>
  <si>
    <t>Voyager Life Insurance Co.</t>
  </si>
  <si>
    <t>C5721</t>
  </si>
  <si>
    <t>Vulcan Life Insurance Co.</t>
  </si>
  <si>
    <t>C5782</t>
  </si>
  <si>
    <t>Wabash Life Insurance Co.</t>
  </si>
  <si>
    <t>C5887</t>
  </si>
  <si>
    <t>Wagnild Life Insurance Co.</t>
  </si>
  <si>
    <t>C7174</t>
  </si>
  <si>
    <t>Washington Life Ins Co. of Am</t>
  </si>
  <si>
    <t>C5786</t>
  </si>
  <si>
    <t>Washington National Ins Co.</t>
  </si>
  <si>
    <t>C2921</t>
  </si>
  <si>
    <t>Washington National Ins Co. (SA Bifurcated, Unnamed Account, Insulated)</t>
  </si>
  <si>
    <t>BSA2921-01</t>
  </si>
  <si>
    <t>Washington National Ins Co. (SA Company Aggregate)</t>
  </si>
  <si>
    <t>S2921</t>
  </si>
  <si>
    <t>Washington Sec Life Ins Co.</t>
  </si>
  <si>
    <t>C5712</t>
  </si>
  <si>
    <t>Wateree Life Insurance Co.</t>
  </si>
  <si>
    <t>C2922</t>
  </si>
  <si>
    <t>Wausau Preferred Health Ins Co</t>
  </si>
  <si>
    <t>C6799</t>
  </si>
  <si>
    <t>WEA Insurance Corp.</t>
  </si>
  <si>
    <t>C2923</t>
  </si>
  <si>
    <t>Welch State Life Insurance Co.</t>
  </si>
  <si>
    <t>C5949</t>
  </si>
  <si>
    <t>West Coast Life Insurance Co.</t>
  </si>
  <si>
    <t>C2926</t>
  </si>
  <si>
    <t>West Coast Life Insurance Co. (SA Bifurcated, Unnamed Account, Insulated)</t>
  </si>
  <si>
    <t>BSA2926-01</t>
  </si>
  <si>
    <t>West Coast Life Insurance Co. (SA Company Aggregate)</t>
  </si>
  <si>
    <t>S2926</t>
  </si>
  <si>
    <t>West One Life Insurance Co.</t>
  </si>
  <si>
    <t>C7250</t>
  </si>
  <si>
    <t>Westbridge Natl Life Ins Co.</t>
  </si>
  <si>
    <t>C7167</t>
  </si>
  <si>
    <t>GK4154905</t>
  </si>
  <si>
    <t>Western &amp; Southern Financial (SNL Separate Account Group)</t>
  </si>
  <si>
    <t>X4154905</t>
  </si>
  <si>
    <t>Western &amp; Southern Life Ins Co</t>
  </si>
  <si>
    <t>C2927</t>
  </si>
  <si>
    <t>Western &amp; Southern Life Ins Co (SA Bifurcated, Unnamed Account, Insulated)</t>
  </si>
  <si>
    <t>BSA2927-01</t>
  </si>
  <si>
    <t>Western &amp; Southern Life Ins Co (SA Company Aggregate)</t>
  </si>
  <si>
    <t>S2927</t>
  </si>
  <si>
    <t>Western American Life Ins Co.</t>
  </si>
  <si>
    <t>C2928</t>
  </si>
  <si>
    <t>Western Family Life Ins Co.</t>
  </si>
  <si>
    <t>C5783</t>
  </si>
  <si>
    <t>Western Farm Bureau Life Ins</t>
  </si>
  <si>
    <t>C6882</t>
  </si>
  <si>
    <t>Western General Life Ins Co.</t>
  </si>
  <si>
    <t>C5742</t>
  </si>
  <si>
    <t>Western Hemisphere Life Ins Co</t>
  </si>
  <si>
    <t>C6095</t>
  </si>
  <si>
    <t>Western National Life Ins Co.</t>
  </si>
  <si>
    <t>C2932</t>
  </si>
  <si>
    <t>Western National Life Ins Co. (SA Company Aggregate)</t>
  </si>
  <si>
    <t>S2932</t>
  </si>
  <si>
    <t>Western Region Life Ins Co.</t>
  </si>
  <si>
    <t>C7193</t>
  </si>
  <si>
    <t>Western Reserve Life Assurance</t>
  </si>
  <si>
    <t>C2933</t>
  </si>
  <si>
    <t>Western Reserve Life Assurance (SA Bifurcated, Unnamed Account, Insulated)</t>
  </si>
  <si>
    <t>BSA2933-01</t>
  </si>
  <si>
    <t>Western Reserve Life Assurance (SA Company Aggregate)</t>
  </si>
  <si>
    <t>S2933</t>
  </si>
  <si>
    <t>Western Rockies Life Ins Co.</t>
  </si>
  <si>
    <t>C7208</t>
  </si>
  <si>
    <t>Western United Life Assr (Old)</t>
  </si>
  <si>
    <t>C2935</t>
  </si>
  <si>
    <t>Western United Life Assr Co.</t>
  </si>
  <si>
    <t>C2490</t>
  </si>
  <si>
    <t>Western-Southern Life Assr Co.</t>
  </si>
  <si>
    <t>C2936</t>
  </si>
  <si>
    <t>Western-Southern Life Assr Co. (SA Bifurcated, Unnamed Account, Insulated)</t>
  </si>
  <si>
    <t>BSA2936-01</t>
  </si>
  <si>
    <t>Western-Southern Life Assr Co. (SA Company Aggregate)</t>
  </si>
  <si>
    <t>S2936</t>
  </si>
  <si>
    <t>Westfield Life Insurance Co.</t>
  </si>
  <si>
    <t>C6825</t>
  </si>
  <si>
    <t>Westhrift Life Insurance Co.</t>
  </si>
  <si>
    <t>C5883</t>
  </si>
  <si>
    <t>Westmark Life Insurance Co.</t>
  </si>
  <si>
    <t>C7147</t>
  </si>
  <si>
    <t>Westport Life Insurance Co.</t>
  </si>
  <si>
    <t>C2937</t>
  </si>
  <si>
    <t>Westwood Life Insurance Co.</t>
  </si>
  <si>
    <t>C5881</t>
  </si>
  <si>
    <t>White River Valley Ins Co.</t>
  </si>
  <si>
    <t>C5833</t>
  </si>
  <si>
    <t>White Tail Life Insurance Co.</t>
  </si>
  <si>
    <t>C7231</t>
  </si>
  <si>
    <t>Wichita National Life Ins Co.</t>
  </si>
  <si>
    <t>C2939</t>
  </si>
  <si>
    <t>GK16543</t>
  </si>
  <si>
    <t>Wilbert Life Insurance Co.</t>
  </si>
  <si>
    <t>C6732</t>
  </si>
  <si>
    <t>Wilcac Life Insurance Co.</t>
  </si>
  <si>
    <t>C2283</t>
  </si>
  <si>
    <t>Wilcac Life Insurance Co. (SA Bifurcated, Account 02, Undefined)</t>
  </si>
  <si>
    <t>BSA2283-02</t>
  </si>
  <si>
    <t>Wilcac Life Insurance Co. (SA Bifurcated, Unnamed Account, Undefined)</t>
  </si>
  <si>
    <t>BSA2283-01</t>
  </si>
  <si>
    <t>Wilcac Life Insurance Co. (SA Company Aggregate)</t>
  </si>
  <si>
    <t>S2283</t>
  </si>
  <si>
    <t>Wilco Life Insurance Co.</t>
  </si>
  <si>
    <t>C2567</t>
  </si>
  <si>
    <t>Wilco Life Insurance Co. (SA Company Aggregate)</t>
  </si>
  <si>
    <t>S2567</t>
  </si>
  <si>
    <t>William Penn Life Ins Co of NY</t>
  </si>
  <si>
    <t>C2940</t>
  </si>
  <si>
    <t>Williams Progressive Life</t>
  </si>
  <si>
    <t>C2941</t>
  </si>
  <si>
    <t>GK4153483</t>
  </si>
  <si>
    <t>Wilton Re (SNL Separate Account Group)</t>
  </si>
  <si>
    <t>X4153483</t>
  </si>
  <si>
    <t>Wilton Reassurance Co.</t>
  </si>
  <si>
    <t>C5004</t>
  </si>
  <si>
    <t>Wilton Reassurance Life Co.</t>
  </si>
  <si>
    <t>C2120</t>
  </si>
  <si>
    <t>Wilton Reassurance Life Co. (SA Bifurcated, Unnamed Account, Insulated)</t>
  </si>
  <si>
    <t>BSA2120-01</t>
  </si>
  <si>
    <t>Wilton Reassurance Life Co. (SA Company Aggregate)</t>
  </si>
  <si>
    <t>S2120</t>
  </si>
  <si>
    <t>Windsor Life Insurance Co.</t>
  </si>
  <si>
    <t>C2942</t>
  </si>
  <si>
    <t>Winnfield Life Insurance Co.</t>
  </si>
  <si>
    <t>C2943</t>
  </si>
  <si>
    <t>Wonder State Life Insurance Co</t>
  </si>
  <si>
    <t>C2946</t>
  </si>
  <si>
    <t>Woodmen Accident &amp; Life Co.</t>
  </si>
  <si>
    <t>C5766</t>
  </si>
  <si>
    <t>World Insurance Co.</t>
  </si>
  <si>
    <t>C2948</t>
  </si>
  <si>
    <t>World Service Life Ins Co.</t>
  </si>
  <si>
    <t>C2949</t>
  </si>
  <si>
    <t>World Wide Funeral Ins Co.</t>
  </si>
  <si>
    <t>C7273</t>
  </si>
  <si>
    <t>Wright Mutual Insurance Co.</t>
  </si>
  <si>
    <t>C6733</t>
  </si>
  <si>
    <t>Xelan Life Insurance Co.</t>
  </si>
  <si>
    <t>C7123</t>
  </si>
  <si>
    <t>Yadkin Valley Life Ins Company</t>
  </si>
  <si>
    <t>C6162</t>
  </si>
  <si>
    <t>Zachary Taylor Life Ins Co.</t>
  </si>
  <si>
    <t>C6848</t>
  </si>
  <si>
    <t>Zions Life Insurance Co.</t>
  </si>
  <si>
    <t>C6810</t>
  </si>
  <si>
    <t>GK4042156</t>
  </si>
  <si>
    <t>Zurich (SNL Separate Account Group)</t>
  </si>
  <si>
    <t>X4042156</t>
  </si>
  <si>
    <t>Zurich Amer Life Ins Co of NY</t>
  </si>
  <si>
    <t>C7922</t>
  </si>
  <si>
    <t>Zurich Amer Life Ins Co of NY (SA Bifurcated, Account 01, Undefined)</t>
  </si>
  <si>
    <t>BSA7922-01</t>
  </si>
  <si>
    <t>Zurich Amer Life Ins Co of NY (SA Company Aggregate)</t>
  </si>
  <si>
    <t>S7922</t>
  </si>
  <si>
    <t>Zurich American Life Ins Co.</t>
  </si>
  <si>
    <t>C2512</t>
  </si>
  <si>
    <t>Zurich American Life Ins Co. (SA Bifurcated, Unnamed Account, Insulated)</t>
  </si>
  <si>
    <t>BSA2512-01</t>
  </si>
  <si>
    <t>Zurich American Life Ins Co. (SA Company Aggregate)</t>
  </si>
  <si>
    <t>S2512</t>
  </si>
  <si>
    <t>Settings:</t>
  </si>
  <si>
    <t>3) For best performance, save this file to your computer before using.</t>
  </si>
  <si>
    <t>Instructions:</t>
  </si>
  <si>
    <t>Contact:</t>
  </si>
  <si>
    <t>For modifications, contact Market Intelligence support:</t>
  </si>
  <si>
    <t>support.mi@spglobal.com</t>
  </si>
  <si>
    <t>888.275.2822</t>
  </si>
  <si>
    <t>Disclaimer:</t>
  </si>
  <si>
    <t>1) Select MI Office Add-In's manual refresh option.</t>
  </si>
  <si>
    <t>Automatic Peer Generation Logic:</t>
  </si>
  <si>
    <t>Step 1.</t>
  </si>
  <si>
    <t>Step 2.</t>
  </si>
  <si>
    <t>Peer 1</t>
  </si>
  <si>
    <t>Select Focus Company.</t>
  </si>
  <si>
    <t>Peer 2</t>
  </si>
  <si>
    <t>Peer Generation Options:</t>
  </si>
  <si>
    <t>Peer 3</t>
  </si>
  <si>
    <t>Manual.</t>
  </si>
  <si>
    <t>Select up to 10 Peers from drop-down menus at right.</t>
  </si>
  <si>
    <t>Peer 4</t>
  </si>
  <si>
    <t>Auto A.</t>
  </si>
  <si>
    <t>Select field on which to generate peers.</t>
  </si>
  <si>
    <t>Peer 5</t>
  </si>
  <si>
    <t>Auto B.</t>
  </si>
  <si>
    <t>Peer 6</t>
  </si>
  <si>
    <t>Click "GET PEERS" for Auto-Peer Generation.</t>
  </si>
  <si>
    <t>Peer 7</t>
  </si>
  <si>
    <t>Peer 8</t>
  </si>
  <si>
    <t>Peer 9</t>
  </si>
  <si>
    <t>Peer 10</t>
  </si>
  <si>
    <t>xSNLTable(287,Table_Focus_Code,Table_Focus_KF,Table_Focus_Sec)</t>
  </si>
  <si>
    <t>Combo-Box Entities</t>
  </si>
  <si>
    <t>SNL Keys</t>
  </si>
  <si>
    <t>Industry Code</t>
  </si>
  <si>
    <t>Query Parameter</t>
  </si>
  <si>
    <t>Business Focus</t>
  </si>
  <si>
    <t>DPW</t>
  </si>
  <si>
    <t>DPW Label</t>
  </si>
  <si>
    <t>Focus Co</t>
  </si>
  <si>
    <t>Life</t>
  </si>
  <si>
    <t>Co 1</t>
  </si>
  <si>
    <t>I1</t>
  </si>
  <si>
    <t>Co 2</t>
  </si>
  <si>
    <t>2,</t>
  </si>
  <si>
    <t>Direct Premiums &amp; Annuity Consid: Life, A&amp;H ($000)</t>
  </si>
  <si>
    <t>Auto-Calc Check</t>
  </si>
  <si>
    <t>Co 3</t>
  </si>
  <si>
    <t>xSNLTable(287,Ind_Code,Ind_Field)</t>
  </si>
  <si>
    <t>Co 4</t>
  </si>
  <si>
    <t>xSNLQUERY("Peer_Analysis",Query_Peers_KF)</t>
  </si>
  <si>
    <t>Co 5</t>
  </si>
  <si>
    <t>Query Parameters</t>
  </si>
  <si>
    <t>Absolute Diff</t>
  </si>
  <si>
    <t>Co 6</t>
  </si>
  <si>
    <t>P&amp;C Industry</t>
  </si>
  <si>
    <t>Co 7</t>
  </si>
  <si>
    <t>Co 8</t>
  </si>
  <si>
    <t>Net Total Assets</t>
  </si>
  <si>
    <t>Co 9</t>
  </si>
  <si>
    <t>Co 10</t>
  </si>
  <si>
    <t>Net Adm Cash &amp; Invested Assets</t>
  </si>
  <si>
    <t>Rank</t>
  </si>
  <si>
    <t>Entity</t>
  </si>
  <si>
    <t>Surplus as Regards Policyholders</t>
  </si>
  <si>
    <t>Total Revenue</t>
  </si>
  <si>
    <t>Net Income</t>
  </si>
  <si>
    <t>Total Assets</t>
  </si>
  <si>
    <t>Premiums, Consideration &amp; Deposits</t>
  </si>
  <si>
    <t>Group vs Ind</t>
  </si>
  <si>
    <t>Rep Level</t>
  </si>
  <si>
    <t>Revenue</t>
  </si>
  <si>
    <t>Currency</t>
  </si>
  <si>
    <t>x=SNLLabel(287,122915)</t>
  </si>
  <si>
    <t>($000)</t>
  </si>
  <si>
    <r>
      <t>Enter Annual period.</t>
    </r>
    <r>
      <rPr>
        <sz val="8"/>
        <color indexed="63"/>
        <rFont val="Arial"/>
        <family val="2"/>
      </rPr>
      <t xml:space="preserve">  (</t>
    </r>
    <r>
      <rPr>
        <i/>
        <sz val="8"/>
        <color indexed="63"/>
        <rFont val="Arial"/>
        <family val="2"/>
      </rPr>
      <t>Format:  yyyyY &gt; 2009Y)</t>
    </r>
  </si>
  <si>
    <t>Peer_Analysis</t>
  </si>
  <si>
    <t>Period Ended</t>
  </si>
  <si>
    <t xml:space="preserve"> </t>
  </si>
  <si>
    <t>Balance Sheet</t>
  </si>
  <si>
    <t>Total Cash and Investments</t>
  </si>
  <si>
    <t>Separate Account Assets</t>
  </si>
  <si>
    <t xml:space="preserve">        Affiliated Investments (incl above)</t>
  </si>
  <si>
    <t xml:space="preserve">        Net Policy Reserves - Life</t>
  </si>
  <si>
    <t xml:space="preserve">        Net Policy Reserves - A&amp;H</t>
  </si>
  <si>
    <t>Total Policy Reserves</t>
  </si>
  <si>
    <t>Interest Maintenance Reserve</t>
  </si>
  <si>
    <t>Asset Valuation Reserve</t>
  </si>
  <si>
    <t>Total Liabilities</t>
  </si>
  <si>
    <t>Surplus Notes</t>
  </si>
  <si>
    <t>Capital and Surplus</t>
  </si>
  <si>
    <t>C&amp;S / Assets (%)</t>
  </si>
  <si>
    <t>Total Reserves &amp; Deposits / C&amp;S (%)</t>
  </si>
  <si>
    <t>Income Statement</t>
  </si>
  <si>
    <t>Net Investment Income</t>
  </si>
  <si>
    <t>Separate Accounts Revenue</t>
  </si>
  <si>
    <t>Benefits</t>
  </si>
  <si>
    <t>Surrenders</t>
  </si>
  <si>
    <t>Increase in Reserves and Deposits</t>
  </si>
  <si>
    <t>Commissions</t>
  </si>
  <si>
    <t>General &amp; Administrative Expense</t>
  </si>
  <si>
    <t>Net transfers to Separate Accounts</t>
  </si>
  <si>
    <t>Policyholder Dividends</t>
  </si>
  <si>
    <t>Income Tax</t>
  </si>
  <si>
    <t>Net Realized Capital Gains (Losses)</t>
  </si>
  <si>
    <t>Pre-tax Operating Income</t>
  </si>
  <si>
    <t>Premiums &amp; Annuity Considerations By Major Segment (%)</t>
  </si>
  <si>
    <t>Annuities</t>
  </si>
  <si>
    <t>Accident &amp; Health</t>
  </si>
  <si>
    <t>Other</t>
  </si>
  <si>
    <t>Operating Ratios (%)</t>
  </si>
  <si>
    <t>Growth Rate - Direct Premium &amp; Annuity Cnsdrtns</t>
  </si>
  <si>
    <t>Growth Rate - Premium &amp; Annuity Cnsdrtns</t>
  </si>
  <si>
    <t>Growth Rate - Operating Income</t>
  </si>
  <si>
    <t>Growth Rate - Revenue</t>
  </si>
  <si>
    <t>Benefit Ratio (Premiums)</t>
  </si>
  <si>
    <t>Commission Ratio</t>
  </si>
  <si>
    <t>Expense Ratio (Premiums)</t>
  </si>
  <si>
    <t>Change in Policyholder Dividend</t>
  </si>
  <si>
    <t>Effective Tax Rate</t>
  </si>
  <si>
    <t>Net Yield on Avg. Invested Assets</t>
  </si>
  <si>
    <t>Pre-Tax Operating Margin</t>
  </si>
  <si>
    <t>Return on Average Equity</t>
  </si>
  <si>
    <t>Pre-Tax Operating ROAE</t>
  </si>
  <si>
    <t>Return on Average Assets</t>
  </si>
  <si>
    <t>Capital, Leverage &amp; Liquidity (%)</t>
  </si>
  <si>
    <t>RBC - Total Adjusted Capital</t>
  </si>
  <si>
    <t>ACL Risk Based Capital</t>
  </si>
  <si>
    <t>Risk Based Capital Ratio(TAC/ACL RBC)</t>
  </si>
  <si>
    <t>Net Premiums Written / C&amp;S</t>
  </si>
  <si>
    <t>Affiliated Investments / C&amp;S</t>
  </si>
  <si>
    <t>Reserve Analysis</t>
  </si>
  <si>
    <t>Total Reserves including Separate Accounts</t>
  </si>
  <si>
    <t>Growth Rate Total Reserves incl. SA (%)</t>
  </si>
  <si>
    <t>Investments (%)</t>
  </si>
  <si>
    <t>Net Yield on Invested Assets</t>
  </si>
  <si>
    <t>Unaff. Bonds / Unaff. Investments</t>
  </si>
  <si>
    <t>Unaff. Preferred Stocks / Unaff. Investments</t>
  </si>
  <si>
    <t>Unaff. Common Stocks / Unaff. Investments</t>
  </si>
  <si>
    <t>Affiliated Investments / Total Investments</t>
  </si>
  <si>
    <t>Gross Yield - Bonds (excl affiliates)</t>
  </si>
  <si>
    <t>Bonds Rated 3-6 / Total Bonds</t>
  </si>
  <si>
    <t>Bonds &lt; 1 Year / Total Bonds</t>
  </si>
  <si>
    <t>Reinsurance Ceded - Premiums &amp; Annuity Considerations</t>
  </si>
  <si>
    <t xml:space="preserve">        Life</t>
  </si>
  <si>
    <t xml:space="preserve">        Annuities</t>
  </si>
  <si>
    <t xml:space="preserve">        Accident and Health</t>
  </si>
  <si>
    <t>Reinsurance Ceded - Reserve Credits Taken</t>
  </si>
  <si>
    <t xml:space="preserve">        Life &amp; Annuities General Accounts</t>
  </si>
  <si>
    <t xml:space="preserve">        Life &amp; Annuities Separate Accounts</t>
  </si>
  <si>
    <t xml:space="preserve">        Accident &amp; Health (incl Unearned Prem)</t>
  </si>
  <si>
    <t>Reinsurance Ceded - Outstanding Surplus Relief</t>
  </si>
  <si>
    <t>Total Cash &amp; Investments, Excl Affiliated</t>
  </si>
  <si>
    <t>Total Affiliated Investments</t>
  </si>
  <si>
    <t xml:space="preserve">        All Other Investments</t>
  </si>
  <si>
    <t xml:space="preserve">        Cash &amp; Short Term Investments</t>
  </si>
  <si>
    <t xml:space="preserve">        Mortgage Loans</t>
  </si>
  <si>
    <t xml:space="preserve">        Common Stocks</t>
  </si>
  <si>
    <t xml:space="preserve">        Preferred Stocks</t>
  </si>
  <si>
    <t xml:space="preserve">        Bonds</t>
  </si>
  <si>
    <t>Memo: Affiliated Investments</t>
  </si>
  <si>
    <t>Total Liabilities and C&amp;S</t>
  </si>
  <si>
    <t>Capital &amp; Surplus</t>
  </si>
  <si>
    <t>Other Including Gross Contributed</t>
  </si>
  <si>
    <t>Unassigned Surplus</t>
  </si>
  <si>
    <t>Preferred Capital Stock</t>
  </si>
  <si>
    <t>Common Capital Stock</t>
  </si>
  <si>
    <t>Total Liabilities incl Sep Accounts</t>
  </si>
  <si>
    <t>From Separate Account Statements</t>
  </si>
  <si>
    <t>Total Liabilities without Sep Accounts</t>
  </si>
  <si>
    <t>All Other Liabilities Including Reserves</t>
  </si>
  <si>
    <t>Derivatives</t>
  </si>
  <si>
    <t>Payable to Parent, Subs or Affiliates</t>
  </si>
  <si>
    <t>Commissions, expenses, and tax due</t>
  </si>
  <si>
    <t>Reinsurance Liabilities</t>
  </si>
  <si>
    <t>Contract Claims</t>
  </si>
  <si>
    <t>Total Policy Reserves plus Deposits</t>
  </si>
  <si>
    <t xml:space="preserve">        Liability for Deposit-Type Contracts</t>
  </si>
  <si>
    <t>Liabilities</t>
  </si>
  <si>
    <t>Total Assets without Separate Account</t>
  </si>
  <si>
    <t>All Other Admitted Assets</t>
  </si>
  <si>
    <t>Receivable from Parent, Subsidiary or Affiliates</t>
  </si>
  <si>
    <t>Reinsurance Recoverable</t>
  </si>
  <si>
    <t>Premiums and Considerations Due</t>
  </si>
  <si>
    <t>Total Cash &amp; Investments</t>
  </si>
  <si>
    <t xml:space="preserve">        Other Investments</t>
  </si>
  <si>
    <t xml:space="preserve">        Derivatives</t>
  </si>
  <si>
    <t xml:space="preserve">        Contract Loans</t>
  </si>
  <si>
    <t xml:space="preserve">        Real Estate</t>
  </si>
  <si>
    <t>Investments:</t>
  </si>
  <si>
    <t>Assets</t>
  </si>
  <si>
    <t>Capital &amp; Surplus, Current Period Ended</t>
  </si>
  <si>
    <t>All Other Changes in Surplus</t>
  </si>
  <si>
    <t>Dividends to Stockholders</t>
  </si>
  <si>
    <t>Capital Changes &amp; Surplus Adj</t>
  </si>
  <si>
    <t>Change in Surplus Notes</t>
  </si>
  <si>
    <t>Net Unrealized Capital Gains (Losses)</t>
  </si>
  <si>
    <t>Capital &amp; Surplus, Beginning of Period</t>
  </si>
  <si>
    <t>Change In Capital and Surplus</t>
  </si>
  <si>
    <t>Net Income before Cap Gains</t>
  </si>
  <si>
    <t>Federal Income Tax</t>
  </si>
  <si>
    <t>Net Gain from Operations before FIT</t>
  </si>
  <si>
    <t>Total Expenses</t>
  </si>
  <si>
    <t>Other Expenses</t>
  </si>
  <si>
    <t>Insurance Taxes, Licenses and Fees</t>
  </si>
  <si>
    <t>General &amp; Administrative Expenses</t>
  </si>
  <si>
    <t>Total Trsfrs. to Sep. Accts</t>
  </si>
  <si>
    <t xml:space="preserve">        Other Trsfrs. to Sep. Accts</t>
  </si>
  <si>
    <t xml:space="preserve">        Credit Life &amp; Credit A&amp;H Trsfrs. to Sep. Accts</t>
  </si>
  <si>
    <t xml:space="preserve">        Accident &amp; Health Trsfrs. to Sep. Accts</t>
  </si>
  <si>
    <t xml:space="preserve">        Annuity Trsfrs. to Sep. Accts</t>
  </si>
  <si>
    <t xml:space="preserve">        Life Trsfrs. to Sep. Accts</t>
  </si>
  <si>
    <t>Total Inc. in Reserves</t>
  </si>
  <si>
    <t xml:space="preserve">        Other Inc. in Reserves</t>
  </si>
  <si>
    <t xml:space="preserve">        Credit Life &amp; Credit A&amp;H Inc. in Reserves</t>
  </si>
  <si>
    <t xml:space="preserve">        Accident &amp; Health Inc. in Reserves</t>
  </si>
  <si>
    <t xml:space="preserve">        Annuity Inc. in Reserves</t>
  </si>
  <si>
    <t xml:space="preserve">        Life Inc. in Reserves</t>
  </si>
  <si>
    <t>Total Surrenders</t>
  </si>
  <si>
    <t xml:space="preserve">        Other Surrenders</t>
  </si>
  <si>
    <t xml:space="preserve">        Credit Life &amp; Credit A&amp;H Surrenders</t>
  </si>
  <si>
    <t xml:space="preserve">        Accident &amp; Health Surrenders</t>
  </si>
  <si>
    <t xml:space="preserve">        Annuity Surrenders</t>
  </si>
  <si>
    <t xml:space="preserve">        Life Surrenders</t>
  </si>
  <si>
    <t>Total Benefits</t>
  </si>
  <si>
    <t xml:space="preserve">        Other Benefits</t>
  </si>
  <si>
    <t xml:space="preserve">        Credit Life &amp; Credit A&amp;H Benefits</t>
  </si>
  <si>
    <t xml:space="preserve">        Accident &amp; Health Benefits</t>
  </si>
  <si>
    <t xml:space="preserve">        Annuity Benefits</t>
  </si>
  <si>
    <t xml:space="preserve">        Life Benefits</t>
  </si>
  <si>
    <t>Expense</t>
  </si>
  <si>
    <t>Other Income</t>
  </si>
  <si>
    <t>Reinsurance Allowance</t>
  </si>
  <si>
    <t>Premiums, Consideration and Deposits</t>
  </si>
  <si>
    <t xml:space="preserve">        Other Premiums &amp; Considerations</t>
  </si>
  <si>
    <t xml:space="preserve">        Credit Life &amp; Credit A&amp;H Premiums</t>
  </si>
  <si>
    <t xml:space="preserve">        Accident &amp; Health Premiums</t>
  </si>
  <si>
    <t xml:space="preserve">        Annuity Premiums &amp; Deposits</t>
  </si>
  <si>
    <t xml:space="preserve">        Life Insurance Premiums</t>
  </si>
  <si>
    <t>Other Accident &amp; Health</t>
  </si>
  <si>
    <t>Life Insurance (No Annuity)</t>
  </si>
  <si>
    <t xml:space="preserve">        Group Life</t>
  </si>
  <si>
    <t xml:space="preserve">        Crdt Life (Grp &amp; Indvl)</t>
  </si>
  <si>
    <t xml:space="preserve">        Ordinary Life</t>
  </si>
  <si>
    <t xml:space="preserve">        Industrial Life</t>
  </si>
  <si>
    <t>Surrender &amp; Lapse Ratio (Insurance Amount) (%) (annual only)</t>
  </si>
  <si>
    <t>Total Expense Ratio incl commissions &amp; Taxes</t>
  </si>
  <si>
    <t xml:space="preserve">        Tax, License &amp; Fees Ratio</t>
  </si>
  <si>
    <t xml:space="preserve">        General Expense Ratio</t>
  </si>
  <si>
    <t xml:space="preserve">        Commission Ratio</t>
  </si>
  <si>
    <t>Expense Ratio Analysis (Exp / Premiums) (%)</t>
  </si>
  <si>
    <t>Credit Accident &amp; Health</t>
  </si>
  <si>
    <t>Group Accident &amp; Health</t>
  </si>
  <si>
    <t>Group Annuities</t>
  </si>
  <si>
    <t>Group Life</t>
  </si>
  <si>
    <t>Credit Life</t>
  </si>
  <si>
    <t>Individual Annuities</t>
  </si>
  <si>
    <t>Ordinary Life</t>
  </si>
  <si>
    <t>Industrial Life</t>
  </si>
  <si>
    <t>Major Segment: Other</t>
  </si>
  <si>
    <t>Major Segment: Accident &amp; Health</t>
  </si>
  <si>
    <t>Major Segment: Annuity</t>
  </si>
  <si>
    <t>Major Segment: Life</t>
  </si>
  <si>
    <t>Net Commission Ratio by line of business (%) (annual only)</t>
  </si>
  <si>
    <t>General Expense Ratio by line of business (%) (annual only)</t>
  </si>
  <si>
    <t>Benefit Ratio by line of business (%) (annual only)</t>
  </si>
  <si>
    <t>Net Premiums, Annuities, and Consid. by line of business (%) (annual only)</t>
  </si>
  <si>
    <t>West Region</t>
  </si>
  <si>
    <t>Southwest Region</t>
  </si>
  <si>
    <t>Midwest Region</t>
  </si>
  <si>
    <t>Southeast Region</t>
  </si>
  <si>
    <t>Mid-Atlantic Region</t>
  </si>
  <si>
    <t>Northeast Region</t>
  </si>
  <si>
    <t>A&amp;H Direct Premiums by Geography (U.S. States) (%)</t>
  </si>
  <si>
    <t>Life Direct Premiums &amp; Annuity Consid. by Geography (U.S. States) (%)</t>
  </si>
  <si>
    <t>Growth - Deposit Type Contracts (%)</t>
  </si>
  <si>
    <t>Growth - Net Premiums, Annuity &amp; S.C. Cnsdrtns (%)</t>
  </si>
  <si>
    <t>Growth - Net Reinsurance Premiums (%)</t>
  </si>
  <si>
    <t>Growth - Direct Renewal Premiums (%)</t>
  </si>
  <si>
    <t>Growth - Direct 1st Yr &amp; Single Premiums (%)</t>
  </si>
  <si>
    <t>Deposit Type Contracts</t>
  </si>
  <si>
    <t>Total Net Premiums, Annuity &amp; S.C. Considerations</t>
  </si>
  <si>
    <t>Net Reinsurance Premiums</t>
  </si>
  <si>
    <t>Direct Renewal Premiums</t>
  </si>
  <si>
    <t>Direct 1st Yr &amp; Single Premiums</t>
  </si>
  <si>
    <t>Premium Analysis</t>
  </si>
  <si>
    <t>General Expense Ratio</t>
  </si>
  <si>
    <t>Net Premiums, Annuity and S.C. Consid. Growth</t>
  </si>
  <si>
    <t>Real Estate Held for Sale / Total</t>
  </si>
  <si>
    <t>Income Producing Real Estate / Total</t>
  </si>
  <si>
    <t>Real Estate Occupied / Total</t>
  </si>
  <si>
    <t>Real Estate Composition (%)</t>
  </si>
  <si>
    <t>Mortgages in Foreclosure / C&amp;S</t>
  </si>
  <si>
    <t>Mortgages in Foreclosure / Total</t>
  </si>
  <si>
    <t>Mortgages 90+ Due / Total</t>
  </si>
  <si>
    <t>Restructured Mortgages / Total</t>
  </si>
  <si>
    <t>Mortgages in Good Standing / Total</t>
  </si>
  <si>
    <t>Mortgage Loan Portfolio Composition (%)</t>
  </si>
  <si>
    <t>Affiliated / Total Common</t>
  </si>
  <si>
    <t>Industrial &amp; Misc / Total Common</t>
  </si>
  <si>
    <t>Banks, Trust &amp; Unaffil Insurance / Total Common</t>
  </si>
  <si>
    <t>Public Utilities / Total Common</t>
  </si>
  <si>
    <t>Common Stock Portfolio Composition (%)</t>
  </si>
  <si>
    <t>Affiliated / Total Preferred</t>
  </si>
  <si>
    <t>Industrial &amp; Misc / Total Preferred</t>
  </si>
  <si>
    <t>Banks, Trust &amp; Unaffil Insurance / Total Preferred</t>
  </si>
  <si>
    <t>Public Utilities / Total Preferred</t>
  </si>
  <si>
    <t>Preferred Stock Portfolio Composition (%)</t>
  </si>
  <si>
    <t>&gt; 20 Years / Total Bonds</t>
  </si>
  <si>
    <t>10 - 20 Years / Total Bonds</t>
  </si>
  <si>
    <t>5 - 10 Years / Total Bonds</t>
  </si>
  <si>
    <t>1 - 5 Years / Total Bonds</t>
  </si>
  <si>
    <t>&lt; 1 Year / Total Bonds</t>
  </si>
  <si>
    <t>Bond Maturity Distribution (%)</t>
  </si>
  <si>
    <t>Bonds Rated 3-6 / C&amp;S</t>
  </si>
  <si>
    <t>Total Bonds</t>
  </si>
  <si>
    <t>Affiliated</t>
  </si>
  <si>
    <t>Credit Tenant Loans</t>
  </si>
  <si>
    <t>Industrial</t>
  </si>
  <si>
    <t>Public Utilities</t>
  </si>
  <si>
    <t>Special Revenue</t>
  </si>
  <si>
    <t>Political Subdivisions</t>
  </si>
  <si>
    <t>States, Territories &amp; Possessions</t>
  </si>
  <si>
    <t>Foreign Government</t>
  </si>
  <si>
    <t>U.S Government</t>
  </si>
  <si>
    <t>Bond Average Asset Quality (NAIC Des # 1-6)</t>
  </si>
  <si>
    <t>Privately Placed Bonds / C&amp;S</t>
  </si>
  <si>
    <t>Privately Placed Bonds / Total Bonds</t>
  </si>
  <si>
    <t>Bank Loans / Total Bonds</t>
  </si>
  <si>
    <t>SVO Identified Funds / Total Bonds</t>
  </si>
  <si>
    <t>Affiliated / Total Bonds</t>
  </si>
  <si>
    <t>Credit Tenant Loans / Total Bonds</t>
  </si>
  <si>
    <t>Hybrid Securities / Total Bonds</t>
  </si>
  <si>
    <t>Industrial / Total Bonds</t>
  </si>
  <si>
    <t>Public Utilities / Total Bonds</t>
  </si>
  <si>
    <t>Special Revenue / Total Bonds</t>
  </si>
  <si>
    <t>Political Subdivisions / Total Bonds</t>
  </si>
  <si>
    <t>States, Territories &amp; Possessions / Total Bonds</t>
  </si>
  <si>
    <t>Foreign Government / Total Bonds</t>
  </si>
  <si>
    <t>U.S Government / Total Bonds</t>
  </si>
  <si>
    <t>Bond Portfolio Composition (%)</t>
  </si>
  <si>
    <t>Gross Yield - All Other Inv. Assets</t>
  </si>
  <si>
    <t>Gross Yield - Cash and Short Term</t>
  </si>
  <si>
    <t>Gross Yield - Contract Loans</t>
  </si>
  <si>
    <t>Gross Yield - Real Estate</t>
  </si>
  <si>
    <t>Gross Yield - Mortgage Loans</t>
  </si>
  <si>
    <t>Gross Yield - Common Stocks (excl affiliates)</t>
  </si>
  <si>
    <t>Gross Yield - Preferred Stocks (excl affiliates)</t>
  </si>
  <si>
    <t>Investment Yields by Type (%)</t>
  </si>
  <si>
    <t>Unaff. Other Investments / Unaff. Investments</t>
  </si>
  <si>
    <t>Unaff. Cash &amp; Short Term / Unaff. Investments</t>
  </si>
  <si>
    <t>Contract Loans / Unaff. Investments</t>
  </si>
  <si>
    <t>Real Estate / Unaff. Investments</t>
  </si>
  <si>
    <t>Unaff. Mortgage Loans / Unaff. Investments</t>
  </si>
  <si>
    <t>Affiliated Cash &amp; Investments</t>
  </si>
  <si>
    <t>Investment Portfolio Composition (%)</t>
  </si>
  <si>
    <t>Unrealized Capital Gains</t>
  </si>
  <si>
    <t>Realized Capital Gains</t>
  </si>
  <si>
    <t>Privately Placed Bonds / Capital &amp; Surplus</t>
  </si>
  <si>
    <t>Mortgages in Process of Foreclosure / Mortgages</t>
  </si>
  <si>
    <t>Mortgage &amp; Real Estate / C&amp;S</t>
  </si>
  <si>
    <t>Preferred Stocks / C&amp;S</t>
  </si>
  <si>
    <t>Common Stocks / C&amp;S</t>
  </si>
  <si>
    <t>Class 5 and 6 Bonds / C&amp;S</t>
  </si>
  <si>
    <t>Bond Average Asset Quality (1-6) (Actual)</t>
  </si>
  <si>
    <t>Investment Risk (%)</t>
  </si>
  <si>
    <t>Liabilities / Invested Assets</t>
  </si>
  <si>
    <t>Cash &amp; Short-Term Investments / C&amp;S</t>
  </si>
  <si>
    <t>Cash, Common &amp; Liquid Bonds / Liabilities</t>
  </si>
  <si>
    <t>Cash &amp; Short-Term Investments / Liabilities</t>
  </si>
  <si>
    <t>Liquidity Analysis (%)</t>
  </si>
  <si>
    <t>Liabilities / Capital &amp; Surplus</t>
  </si>
  <si>
    <t>Total Reserves &amp; Deposits / C&amp;S</t>
  </si>
  <si>
    <t>Net premiums and deposits / Average C&amp;S</t>
  </si>
  <si>
    <t>Leverage Analysis - Operational Risk (%)</t>
  </si>
  <si>
    <t>Change in Stockholder Dividends Declared (%)</t>
  </si>
  <si>
    <t>Stockholder Dividends / C&amp;S (%)</t>
  </si>
  <si>
    <t>Dividend Payout Ratio (%)</t>
  </si>
  <si>
    <t>Change in IMR and AVR</t>
  </si>
  <si>
    <t>Realized Capital Gains (Losses)</t>
  </si>
  <si>
    <t>Net Income exc Capital Gains</t>
  </si>
  <si>
    <t>Capital Generation</t>
  </si>
  <si>
    <t>Risk Based Capital Ratio (TAC/ACL RBC)(%)</t>
  </si>
  <si>
    <t>Total Adjusted Capital</t>
  </si>
  <si>
    <t>Agents Balances (not in C&amp;S)</t>
  </si>
  <si>
    <t>Agents Balances / C&amp;S (%)</t>
  </si>
  <si>
    <t>Affiliated Investments / C&amp;S (%)</t>
  </si>
  <si>
    <t>Surplus Relief / C&amp;S (%)</t>
  </si>
  <si>
    <t>Surplus Notes / C&amp;S (%)</t>
  </si>
  <si>
    <t>Affiliated Investments</t>
  </si>
  <si>
    <t>Surplus Relief</t>
  </si>
  <si>
    <t>Premium and Other Deposit Funds</t>
  </si>
  <si>
    <t>Dividend Accumulations or Refunds</t>
  </si>
  <si>
    <t>Supplemental Contracts and Annuities Certain</t>
  </si>
  <si>
    <t>Guaranteed Investment Contracts</t>
  </si>
  <si>
    <t>Deposit Type-Contracts</t>
  </si>
  <si>
    <t xml:space="preserve">        Other Accident Only</t>
  </si>
  <si>
    <t xml:space="preserve">        Non-Renewable Stated Reasons Only</t>
  </si>
  <si>
    <t xml:space="preserve">        Guaranteed Renewable</t>
  </si>
  <si>
    <t xml:space="preserve">        Non-Cancelable</t>
  </si>
  <si>
    <t>Other Individual Contracts:</t>
  </si>
  <si>
    <t>Collectively Renewable</t>
  </si>
  <si>
    <t>Credit Accident and Health</t>
  </si>
  <si>
    <t>Group Accident and Health</t>
  </si>
  <si>
    <t>Claim Reserves</t>
  </si>
  <si>
    <t>Active Life Additional Contract Reserves</t>
  </si>
  <si>
    <t>Active Life Unearned Premium Reserves</t>
  </si>
  <si>
    <t>Group Life Insurance</t>
  </si>
  <si>
    <t>Supplementary Contracts</t>
  </si>
  <si>
    <t>Individual Annuity</t>
  </si>
  <si>
    <t>Major Segment: Accident &amp; Health, incl Credit</t>
  </si>
  <si>
    <t>Major Segment: Life, incl Credit</t>
  </si>
  <si>
    <t>Growth  - Total Reserves &amp; Deposits, incl SA (%)</t>
  </si>
  <si>
    <t>Total Reserves &amp; Deposits, incl SA</t>
  </si>
  <si>
    <t>Growth - Total Reserves &amp; Deposits (%)</t>
  </si>
  <si>
    <t>Total Reserves &amp; Deposits</t>
  </si>
  <si>
    <t>Avg Policy Size (In Force Prems) - Other A&amp;H ($)</t>
  </si>
  <si>
    <t>Avg Policy Size (In Force Prems) - Credit A&amp;H ($)</t>
  </si>
  <si>
    <t>Avg Policy Size (In Force Prems) - Group A&amp;H ($)</t>
  </si>
  <si>
    <t>Number of Policies - A&amp;H (Actual)</t>
  </si>
  <si>
    <t>Premiums In Force  - Other A&amp;H</t>
  </si>
  <si>
    <t>Premiums In Force  - Credit A&amp;H</t>
  </si>
  <si>
    <t>Premiums In Force  - Group A&amp;H</t>
  </si>
  <si>
    <t>Premiums In Force - A&amp;H Incl. Credit</t>
  </si>
  <si>
    <t>A&amp;H</t>
  </si>
  <si>
    <t>Group Policy Size (Reserves) - Group Annuities ($)</t>
  </si>
  <si>
    <t>Average Policy Size (Rsrvs) - Individual Annts ($)</t>
  </si>
  <si>
    <t>Total In Force Cntrcts-Dpsit &amp; Dvdnd Accm (Actual)</t>
  </si>
  <si>
    <t>Total In Force Crtfcts - Group Annuities (Actual)</t>
  </si>
  <si>
    <t>Total In Force Cntrcts - Indvdl Annuities (Actual)</t>
  </si>
  <si>
    <t>Average Group Cert Size (FA) - Group Life ($)</t>
  </si>
  <si>
    <t>Average Policy &amp; Grp Cert Size (FA) - Crdt Lf ($)</t>
  </si>
  <si>
    <t>Average Policy Size (FA) - Ordinary Life ($)</t>
  </si>
  <si>
    <t>Average Policy Size (FA) - Industrial Life ($)</t>
  </si>
  <si>
    <t>Face Amount of In Force  - Group Life</t>
  </si>
  <si>
    <t>Face Amount of In Force  - Credit Life</t>
  </si>
  <si>
    <t>Face Amount of In Force  - Ordinary Life</t>
  </si>
  <si>
    <t>Face Amount of In Force  - Industrial Life</t>
  </si>
  <si>
    <t>Total Face of Amount In Force - Life Incl. Credit</t>
  </si>
  <si>
    <t>Life, Annuity and A&amp;H In Force</t>
  </si>
  <si>
    <t>Unpaid Losses - Total</t>
  </si>
  <si>
    <t>Unpaid Losses - Total Accident &amp; Health</t>
  </si>
  <si>
    <t>Unpaid Losses - Total Non-Affiliated</t>
  </si>
  <si>
    <t>Unpaid Losses - Total Affiliated</t>
  </si>
  <si>
    <t>Paid Losses - Total</t>
  </si>
  <si>
    <t>Paid Losses - Total Accident &amp; Health</t>
  </si>
  <si>
    <t>Paid Losses - Total Non-Affiliated</t>
  </si>
  <si>
    <t>Paid Losses - Total Affiliated</t>
  </si>
  <si>
    <t>Assmd Unearnd Prem &amp; Rsrv Liab (A&amp;H) - Total</t>
  </si>
  <si>
    <t>Assmd Unearnd Prem &amp; Rsrv Liab(A&amp;H) - Ttl N-Afflts</t>
  </si>
  <si>
    <t>Assmd Unearnd Prem &amp; Rsrv Liab (A&amp;H) - Ttl Afflts</t>
  </si>
  <si>
    <t>Assumed Reserve (Life) - Total</t>
  </si>
  <si>
    <t>Assumed Reserve (Life) - Total Separate Accounts</t>
  </si>
  <si>
    <t>Assumed Reserve (Life) - Total General Accounts</t>
  </si>
  <si>
    <t>Assumed Reserve (Life) - Gen Accnts - Non Afflts</t>
  </si>
  <si>
    <t>Assumed Reserve (Life) - Gen Accnts - Afflts</t>
  </si>
  <si>
    <t>Assumed Amount in Force (Life) - Total</t>
  </si>
  <si>
    <t>Assumed Amount in Force (Life) - Total Sep Accnts</t>
  </si>
  <si>
    <t>Assumed Amount in Force (Life) - Total Gen Accnts</t>
  </si>
  <si>
    <t>Assumed Amnt in Force (Life)-Gen Accnts-Non Afflts</t>
  </si>
  <si>
    <t>Assumed Amnt in Force (Life) - Gen Accnts - Afflts</t>
  </si>
  <si>
    <t>Assumed Premiums - Total</t>
  </si>
  <si>
    <t>Assumed Premiums - Total Accident &amp; Health</t>
  </si>
  <si>
    <t>Assumed Premiums - Total Life Separate Accounts</t>
  </si>
  <si>
    <t>Assumed Premiums - Total Life General Accounts</t>
  </si>
  <si>
    <t>Assumed Reinsurance</t>
  </si>
  <si>
    <t>Ceded Outstndng Srplus Relief - Total</t>
  </si>
  <si>
    <t>Ceded Outstndng Srplus Relief - Total A&amp;H</t>
  </si>
  <si>
    <t>Ceded Outstndng Srplus Relief - Total Sep Accnts</t>
  </si>
  <si>
    <t>Ceded Outstndng Srplus Relief - Total Gen Accnts</t>
  </si>
  <si>
    <t>Ceded Reserve Crdt Taken (Life) - Total</t>
  </si>
  <si>
    <t>Ceded Reserve Crdt Taken (Life) - Total Sep Accnts</t>
  </si>
  <si>
    <t>Ceded Reserve Crdt Taken (Life) - Total Gen Accnts</t>
  </si>
  <si>
    <t>Ceded Rsrv Crdt Taken (Life)-Gen Accnts-Non Afflts</t>
  </si>
  <si>
    <t>Ceded Rsrv Crdt Taken (Life) - Gen Accnts - Afflts</t>
  </si>
  <si>
    <t>Ceded Amount in Force (Life) - Total</t>
  </si>
  <si>
    <t>Ceded Amount in Force (Life) - Total Sep Accnts</t>
  </si>
  <si>
    <t>Ceded Amount in Force (Life) - Total Gen Accnts</t>
  </si>
  <si>
    <t>Ceded Amount in Force (Life)-Gen Accnts-Non-Afflts</t>
  </si>
  <si>
    <t>Ceded Amount in Force (Life) - Gen Accnts - Afflts</t>
  </si>
  <si>
    <t>Ceded Premiums - Total</t>
  </si>
  <si>
    <t>Ceded Premiums - Total Accident &amp; Health</t>
  </si>
  <si>
    <t>Ceded Premiums - Total Life Separate Accounts</t>
  </si>
  <si>
    <t>Ceded Premiums - Total Life General Accounts</t>
  </si>
  <si>
    <t>Ceded Reinsurance</t>
  </si>
  <si>
    <t>Particulars</t>
  </si>
  <si>
    <t xml:space="preserve">Financial Highlights  </t>
  </si>
  <si>
    <t xml:space="preserve">Income Statement </t>
  </si>
  <si>
    <t>Underwriting Analysis</t>
  </si>
  <si>
    <t>Investment Analysis</t>
  </si>
  <si>
    <t xml:space="preserve">Reinsurance </t>
  </si>
  <si>
    <t xml:space="preserve">In Force and Size  </t>
  </si>
  <si>
    <t xml:space="preserve">Reserve Analysis  </t>
  </si>
  <si>
    <t xml:space="preserve">Capital Adequacy  </t>
  </si>
  <si>
    <t>Click "REFRESH MODEL" button.</t>
  </si>
  <si>
    <t>(data displayed in $000)</t>
  </si>
  <si>
    <t>Financial Highlights</t>
  </si>
  <si>
    <t>Analysis of Operations All Lines</t>
  </si>
  <si>
    <t>Individual Life</t>
  </si>
  <si>
    <t>Accident and Health</t>
  </si>
  <si>
    <t>Fraternal</t>
  </si>
  <si>
    <t>Other Lines of Business</t>
  </si>
  <si>
    <t>YRT Mortality Risk Only</t>
  </si>
  <si>
    <t>Individual and Group Life</t>
  </si>
  <si>
    <t>Individual and Group Annuities</t>
  </si>
  <si>
    <t xml:space="preserve">2019 Line of Business </t>
  </si>
  <si>
    <t>324672</t>
  </si>
  <si>
    <t>324673</t>
  </si>
  <si>
    <t>324674</t>
  </si>
  <si>
    <t>324675</t>
  </si>
  <si>
    <t>324676</t>
  </si>
  <si>
    <t>324678</t>
  </si>
  <si>
    <t>324680</t>
  </si>
  <si>
    <t>324677</t>
  </si>
  <si>
    <t>324679</t>
  </si>
  <si>
    <t>324681</t>
  </si>
  <si>
    <t>324688</t>
  </si>
  <si>
    <t>Credit (2018)</t>
  </si>
  <si>
    <t xml:space="preserve">        Credit Life &amp; Credit A&amp;H Premiums (2018)</t>
  </si>
  <si>
    <t>Major Segment: Credit (2018)</t>
  </si>
  <si>
    <t>324685</t>
  </si>
  <si>
    <t>324683</t>
  </si>
  <si>
    <t>324684</t>
  </si>
  <si>
    <t>Major Segment: Other (2018)</t>
  </si>
  <si>
    <t>Capital Adequacy</t>
  </si>
  <si>
    <t>Life_List</t>
  </si>
  <si>
    <t>0,3,;1,3,;2,3,;</t>
  </si>
  <si>
    <t>116383|||0|5|False|False|!</t>
  </si>
  <si>
    <t>xxxSNLQuery("Life_List",Key_Fields)</t>
  </si>
  <si>
    <t>(2018) and Prior</t>
  </si>
  <si>
    <t xml:space="preserve">Individual </t>
  </si>
  <si>
    <t>Group</t>
  </si>
  <si>
    <t>Credit A&amp;H</t>
  </si>
  <si>
    <t>Other Health</t>
  </si>
  <si>
    <t>Total A&amp;H</t>
  </si>
  <si>
    <t>Step 3.</t>
  </si>
  <si>
    <t>In Force And Size</t>
  </si>
  <si>
    <t>Reinsurance</t>
  </si>
  <si>
    <t>Increase in Aggregate Reserve by LOB - Individual Life</t>
  </si>
  <si>
    <t>Increase in Aggregate Reserve by LOB - Group Life</t>
  </si>
  <si>
    <t>Increase in Aggregate Reserve by LOB - Individual Annuities</t>
  </si>
  <si>
    <t>Increase in Aggregate Reserve by LOB - Group Annuities</t>
  </si>
  <si>
    <t>Increase in Aggregate Reserve by LOB - A&amp;H</t>
  </si>
  <si>
    <t>Total Individual Life</t>
  </si>
  <si>
    <t>Individual Industrial Life</t>
  </si>
  <si>
    <t>Individual Whole Life</t>
  </si>
  <si>
    <t>Individual Term Life</t>
  </si>
  <si>
    <t>Individual Indexed Life</t>
  </si>
  <si>
    <t>Individual Universal Life</t>
  </si>
  <si>
    <t>Individual Universal Life with Sec Guar</t>
  </si>
  <si>
    <t>Individual Variable Life</t>
  </si>
  <si>
    <t>Individual Variable Universal Life</t>
  </si>
  <si>
    <t>Individual Credit Life</t>
  </si>
  <si>
    <t>Individual Other Life</t>
  </si>
  <si>
    <t>Individual YRT Mortality Risk Only</t>
  </si>
  <si>
    <t>Total Group Life</t>
  </si>
  <si>
    <t>Group Whole Life</t>
  </si>
  <si>
    <t>Group Term Life</t>
  </si>
  <si>
    <t>Group Universal Life</t>
  </si>
  <si>
    <t>Group Variable Life</t>
  </si>
  <si>
    <t>Group Variable Universal Life</t>
  </si>
  <si>
    <t>Group Credit Life</t>
  </si>
  <si>
    <t>Group Other Life</t>
  </si>
  <si>
    <t>Group YRT Mortality Risk Only</t>
  </si>
  <si>
    <t>Total Individual Annuities</t>
  </si>
  <si>
    <t>Individual Deferred Fixed Annuities</t>
  </si>
  <si>
    <t>Individual Deferred Indexed Annuities</t>
  </si>
  <si>
    <t>Ind Defrd Variable Annuities with Guar</t>
  </si>
  <si>
    <t>Ind Defrd Variable Annuities w/o Guar</t>
  </si>
  <si>
    <t>Individual Life Contingent Payout</t>
  </si>
  <si>
    <t>Individual Other Annuities</t>
  </si>
  <si>
    <t>Total Group Annuities</t>
  </si>
  <si>
    <t>Group Deferred Fixed Annuities</t>
  </si>
  <si>
    <t>Group Deferred Indexed Annuities</t>
  </si>
  <si>
    <t>Grp Defrd Variable Annuities with Guar</t>
  </si>
  <si>
    <t>Grp Defrd Variable Annuities w/o Guar</t>
  </si>
  <si>
    <t>Group Life Contingent Payout</t>
  </si>
  <si>
    <t>Group Other Annuities</t>
  </si>
  <si>
    <t>Total Accident and Health</t>
  </si>
  <si>
    <t>Cmprhsv (Hosp, Med) Grp</t>
  </si>
  <si>
    <t>Cmprhsv (Hosp, Med) Ind</t>
  </si>
  <si>
    <t>Dental Only</t>
  </si>
  <si>
    <t>Disability Income</t>
  </si>
  <si>
    <t>Fed Emp Health Ben</t>
  </si>
  <si>
    <t>Long-Term Care</t>
  </si>
  <si>
    <t>Medicare Supplement</t>
  </si>
  <si>
    <t>Title XIX Medicaid</t>
  </si>
  <si>
    <t>Title XVIII Medicare</t>
  </si>
  <si>
    <t>Vision Only</t>
  </si>
  <si>
    <t xml:space="preserve">Life Financial &amp; Underwriting Trend Analysis </t>
  </si>
  <si>
    <t xml:space="preserve">Net Premiums &amp; Annuity Consid: Life, A&amp;H </t>
  </si>
  <si>
    <t>Considerations for Contracts w/ Life Conting</t>
  </si>
  <si>
    <t>Dividends to Stockholders ($)</t>
  </si>
  <si>
    <t xml:space="preserve">Considerations for Contracts w/ Life Conting </t>
  </si>
  <si>
    <t xml:space="preserve">        Credit Life &amp; Credit A&amp;H Benefits (2018)</t>
  </si>
  <si>
    <t xml:space="preserve">Death Benefits </t>
  </si>
  <si>
    <t xml:space="preserve">Matured Endowments Excl Annual Pure Endowments </t>
  </si>
  <si>
    <t xml:space="preserve">Annuity Benefits </t>
  </si>
  <si>
    <t xml:space="preserve">Disability, A&amp;H Benefits </t>
  </si>
  <si>
    <t xml:space="preserve">Coupons, Pure Endowment &amp; Similar Benefits </t>
  </si>
  <si>
    <t xml:space="preserve">Group Conversions </t>
  </si>
  <si>
    <t xml:space="preserve">Pymts on Supp Contracts w/ Life Contingencies </t>
  </si>
  <si>
    <t xml:space="preserve">        Credit Life &amp; Credit A&amp;H Surrenders (2018)</t>
  </si>
  <si>
    <t xml:space="preserve">Surrender Benefits, Withdrawals for Life Contracts </t>
  </si>
  <si>
    <t xml:space="preserve">        Credit Life &amp; Credit A&amp;H Inc. in Reserves (2018)</t>
  </si>
  <si>
    <t xml:space="preserve">Interest &amp; Adj on Deposit Type Contracts </t>
  </si>
  <si>
    <t xml:space="preserve">Increase in Aggregate Reserve </t>
  </si>
  <si>
    <t xml:space="preserve">        Credit Life &amp; Credit A&amp;H Trsfrs. to Sep. Accts (2018)</t>
  </si>
  <si>
    <t xml:space="preserve">Net Transfer to Separate Accts </t>
  </si>
  <si>
    <t>Net Prems, Annuit. &amp; Supp Contract Consid ($)</t>
  </si>
  <si>
    <t xml:space="preserve">General Insurance Expenses </t>
  </si>
  <si>
    <t xml:space="preserve">Commissions on Prems, Annty, Deposit Fnds (Direct) </t>
  </si>
  <si>
    <t xml:space="preserve">Reinsurance Commissions: Assumed Reinsurance Total </t>
  </si>
  <si>
    <t>Total Bonds (incl Short-Term) ($)</t>
  </si>
  <si>
    <t>Total Preferred Stock (incl Nonadmitted) ($)</t>
  </si>
  <si>
    <t>Total Common Stock (incl Nonadmitted) ($)</t>
  </si>
  <si>
    <t>Total Mortgage Loans (incl Nonadmitted) ($)</t>
  </si>
  <si>
    <t>Total Real Estate (incl Nonadmitted) ($)</t>
  </si>
  <si>
    <t>General Account Reserves by LOB - ($)</t>
  </si>
  <si>
    <t>Aggregate Reserves Life Contracts ($) - Total Individual Life</t>
  </si>
  <si>
    <t>Aggregate Reserves Life Contracts ($) - Total Group Life</t>
  </si>
  <si>
    <t>Aggregate Reserves Life Contracts ($) - Total Individual Annuities</t>
  </si>
  <si>
    <t>Aggregate Reserves Life Contracts ($) - Total Group Annuities</t>
  </si>
  <si>
    <t>Aggregate Reserves A&amp;H Contracts ($) - Total Accident and Health</t>
  </si>
  <si>
    <t xml:space="preserve">Policy Reserve: Additional Contract </t>
  </si>
  <si>
    <t xml:space="preserve">Policy Reserve: Additional Actuarial Analysis </t>
  </si>
  <si>
    <t xml:space="preserve">Policy Reserve: Future Contingent Benefits </t>
  </si>
  <si>
    <t xml:space="preserve">Policy Reserve:Rate Credits </t>
  </si>
  <si>
    <t xml:space="preserve">Policy Reserve: Write Ins </t>
  </si>
  <si>
    <t>A&amp;H - Claim Reserves ($)</t>
  </si>
  <si>
    <t>Deposit Type-Contracts ($)</t>
  </si>
  <si>
    <t>A&amp;H  - Active Life Unearned Premium Reserves ($)</t>
  </si>
  <si>
    <t>A&amp;H - Active Life Additional Contract Reserves ($)</t>
  </si>
  <si>
    <t>Reinsurance Analysis ($)</t>
  </si>
  <si>
    <t xml:space="preserve">Aggregate Reserves Life Contracts </t>
  </si>
  <si>
    <t xml:space="preserve">This model and/or any data in it are provided subject to the written agreement of S&amp;P Global Market Intelligence LLC </t>
  </si>
  <si>
    <t>governing the subscription service to which this model is applied.</t>
  </si>
  <si>
    <t>Note:</t>
  </si>
  <si>
    <t>From 2019Y, "Major Segment: Other" Includes (Fraternal, Other Lines of Business and YRT Mortality Risk).</t>
  </si>
  <si>
    <t>123592</t>
  </si>
  <si>
    <t>123665</t>
  </si>
  <si>
    <t>2019 Line of Business (%)</t>
  </si>
  <si>
    <t>(2018 and Prior Lines) (%)</t>
  </si>
  <si>
    <t>Hyperlink Navigation Map:</t>
  </si>
  <si>
    <t>In Force and Size</t>
  </si>
  <si>
    <t>Peer Analysis</t>
  </si>
  <si>
    <r>
      <rPr>
        <b/>
        <sz val="8"/>
        <rFont val="Arial"/>
        <family val="2"/>
      </rPr>
      <t>Step 1:</t>
    </r>
    <r>
      <rPr>
        <sz val="8"/>
        <rFont val="Arial"/>
        <family val="2"/>
      </rPr>
      <t xml:space="preserve">  Click "REFRESH COMPANY LIST" button.</t>
    </r>
  </si>
  <si>
    <t>2) Enable macros while opening the model.</t>
  </si>
  <si>
    <t xml:space="preserve">Bond Average Asset Quality (1-6) </t>
  </si>
  <si>
    <t>Bond Average Asset Quality (1-6)</t>
  </si>
  <si>
    <t>0,3,;1,2,;2,1,;</t>
  </si>
  <si>
    <t>116383|||0|3|False|False|Aetna Life Insurance Co.!126775|||1|12|False|False|Specialty A&amp;H Focus!122915|2019Y||1|5|False|False|!</t>
  </si>
  <si>
    <t>Aetna Life Insurance Co.'s peers are Life Co's in the Market Intelligence-determined category of Specialty A&amp;H Focus with the closest amt of Net Total Assets for 2019Y.</t>
  </si>
  <si>
    <t>324925</t>
  </si>
  <si>
    <t xml:space="preserve">Aggregate Reserves Life Contracts ($) </t>
  </si>
  <si>
    <t>Aggregate Reserves A&amp;H Contracts ($)</t>
  </si>
  <si>
    <t>Policy Reserve: Additional Contract</t>
  </si>
  <si>
    <t>325028</t>
  </si>
  <si>
    <t>Policy Reserve: Additional Actuarial Analysis</t>
  </si>
  <si>
    <t>325029</t>
  </si>
  <si>
    <t>325030</t>
  </si>
  <si>
    <t>325031</t>
  </si>
  <si>
    <t>Policy Reserve: Future Contingent Benefits</t>
  </si>
  <si>
    <t>Policy Reserve:Rate Credits</t>
  </si>
  <si>
    <t>325041</t>
  </si>
  <si>
    <t>Net A&amp;H Claim Reserves</t>
  </si>
  <si>
    <t>Athene Annty &amp; Life Assr (NY) (SA Bifurcated, Account 01, Undefined)</t>
  </si>
  <si>
    <t>BSA2727-01</t>
  </si>
  <si>
    <t>Equitable Finl Life Ins (AZ)</t>
  </si>
  <si>
    <t>Equitable Finl Life Ins (AZ) (SA Bifurcated, Unnamed Account, Insulated)</t>
  </si>
  <si>
    <t>Equitable Finl Life Ins (AZ) (SA Bifurcated, Unnamed Account, Non-insulated)</t>
  </si>
  <si>
    <t>Equitable Finl Life Ins (AZ) (SA Company Aggregate)</t>
  </si>
  <si>
    <t>Equitable Finl Life Ins (NY)</t>
  </si>
  <si>
    <t>Equitable Finl Life Ins (NY) (SA Bifurcated, Unnamed Account, Insulated)</t>
  </si>
  <si>
    <t>Equitable Finl Life Ins (NY) (SA Bifurcated, Unnamed Account, Non-insulated)</t>
  </si>
  <si>
    <t>Equitable Finl Life Ins (NY) (SA Company Aggregate)</t>
  </si>
  <si>
    <t>First Trinity Financial (SNL Life Group)</t>
  </si>
  <si>
    <t>Transamerica Life Insurance Co (SA Bifurcated, Account 02, Undefined)</t>
  </si>
  <si>
    <t>BSA2707-02</t>
  </si>
  <si>
    <t>***Last updated on April 10, 2020.</t>
  </si>
  <si>
    <t>=SNLLabel(287,324688,,"&lt;&gt;360")</t>
  </si>
  <si>
    <t>=SNLLabel(287,324688,,"&lt;&gt;361")</t>
  </si>
  <si>
    <t>=SNLLabel(287,324688,,"&lt;&gt;362")</t>
  </si>
  <si>
    <t>=SNLLabel(287,324688,,"&lt;&gt;363")</t>
  </si>
  <si>
    <t>=SNLLabel(287,324688,,"&lt;&gt;364")</t>
  </si>
  <si>
    <t>=SNLLabel(287,324688,,"&lt;&gt;365")</t>
  </si>
  <si>
    <t>=SNLLabel(287,324688,,"&lt;&gt;366")</t>
  </si>
  <si>
    <t>=SNLLabel(287,324688,,"&lt;&gt;367")</t>
  </si>
  <si>
    <t>=SNLLabel(287,324688,,"&lt;&gt;368")</t>
  </si>
  <si>
    <t>=SNLLabel(287,324688,,"&lt;&gt;369")</t>
  </si>
  <si>
    <t>=SNLLabel(287,324688,,"&lt;&gt;370")</t>
  </si>
  <si>
    <t>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䑁䅕䅁䍄兂䅁䅴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䑁䅕䅎䅁佁䙉䅁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兖歁䑁䅧免㍁䅁䅁杹䅕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免睁䑁䅣李㙁䍁䅑杖歁䑁䅅免穁䑁䅧䅁兄兂䅁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䅙䅊硁䑁䅅兎祁䑁䅯䅊坂䍁䅑免祁䑁䅁免䅁乁䙧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杖歁䑁䅅杍穁䑁䅧䅁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䅙䅊祁䑁䅫免㙁䍁䅑杖歁䑁䅍睎㕁䅁䅁䅹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睍㕁䑁䅕杏歁䙁䅙䅊ぁ䑁䅁兎䅁乁䙑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杖歁䑁䅑杍硁䑁䅯䅊坂䍁䅑䅎ぁ䑁䅑䅁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䅙䅊ぁ䑁䅙䅍㙁䍁䅑杖歁䑁䅑睎睁䅁䅁䄴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睎ㅁ䑁䅙杏歁䙁䅙䅊㍁䑁䅙李䅁佁䙑䅁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杖歁䑁䅣睎㙁䍁䅑杖歁䑁䅅䅍睁䅁䅁䅸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䅏硁䑁䅫杏歁䙁䅙䅊㑁䑁䅑杍䅁䵁䙷䅁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睖歁䑁䅅䅍㍁䑁䅙杏歁䙁䅣䅊硁䑁䅅睍㑁䅁䅁儰䅕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免硁䑁䅕杍㙁䍁䅑睖歁䑁䅅杍睁䑁䅅䅁婄兂䅁䅹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硁䑁䅉睍ㅁ䑁䅯䅊䉂䕁䅣䅊硁䑁䅉睍ㅁ䅁䅁眵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免祁䑁䅍李㙁䍁䅑兑䡂䍁䅑免祁䑁䅍李䅁佁䙫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睖歁䑁䅉兏硁䑁䅯䅊塂䍁䅑睍㍁䑁䅫䅁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穁䑁䅫兎㙁䍁䅑睖歁䑁䅑䅍ㅁ䅁䅁儱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䅎祁䑁䅅杏歁䙁䅣䅊ぁ䑁䅑䅎䅁乁䘰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睖歁䑁䅑李睁䑁䅯䅊塂䍁䅑䅎㍁䑁䅁䅁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䑁䅕李㙁䍁䅑睖歁䑁䅣李㉁䅁䅁儵䅕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睎㍁䑁䅯䅊塂䍁䅑免睁䑁䅁䅁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㑁䑁䅅兏㙁䍁䅑睖歁䑁䅧䅎祁䅁䅁兺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婂䍁䅑免睁䑁䅣䅎㙁䍁䅑兑䩂䍁䅑免睁䑁䅣䅎䅁䵁䘸䅁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兗歁䑁䅅免ㅁ䑁䅁杏歁䕁䅅兓歁䑁䅅免ㅁ䑁䅁䅁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祁䑁䅧兏㙁䍁䅑兑䩂䍁䅑杍㑁䑁䅫䅁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穁䑁䅫睍㙁䍁䅑兑䩂䍁䅑睍㕁䑁䅍䅁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ぁ䑁䅅兏㙁䍁䅑兑䩂䍁䅑䅎硁䑁䅫䅁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ぁ䑁䅕䅏㙁䍁䅑兑䩂䍁䅑䅎ㅁ䑁䅧䅁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䑁䅕䅎㙁䍁䅑兑䩂䍁䅑睎ㅁ䑁䅑䅁橄兂䅁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䑁䅕杏歁䕁䅅兓歁䑁䅣兎䅁䵁䙍䅁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兗歁䑁䅧免㍁䑁䅯䅊䉂䕁䅫䅊㑁䑁䅅睎䅁䵁䙳䅁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灂䝁䄴督ㅂ䡁䅉兙畂䝁䅍党湁䍁䅅䅊䍂䍁䅑李䅁䱁䙯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灂䝁䄴督ㅂ䡁䅉兙畂䝁䅍党湁䍁䅅䅊䑂䍁䅑免睁䑁䅯䅊䑂䍁䅑李㉁䅁䅁䅶䅕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䝁䅫杢穂䡁䅕杣桂䝁䄴睙求䍁䅣光歁䕁䅑䅊㉁䑁䅯䅊䥂䍁䅑李䅁䱁䙳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灂䝁䄴督ㅂ䡁䅉兙畂䝁䅍党湁䍁䅅䅊䕂䍁䅑睎㙁䍁䅑䅓歁䑁䅣䅁㥃兂䅁杵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䅉䅊祁䑁䅁䅎䅁䭁䘰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村歁䑁䅙䅁灃兂䅁杸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䅍䅊硁䑁䅁杏歁䕁䅍䅊祁䑁䅁免䅁䭁䙳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睑歁䑁䅉䅍㍁䅁䅁睲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䕂䍁䅑杍睁䑁䅑杏歁䕁䅧䅊祁䑁䅁䅎䅁䭁䘴䅁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䅒歁䑁䅉䅍ㅁ䑁䅯䅊䥂䍁䅑杍睁䑁䅕䅁睃兂䅁䅹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䅑䅊祁䑁䅁李㙁䍁䅑䅓歁䑁䅉䅍㉁䅁䅁关䅕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䕂䍁䅑李㙁䍁䅑䅓歁䑁䅙䅁煃兂䅁䅷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䅑䅊㍁䑁䅯䅊䥂䍁䅑睎䅁䭁䙷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杔歁䑁䅉䅍ぁ䅁䅁杳䅕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偂䍁䅑䅏㙁䍁䅑睔歁䑁䅙䅏睁䅁䅁䅴䅕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兂䍁䅑䅏㙁䍁䅑䅕歁䑁䅙䅏睁䅁䅁兴䅕䱁䅯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呂䍁䅑杍睁䑁䅑䅁穃兂䅁䅷䅁䍁䅣睗乂䕁䅫睘䩂䕁䄴睕時䙁䅍䅖䉂䙁䅑睘䵂䝁䅫杚求䙁䄸杒灂䝁䄴兙畂䝁䅍兡桂䝁䅷督流䙁䅕杢歂䝁䅕杣㍂䡁䅉兡あ䝁䅫杢湂䙁䅑杣求䝁䄴䅚䉂䝁䄴兙獂䡁䅫督灂䡁䅍睘㉂䑁䅅䅉潁䑁䅅克畁䡁䅧䅢穂䝁䄰兘噂䝁䄴䅚求䡁䅉睤祂䝁䅫䅤灂䝁䄴睚時䕁䅅杢桂䝁䅷入穂䝁䅫督湁䍁䅅䅊䍂䍁䅑李䅁䩁䙫䅁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䅍䅊硁䑁䅁杏歁䕁䅍䅊ぁ䑁䅁䅎䅁䩁䙳䅁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䅑䅊㉁䑁䅯䅊䥂䍁䅑李䅁䩁䙯䅁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䅑䅊㍁䑁䅯䅊䥂䍁䅑睎䅁䩁䙷䅁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䄴䅊ぁ䑁䅁睎䅁䩁䘰䅁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䄸䅊ぁ䑁䅁兏㙁䍁䅑睔歁䑁䅅䅍㍁䑁䅫䅁晃兂䅁䄱䅁䍁䅣睗乂䕁䅫睘䩂䕁䄴睕時䙁䅍䅖䉂䙁䅑睘䵂䝁䅫杚求䙁䄸杒灂䝁䄴兙畂䝁䅍兡桂䝁䅷督流䙁䅕杢歂䝁䅕杣㍂䡁䅉兡あ䝁䅫杢湂䙁䅑杣求䝁䄴䅚䉂䝁䄴兙獂䡁䅫督灂䡁䅍睘㉂䑁䅅䅉潁䑁䅅克畁䡁䅧䅢穂䝁䄰兘噂䝁䄴䅚求䡁䅉睤祂䝁䅫䅤灂䝁䄴睚時䕁䅅杢桂䝁䅷入穂䝁䅫督湁䍁䅅䅊兂䍁䅑䅎睁䑁䅫杏歁䙁䅁䅊硁䑁䅁睎㕁䅁䅁䅯䅕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兖畂䝁䅑党祂䡁䅣杣灂䡁䅑兡畂䝁䅣睘䉂䝁䄴兙獂䡁䅫督灂䡁䅍睊桁䍁䅑睕歁䑁䅑䅍㍁䅁䅁杮䅕䭁䅧䅁湁䙁䅳兔䩂䙁䄸兓佂䙁䅍睘呂䙁䅑兑啂䙁䄸䅔灂䝁䅙党時䕁䅙兡畂䝁䅅杢橂䝁䅫兙獂䡁䅍杊噂䝁䄴䅚求䡁䅉睤祂䝁䅫䅤灂䝁䄴睚啂䡁䅉党畂䝁䅑兑畂䝁䅅䅢㕂䡁䅍兡穂䙁䄸杤硁䍁䄴䅥獂䡁䅍兢摂䕁䅉兙獂䝁䅅杢橂䝁䅕睘呂䝁䅧党求䡁䅑睊桁䍁䅑村歁䑁䅙䅁佁䅂䅁杴䅁䍁䅣睗乂䕁䅫睘䩂䕁䄴睕時䙁䅍䅖䉂䙁䅑睘䵂䝁䅫杚求䙁䄸杒灂䝁䄴兙畂䝁䅍兡桂䝁䅷督流䙁䅕杢歂䝁䅕杣㍂䡁䅉兡あ䝁䅫杢湂䙁䅑杣求䝁䄴䅚䉂䝁䄴兙獂䡁䅫督灂䡁䅍睘㉂䑁䅅杌㑂䝁䅷督瑂䙁䄰村桂䝁䅷兙畂䝁䅍党時䙁䅍䅡求䝁䅕䅤湁䍁䅅䅊䑂䍁䅑免睁䑁䅯䅊䑂䍁䅑睎睁䅁䅁䅅䅑䱁䅉䅁湁䙁䅳兔䩂䙁䄸兓佂䙁䅍睘呂䙁䅑兑啂䙁䄸䅔灂䝁䅙党時䕁䅙兡畂䝁䅅杢橂䝁䅫兙獂䡁䅍杊噂䝁䄴䅚求䡁䅉睤祂䝁䅫䅤灂䝁䄴睚啂䡁䅉党畂䝁䅑兑畂䝁䅅䅢㕂䡁䅍兡穂䙁䄸杤硁䍁䄴䅥獂䡁䅍兢摂䕁䅉兙獂䝁䅅杢橂䝁䅕睘呂䝁䅧党求䡁䅑睊桁䍁䅑䅒歁䑁䅙杏歁䕁䅧䅊㉁䅁䅁睄䅑䱁䅉䅁湁䙁䅳兔䩂䙁䄸兓佂䙁䅍睘呂䙁䅑兑啂䙁䄸䅔灂䝁䅙党時䕁䅙兡畂䝁䅅杢橂䝁䅫兙獂䡁䅍杊噂䝁䄴䅚求䡁䅉睤祂䝁䅫䅤灂䝁䄴睚啂䡁䅉党畂䝁䅑兑畂䝁䅅䅢㕂䡁䅍兡穂䙁䄸杤硁䍁䄴䅥獂䡁䅍兢摂䕁䅉兙獂䝁䅅杢橂䝁䅕睘呂䝁䅧党求䡁䅑睊桁䍁䅑䅒歁䑁䅣杏歁䕁䅧䅊㍁䅁䅁充䅑䭁䄴䅁湁䙁䅳兔䩂䙁䄸兓佂䙁䅍睘呂䙁䅑兑啂䙁䄸䅔灂䝁䅙党時䕁䅙兡畂䝁䅅杢橂䝁䅫兙獂䡁䅍杊噂䝁䄴䅚求䡁䅉睤祂䝁䅫䅤灂䝁䄴睚啂䡁䅉党畂䝁䅑兑畂䝁䅅䅢㕂䡁䅍兡穂䙁䄸杤硁䍁䄴䅥獂䡁䅍兢摂䕁䅍兙睂䝁䅫䅤桂䝁䅷睘䉂䝁䅑党硂䡁䅕兙橂䡁䅫睊桁䍁䅑村歁䑁䅙䅁兂䅂䅁䅶䅁䍁䅣睗乂䕁䅫睘䩂䕁䄴睕時䙁䅍䅖䉂䙁䅑睘䵂䝁䅫杚求䙁䄸杒灂䝁䄴兙畂䝁䅍兡桂䝁䅷督流䙁䅕杢歂䝁䅕杣㍂䡁䅉兡あ䝁䅫杢湂䙁䅑杣求䝁䄴䅚䉂䝁䄴兙獂䡁䅫督灂䡁䅍睘㉂䑁䅅杌㑂䝁䅷督瑂䙁䄰睑桂䡁䅁兡あ䝁䅅䅢時䕁䅅䅚求䡁䅅兤桂䝁䅍入湁䍁䅅䅊䑂䍁䅑免睁䑁䅯䅊䑂䍁䅑李㉁䅁䅁杕䅑䱁䅧䅁湁䙁䅳兔䩂䙁䄸兓佂䙁䅍睘呂䙁䅑兑啂䙁䄸䅔灂䝁䅙党時䕁䅙兡畂䝁䅅杢橂䝁䅫兙獂䡁䅍杊噂䝁䄴䅚求䡁䅉睤祂䝁䅫䅤灂䝁䄴睚啂䡁䅉党畂䝁䅑兑畂䝁䅅䅢㕂䡁䅍兡穂䙁䄸杤硁䍁䄴䅥獂䡁䅍兢摂䕁䅍兙睂䝁䅫䅤桂䝁䅷睘䉂䝁䅑党硂䡁䅕兙橂䡁䅫睊桁䍁䅑䅒歁䑁䅙杏歁䕁䅧䅊㉁䅁䅁兕䅑䱁䅧䅁湁䙁䅳兔䩂䙁䄸兓佂䙁䅍睘呂䙁䅑兑啂䙁䄸䅔灂䝁䅙党時䕁䅙兡畂䝁䅅杢橂䝁䅫兙獂䡁䅍杊噂䝁䄴䅚求䡁䅉睤祂䝁䅫䅤灂䝁䄴睚啂䡁䅉党畂䝁䅑兑畂䝁䅅䅢㕂䡁䅍兡穂䙁䄸杤硁䍁䄴䅥獂䡁䅍兢摂䕁䅍兙睂䝁䅫䅤桂䝁䅷睘䉂䝁䅑党硂䡁䅕兙橂䡁䅫睊桁䍁䅑䅒歁䑁䅣杏歁䕁䅧䅊㍁䅁䅁睕䅑䭁䅧䅁湁䙁䅳兔䩂䙁䄸兓佂䙁䅍睘呂䙁䅑兑啂䙁䄸䅔灂䝁䅙党時䕁䅙兡畂䝁䅅杢橂䝁䅫兙獂䡁䅍杊噂䝁䄴䅚求䡁䅉睤祂䝁䅫䅤灂䝁䄴睚啂䡁䅉党畂䝁䅑兑畂䝁䅅䅢㕂䡁䅍兡穂䙁䄸杤硁䍁䄴䅥獂䡁䅍兢摂䕁䅍睢瑂䡁䅁兙畂䡁䅫睘䵂䝁䅫督あ䍁䅣光歁䕁䅉䅊硁䑁䅍䅁煄兂䅁䅴䅁䍁䅣睗乂䕁䅫睘䩂䕁䄴睕時䙁䅍䅖䉂䙁䅑睘䵂䝁䅫杚求䙁䄸杒灂䝁䄴兙畂䝁䅍兡桂䝁䅷督流䙁䅕杢歂䝁䅕杣㍂䡁䅉兡あ䝁䅫杢湂䙁䅑杣求䝁䄴䅚䉂䝁䄴兙獂䡁䅫督灂䡁䅍睘㉂䑁䅅杌㑂䝁䅷督瑂䙁䄰睑療䝁䄰䅣桂䝁䄴入時䕁䅷兡穂䡁䅑睊桁䍁䅑䅒歁䑁䅅兎㙁䍁䅑兓歁䑁䅅兎䅁佁䙳䅁㉃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村歁䑁䅙䅁䕁䅂䅁䅵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䅉䅊㍁䑁䅙䅁䩁䅂䅁杸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䅍䅊硁䑁䅁杏歁䕁䅍䅊硁䑁䅕睍䅁䅁䕙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睑歁䑁䅣䅏㙁䍁䅑睑歁䑁䅅䅍睁䅁䅁睃䅑䵁䅁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䕂䍁䅑李㙁䍁䅑䅓歁䑁䅙䅁祁兂䅁䅷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䅑䅊㍁䑁䅯䅊䥂䍁䅑睎䅁䑁䙍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兒歁䑁䅅䅍㙁䍁䅑兒歁䑁䅅兎穁䅁䅁䅃䅑䵁䅙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䙂䍁䅑睎㑁䑁䅯䅊䙂䍁䅑免睁䑁䅁䅁乁䅂䅁䅷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䅙䅊㉁䑁䅯䅊䭂䍁䅑李䅁䅁䕕䅁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杒歁䑁䅣李㙁䍁䅑杓歁䑁䅣李䅁䅁䕯䅁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杒歁䑁䅣睎㙁䍁䅑杓歁䑁䅣睎䅁䅁䕷䅁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杒歁䑁䅣杏歁䕁䅯䅊㍁䅁䅁睂䅑䱁䅯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佂䍁䅑免㉁䑁䅉䅁ぁ兂䅁䅹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䄸䅊硁䑁䅙䅎㙁䍁䅑睔歁䑁䅉睎ぁ䅁䅁李䅕䵁䅧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兂䍁䅑免㉁䑁䅑杏歁䙁䅁䅊祁䑁䅣䅎䅁䑁䙣䅁㑃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䅕歁䑁䅣李䅁乁䕍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兕歁䑁䅣䅏㙁䍁䅑兕歁䑁䅅睍祁䅁䅁儱䅑䵁䅙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剂䍁䅑睎㑁䑁䅯䅊剂䍁䅑免㑁䑁䅧䅁塄䅂䅁杸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䙁䅉䅊㍁䑁䅧杏歁䙁䅉䅊硁䑁䅍杍䅁乁䕙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杕歁䑁䅣䅏㙁䍁䅑杕歁䑁䅅䅏㑁䅁䅁䄲䅑䱁䅯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呂䍁䅑免㉁䑁䅉䅁ㅁ兂䅁䅵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䙁䅕䅊㍁䑁䅙䅁啄䅂䅁䅳䅁䍁䅣睗乂䕁䅫睘䩂䕁䄴睕時䙁䅍䅖䉂䙁䅑睘䵂䝁䅫杚求䙁䄸杒灂䝁䄴兙畂䝁䅍兡桂䝁䅷督流䙁䅕杢歂䝁䅕杣㍂䡁䅉兡あ䝁䅫杢湂䙁䅑杣求䝁䄴䅚䉂䝁䄴兙獂䡁䅫督灂䡁䅍睘㉂䑁䅅杌㑂䝁䅷督瑂䙁䄰兓畂䙁䄸杒療䡁䅉睙求䙁䄸兙畂䝁䅑睘呂䝁䅫来求䍁䅣光歁䕁䅉䅊㉁䅁䅁兣䅑䱁䄴䅁湁䙁䅳兔䩂䙁䄸兓佂䙁䅍睘呂䙁䅑兑啂䙁䄸䅔灂䝁䅙党時䕁䅙兡畂䝁䅅杢橂䝁䅫兙獂䡁䅍杊噂䝁䄴䅚求䡁䅉睤祂䝁䅫䅤灂䝁䄴睚啂䡁䅉党畂䝁䅑兑畂䝁䅅䅢㕂䡁䅍兡穂䙁䄸杤硁䍁䄴䅥獂䡁䅍兢摂䕁䅫杢時䕁䅙睢祂䝁䅍党時䝁䅅杢歂䙁䄸睕灂䡁䅯党湁䍁䅅䅊䑂䍁䅑免睁䑁䅯䅊䑂䍁䅑䅎㉁䅁䅁督䅑䱁䅯䅁湁䙁䅳兔䩂䙁䄸兓佂䙁䅍睘呂䙁䅑兑啂䙁䄸䅔灂䝁䅙党時䕁䅙兡畂䝁䅅杢橂䝁䅫兙獂䡁䅍杊噂䝁䄴䅚求䡁䅉睤祂䝁䅫䅤灂䝁䄴睚啂䡁䅉党畂䝁䅑兑畂䝁䅅䅢㕂䡁䅍兡穂䙁䄸杤硁䍁䄴䅥獂䡁䅍兢摂䕁䅫杢時䕁䅙睢祂䝁䅍党時䝁䅅杢歂䙁䄸睕灂䡁䅯党湁䍁䅅䅊䕂䍁䅑李㙁䍁䅑䅓歁䑁䅙䅁祂䅂䅁杵䅁䍁䅣睗乂䕁䅫睘䩂䕁䄴睕時䙁䅍䅖䉂䙁䅑睘䵂䝁䅫杚求䙁䄸杒灂䝁䄴兙畂䝁䅍兡桂䝁䅷督流䙁䅕杢歂䝁䅕杣㍂䡁䅉兡あ䝁䅫杢湂䙁䅑杣求䝁䄴䅚䉂䝁䄴兙獂䡁䅫督灂䡁䅍睘㉂䑁䅅杌㑂䝁䅷督瑂䙁䄰兓畂䙁䄸杒療䡁䅉睙求䙁䄸兙畂䝁䅑睘呂䝁䅫来求䍁䅣光歁䕁䅑䅊㍁䑁䅯䅊䥂䍁䅑睎䅁䡁䕑䅁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硁䑁䅧䅎䅁䍁䕁䅁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祁䑁䅅免䅁䍁䕕䅁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祁䑁䅕䅍䅁䍁䕯䅁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穁䑁䅫䅁坁䅂䅁杲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䍂䍁䅑李䅁䉁䕉䅁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㑁䑁䅕䅁扁䅂䅁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免睁䑁䅯䅊䑂䍁䅑杍㕁䑁䅁䅁啁䅂䅁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免睁䑁䅯䅊䑂䍁䅑杍㕁䑁䅍䅁㕁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免㑁䑁䅙杏歁䕁䅍䅊硁䑁䅫李䅁䍁䕉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䅍䅊祁䑁䅅睍㙁䍁䅑睑歁䑁䅉睍ㅁ䅁䅁睊䅑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睑歁䑁䅉兎祁䑁䅯䅊䑂䍁䅑杍㉁䑁䅉䅁獁䅂䅁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䅎硁䑁䅯䅊䑂䍁䅑李穁䅁䅁䅇䅑䱁䄴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睑歁䑁䅧睎㙁䍁䅑睑歁䑁䅅李㕁䅁䅁先䅑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䅒歁䑁䅙杏歁䕁䅧䅊㉁䅁䅁䅏䅕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䅒歁䑁䅣杏歁䕁䅧䅊㍁䅁䅁杏䅕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兒歁䑁䅅䅏㉁䑁䅯䅊䙂䍁䅑免㕁䑁䅙䅁歁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䙂䍁䅑杍硁䑁䅍杏歁䕁䅕䅊祁䑁䅍兎䅁䍁䕫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䅕䅊祁䑁䅕杍㙁䍁䅑兒歁䑁䅉李祁䅁䅁杌䅑䱁䅷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兒歁䑁䅑免㙁䍁䅑兒歁䑁䅙睍䅁䉁䕯䅁⭃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䅕䅊㑁䑁䅣杏歁䕁䅕䅊硁䑁䅙兏䅁䉁䔸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硁䑁䅧䅎㙁䍁䅑杓歁䑁䅅䅏ぁ䅁䅁光䅑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䅅䅏ㅁ䑁䅯䅊䭂䍁䅑免㑁䑁䅕䅁橁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䝂䍁䅑杍硁䑁䅅杏歁䕁䅯䅊祁䑁䅅免䅁䍁䕙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祁䑁䅅杍㙁䍁䅑杓歁䑁䅉免祁䅁䅁䅋䅑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䅉兎睁䑁䅯䅊䭂䍁䅑杍ㅁ䑁䅁䅁牁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䝂䍁䅑杍ㅁ䑁䅅杏歁䕁䅯䅊祁䑁䅕免䅁䍁䔰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穁䑁䅫杏歁䕁䅯䅊穁䑁䅫䅁塁䅂䅁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䝂䍁䅑䅎睁䑁䅯䅊䭂䍁䅑䅎睁䅁䅁兇䅑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䅙杏歁䕁䅯䅊㉁䅁䅁睅䅑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䅣杏歁䕁䅯䅊㍁䅁䅁兆䅑䱁䅷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䅧兎㙁䍁䅑杓歁䑁䅧兎䅁䉁䕷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㑁䑁䅙杏歁䕁䅯䅊㑁䑁䅙䅁敁䅂䅁杳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偂䍁䅑睍睁䑁䅁䅁㝂兂䅁杳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兂䍁䅑睍睁䑁䅁䅁㝁兂䅁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兂䍁䅑睍睁䑁䅉杏歁䙁䅁䅊硁䑁䅁杍㑁䅁䅁兦䅕䵁䅉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兕歁䑁䅍䅍祁䑁䅯䅊剂䍁䅑免睁䑁䅉䅏䅁䑁䘰䅁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䅉䅊穁䑁䅁杍㙁䍁䅑杕歁䑁䅅䅍祁䑁䅧䅁⭁兂䅁杲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卂䍁䅑李䅁佁䕅䅁⭃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䅍䅊㑁䑁䅯䅊呂䍁䅑免硁䑁䅅䅏䅁佁䕕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䅍䅊㑁䑁䅯䅊呂䍁䅑免硁䑁䅧䅁橄䅂䅁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呂䍁䅑䅏㙁䍁䅑睕歁䑁䅣睍ぁ䅁䅁眵䅑䱁䅉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䅖歁䑁䅍䅍睁䅁䅁䅦䅕䱁䄴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䅖歁䑁䅧杏歁䙁䅑䅊硁䑁䅅免㑁䅁䅁朵䅑䱁䅷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䅖歁䑁䅧杏歁䙁䅑䅊硁䑁䅅䅏䅁佁䕑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䅑䅊㑁䑁䅯䅊啂䍁䅑睎穁䑁䅑䅁潄䅂䅁杳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噂䍁䅑睍睁䑁䅁䅁㡁兂䅁杲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塂䍁䅑李䅁佁䕉䅁潃䅁䅁睊扂䕁䄰兓時䕁䅫杔呂䙁䄸睕啂䕁䅅䅖時䕁䅷兡浂䝁䅕睘䝂䝁䅫杢桂䝁䄴睙灂䝁䅅䅢穂䍁䅙兖畂䝁䅑党祂䡁䅣杣灂䡁䅑兡畂䝁䅣䅖祂䝁䅕杢歂䕁䅅杢桂䝁䅷入穂䝁䅫督時䡁䅙免畁䡁䅧䅢穂䝁䄰兘䩂䝁䄴督あ䡁䅉兤橂䡁䅑兡療䝁䄴督湁䍁䅅䅊塂䍁䅑李㉁䅁䅁兺䅑䭁䅧䅁湁䙁䅳兔䩂䙁䄸兓佂䙁䅍睘呂䙁䅑兑啂䙁䄸䅔灂䝁䅙党時䕁䅙兡畂䝁䅅杢橂䝁䅫兙獂䡁䅍杊噂䝁䄴䅚求䡁䅉睤祂䝁䅫䅤灂䝁䄴睚啂䡁䅉党畂䝁䅑兑畂䝁䅅䅢㕂䡁䅍兡穂䙁䄸杤硁䍁䄴䅥獂䡁䅍兢摂䕁䅫杢穂䡁䅑杣ㅂ䝁䅍䅤灂䝁䄸杢穂䍁䅣光歁䙁䅣䅊㉁䑁䅫䅁佄䅂䅁杴䅁䍁䅣睗乂䕁䅫睘䩂䕁䄴睕時䙁䅍䅖䉂䙁䅑睘䵂䝁䅫杚求䙁䄸杒灂䝁䄴兙畂䝁䅍兡桂䝁䅷督流䙁䅕杢歂䝁䅕杣㍂䡁䅉兡あ䝁䅫杢湂䙁䅑杣求䝁䄴䅚䉂䝁䄴兙獂䡁䅫督灂䡁䅍睘㉂䑁䅅杌㑂䝁䅷督瑂䙁䄰兓畂䡁䅍䅤祂䡁䅕睙あ䝁䅫睢畂䡁䅍睊桁䍁䅑䅗歁䑁䅙李㙁䍁䅑兑䉂䍁䅑李㉁䅁䅁睺䅑䱁䅙䅁湁䙁䅳兔䩂䙁䄸兓佂䙁䅍睘呂䙁䅑兑啂䙁䄸䅔灂䝁䅙党時䕁䅙兡畂䝁䅅杢橂䝁䅫兙獂䡁䅍杊噂䝁䄴䅚求䡁䅉睤祂䝁䅫䅤灂䝁䄴睚啂䡁䅉党畂䝁䅑兑畂䝁䅅䅢㕂䡁䅍兡穂䙁䄸杤硁䍁䄴䅥獂䡁䅍兢摂䕁䅫杢穂䡁䅑杣ㅂ䝁䅍䅤灂䝁䄸杢穂䍁䅣光歁䙁䅧䅊㉁䑁䅣杏歁䕁䅅兑歁䑁䅙睎䅁乁䕁䅁潃䅁䅁睊扂䕁䄰兓時䕁䅫杔呂䙁䄸睕啂䕁䅅䅖時䕁䅷兡浂䝁䅕睘䝂䝁䅫杢桂䝁䄴睙灂䝁䅅䅢穂䍁䅙兖畂䝁䅑党祂䡁䅣杣灂䡁䅑兡畂䝁䅣䅖祂䝁䅕杢歂䕁䅅杢桂䝁䅷入穂䝁䅫督時䡁䅙免畁䡁䅧䅢穂䝁䄰兘䩂䝁䄴督あ䡁䅉兤橂䡁䅑兡療䝁䄴督湁䍁䅅䅊奂䍁䅑睎祁䅁䅁儰䅑䭁䅧䅁湁䙁䅳兔䩂䙁䄸兓佂䙁䅍睘呂䙁䅑兑啂䙁䄸䅔灂䝁䅙党時䕁䅙兡畂䝁䅅杢橂䝁䅫兙獂䡁䅍杊噂䝁䄴䅚求䡁䅉睤祂䝁䅫䅤灂䝁䄴睚啂䡁䅉党畂䝁䅑兑畂䝁䅅䅢㕂䡁䅍兡穂䙁䄸杤硁䍁䄴䅥獂䡁䅍兢摂䕁䅫杢穂䡁䅑杣ㅂ䝁䅍䅤灂䝁䄸杢穂䍁䅣光歁䙁䅯䅊㍁䑁䅑䅁卄䅂䅁䅴䅁䍁䅣睗乂䕁䅫睘䩂䕁䄴睕時䙁䅍䅖䉂䙁䅑睘䵂䝁䅫杚求䙁䄸杒灂䝁䄴兙畂䝁䅍兡桂䝁䅷督流䙁䅕杢歂䝁䅕杣㍂䡁䅉兡あ䝁䅫杢湂䙁䅑杣求䝁䄴䅚䉂䝁䄴兙獂䡁䅫督灂䡁䅍睘㉂䑁䅅杌㑂䝁䅷督瑂䙁䄰兓畂䡁䅙党穂䡁䅑兢求䝁䄴䅤時䕁䅅杢桂䝁䅷入穂䝁䅫督湁䍁䅅䅊䍂䍁䅑李䅁䕁䕷䅁䕄䅁䅁睊扂䕁䄰兓時䕁䅫杔呂䙁䄸睕啂䕁䅅䅖時䕁䅷兡浂䝁䅕睘䝂䝁䅫杢桂䝁䄴睙灂䝁䅅䅢穂䍁䅙兖畂䝁䅑党祂䡁䅣杣灂䡁䅑兡畂䝁䅣䅖祂䝁䅕杢歂䕁䅅杢桂䝁䅷入穂䝁䅫督時䡁䅙免畁䡁䅧䅢穂䝁䄰兘䩂䝁䄴杤求䡁䅍䅤瑂䝁䅕杢あ䙁䄸兑畂䝁䅅䅢㕂䡁䅍兡穂䍁䅣光歁䕁䅍䅊硁䑁䅁杏歁䕁䅍䅊硁䑁䅅睍䅁䕁䔴䅁⭃䅁䅁睊扂䕁䄰兓時䕁䅫杔呂䙁䄸睕啂䕁䅅䅖時䕁䅷兡浂䝁䅕睘䝂䝁䅫杢桂䝁䄴睙灂䝁䅅䅢穂䍁䅙兖畂䝁䅑党祂䡁䅣杣灂䡁䅑兡畂䝁䅣䅖祂䝁䅕杢歂䕁䅅杢桂䝁䅷入穂䝁䅫督時䡁䅙免畁䡁䅧䅢穂䝁䄰兘䩂䝁䄴杤求䡁䅍䅤瑂䝁䅕杢あ䙁䄸兑畂䝁䅅䅢㕂䡁䅍兡穂䍁䅣光歁䕁䅑䅊㉁䑁䅯䅊䥂䍁䅑李䅁䕁䔰䅁⭃䅁䅁睊扂䕁䄰兓時䕁䅫杔呂䙁䄸睕啂䕁䅅䅖時䕁䅷兡浂䝁䅕睘䝂䝁䅫杢桂䝁䄴睙灂䝁䅅䅢穂䍁䅙兖畂䝁䅑党祂䡁䅣杣灂䡁䅑兡畂䝁䅣䅖祂䝁䅕杢歂䕁䅅杢桂䝁䅷入穂䝁䅫督時䡁䅙免畁䡁䅧䅢穂䝁䄰兘䩂䝁䄴杤求䡁䅍䅤瑂䝁䅕杢あ䙁䄸兑畂䝁䅅䅢㕂䡁䅍兡穂䍁䅣光歁䕁䅑䅊㍁䑁䅯䅊䥂䍁䅑睎䅁䕁䔸䅁䍄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䅅兑歁䑁䅅䅍㍁䑁䅕杏歁䕁䅅睓歁䑁䅅䅍㍁䑁䅕䅁橁兂䅁杷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䉂䕁䅅䅊硁䑁䅅兎硁䑁䅯䅊䉂䕁䅳䅊硁䑁䅅兎硁䅁䅁睊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杍㑁䑁䅫杏歁䕁䅅睓歁䑁䅉䅏㕁䅁䅁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李硁䑁䅍杏歁䕁䅅睓歁䑁䅙免穁䅁䅁兂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睎ㅁ䑁䅑杏歁䕁䅅睓歁䑁䅣兎ぁ䅁䅁元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睎ㅁ䑁䅯䅊䉂䕁䅳䅊㍁䑁䅕䅁灄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䉂䕁䅅䅊㑁䑁䅅睎㙁䍁䅑兑䱂䍁䅑䅏硁䑁䅣䅁乁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䉂䕁䅉䅊㍁䑁䅕杏歁䕁䅅䅔歁䑁䅣兎䅁乁䔴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䅅村歁䑁䅣李㙁䍁䅑兑䵂䍁䅑睎㉁䅁䅁朲䅑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䅅䅍㉁䑁䅑䅁ぃ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免硁䑁䅑睍䅁䱁䕫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䅉䅊硁䑁䅅兎㑁䅁䅁杶䅑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䅅免㕁䑁䅅䅁䑄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免穁䑁䅑䅍䅁䵁䕧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䅉䅊硁䑁䅍䅎ㅁ䅁䅁睨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䅉䅎ぁ䅁䅁䅪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䅉兏睁䅁䅁八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䅍䅏㕁䅁䅁杬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䅑免㉁䅁䅁睭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䅑兎ㅁ䅁䅁兦䅑䭁䅧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䅕䅁㕂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兎㉁䑁䅅䅁汃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李硁䑁䅅䅁癃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睎ぁ䑁䅕䅁煃䅂䅁東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睎㉁䅁䅁杧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䅧䅍㍁䅁䅁䅯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䅅䅍㉁䑁䅙杏歁䕁䅍䅊硁䑁䅅杍㑁䅁䅁杴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䅅䅍㙁䍁䅑睑歁䑁䅅睍穁䑁䅣䅁㝂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免睁䑁䅯䅊䑂䍁䅑免穁䑁䅑杍䅁䙁䙧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䅎ㅁ䑁䅯䅊䑂䍁䅑免硁䑁䅑兏䅁䱁䕳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李睁䑁䅯䅊䑂䍁䅑免硁䑁䅧䅏䅁䵁䕁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兏穁䑁䅯䅊䑂䍁䅑免硁䑁䅫睎䅁䵁䕕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杏歁䕁䅍䅊硁䑁䅍䅎硁䅁䅁儷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䅅免㙁䍁䅑睑歁䑁䅅睍ぁ䑁䅉䅁⭂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免穁䑁䅑睍䅁䵁䕯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䅍䅎㑁䅁䅁兩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䅉䅎㉁䑁䅯䅊䑂䍁䅑杍㉁䑁䅧䅁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杍㕁䑁䅉杏歁䕁䅍䅊穁䑁䅣䅎䅁䩁䕍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穁䑁䅫免㙁䍁䅑睑歁䑁䅑䅍硁䅁䅁䅭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䅑免㑁䑁䅯䅊䑂䍁䅑䅎ぁ䑁䅁䅁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䅎ㅁ䑁䅣杏歁䕁䅍䅊ぁ䑁䅙睎䅁䡁䔸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ㅁ䑁䅙睍㙁䍁䅑睑歁䑁䅕䅏ㅁ䅁䅁睰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䅙免穁䑁䅯䅊䑂䍁䅑睎硁䑁䅫䅁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睎ぁ䑁䅣杏歁䕁䅍䅊㍁䑁䅧免䅁䭁䕷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䑁䅧杏歁䕁䅍䅊硁䑁䅁䅍䅁䥁䕑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㑁䑁䅁兏㙁䍁䅑睑歁䑁䅧兎ㅁ䅁䅁杯䅑䱁䅉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䅒歁䑁䅕杏歁䕁䄴䅊ㅁ䅁䅁睖䅕䱁䅉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䅒歁䑁䅙杏歁䕁䄴䅊㉁䅁䅁兗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䅍㉁䑁䅙杏歁䕁䅕䅊硁䑁䅅杍㑁䅁䅁䅵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免ぁ䑁䅕杏歁䕁䅕䅊硁䑁䅅䅎㕁䅁䅁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免㉁䑁䅁杏歁䕁䅕䅊硁䑁䅅䅏㑁䅁䅁杷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免㕁䑁䅍杏歁䕁䅕䅊硁䑁䅅兏㍁䅁䅁睸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䅉䅎㉁䑁䅯䅊䙂䍁䅑杍㉁䑁䅧䅁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䙂䍁䅑杍㕁䑁䅉杏歁䕁䅕䅊穁䑁䅣䅎䅁䩁䕕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穁䑁䅫免㙁䍁䅑兒歁䑁䅑䅍硁䅁䅁杭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䅑免㑁䑁䅯䅊䙂䍁䅑䅎ぁ䑁䅁䅁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䙂䍁䅑䅎ㅁ䑁䅣杏歁䕁䅕䅊ぁ䑁䅙睎䅁䥁䕅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ㅁ䑁䅙睍㙁䍁䅑兒歁䑁䅕䅏ㅁ䅁䅁共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䅙免穁䑁䅯䅊䙂䍁䅑睎硁䑁䅫䅁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䙂䍁䅑睎ぁ䑁䅣杏歁䕁䅕䅊㍁䑁䅧免䅁䭁䔴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䑁䅧杏歁䕁䅕䅊硁䑁䅁䅍䅁䥁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㑁䑁䅁兏㙁䍁䅑兒歁䑁䅧兎ㅁ䅁䅁䅰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䅍㉁䑁䅑杏歁䙁䅁䅊硁䑁䅁李ぁ䅁䅁兴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䅍㉁䑁䅕杏歁䙁䅁䅊硁䑁䅁李ㅁ䅁䅁睴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ぁ䑁䅍杏歁䙁䅁䅊硁䑁䅅䅎穁䅁䅁杵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ぁ䑁䅑杏歁䙁䅁䅊硁䑁䅅䅎ぁ䅁䅁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ㅁ䑁䅧杏歁䙁䅁䅊硁䑁䅅兎㑁䅁䅁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ㅁ䑁䅫杏歁䙁䅁䅊硁䑁䅅兎㕁䅁䅁具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㕁䑁䅅杏歁䙁䅁䅊硁䑁䅅兏硁䅁䅁䅸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㕁䑁䅉杏歁䙁䅁䅊硁䑁䅅兏祁䅁䅁杸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䅁杏歁䙁䅁䅊硁䑁䅍䅎睁䅁䅁兹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䅅杏歁䙁䅁䅊硁䑁䅍䅎硁䅁䅁睹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䅉杏歁䙁䅁䅊硁䑁䅍䅎祁䅁䅁䅺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䅕杏歁䙁䅁䅊硁䑁䅍䅎ㅁ䅁䅁䅩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䅙杏歁䙁䅁䅊硁䑁䅍䅎㉁䅁䅁杩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䅣杏歁䙁䅁䅊硁䑁䅍䅎㍁䅁䅁睩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䅉䅎ぁ䑁䅯䅊兂䍁䅑杍ぁ䑁䅑䅁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杍ぁ䑁䅕杏歁䙁䅁䅊祁䑁䅑兎䅁䥁䔸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祁䑁䅫䅍㙁䍁䅑䅕歁䑁䅉兏睁䅁䅁杫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䅉兏硁䑁䅯䅊兂䍁䅑杍㕁䑁䅅䅁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睍㑁䑁䅫杏歁䙁䅁䅊穁䑁䅧兏䅁䩁䕣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穁䑁䅫䅍㙁䍁䅑䅕歁䑁䅍兏睁䅁䅁六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䅑免㉁䑁䅯䅊兂䍁䅑䅎硁䑁䅙䅁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䅎硁䑁䅣杏歁䙁䅁䅊ぁ䑁䅅睎䅁䩁䔴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ぁ䑁䅕兎㙁䍁䅑䅕歁䑁䅑兎ㅁ䅁䅁杦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䅑兎㉁䑁䅯䅊兂䍁䅑䅎ㅁ䑁䅙䅁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兎㉁䑁䅅杏歁䙁䅁䅊ㅁ䑁䅙免䅁䭁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ㅁ䑁䅙杍㙁䍁䅑䅕歁䑁䅕李祁䅁䅁䅱䅑䱁䅉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䅕杏歁䙁䅁䅊ㅁ䅁䅁来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䅙免硁䑁䅯䅊兂䍁䅑李硁䑁䅅䅁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李硁䑁䅉杏歁䙁䅁䅊㉁䑁䅅杍䅁䱁䕉䅁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䑁䅯䅊兂䍁䅑李䅁䡁䕷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䑁䅑兎㙁䍁䅑䅕歁䑁䅣䅎ㅁ䅁䅁睱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䅣䅎㉁䑁䅯䅊兂䍁䅑睎ぁ䑁䅙䅁瑃䅂䅁杴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睎㉁䑁䅯䅊兂䍁䅑睎㉁䅁䅁睧䅑䱁䅙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䅣睎㙁䍁䅑䅕歁䑁䅣睎䅁䥁䕕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㑁䑁䅁睎㙁䍁䅑䅕歁䑁䅧䅍㍁䅁䅁兯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䅧䅍㑁䑁䅯䅊兂䍁䅑䅏睁䑁䅧䅁橃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免睁䑁䅣䅎䅁偁䙫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䅕䅊硁䑁䅁睎ㅁ䅁䅁杗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䅅免ㅁ䑁䅁䅁ㅄ兂䅁杲䅁䍁䅣睗乂䕁䅫</t>
  </si>
  <si>
    <t>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免硁䑁䅕免䅁䡁䙣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䅕䅊硁䑁䅉睍ㅁ䅁䅁朸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䅅杍穁䑁䅙䅁煁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杍㑁䑁䅫䅁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睍㕁䑁䅍䅁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䅎硁䑁䅫䅁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䅎ㅁ䑁䅧䅁睂兂䅁東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睎ㅁ䅁䅁杘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䅣兎ぁ䅁䅁杙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䅧免㍁䅁䅁督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䅧睎㍁䅁䅁杌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䅍㍁䑁䅙杏歁䙁䅙䅊硁䑁䅅睍㑁䅁䅁眫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䅍㍁䑁䅣杏歁䙁䅙䅊硁䑁䅅睍㕁䅁䅁䅘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免ㅁ䑁䅉杏歁䙁䅙䅊硁䑁䅉䅍硁䅁䅁眹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免ㅁ䑁䅍杏歁䙁䅙䅊硁䑁䅉䅍祁䅁䅁入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杍穁䑁䅧䅁い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免祁䑁䅍兏䅁䍁䙷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祁䑁䅫免㙁䍁䅑杖歁䑁䅍睎㕁䅁䅁䅡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䅍兏穁䅁䅁朷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䅍兏ㅁ䑁䅯䅊坂䍁䅑䅎睁䑁䅕䅁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䅎硁䑁䅫䅁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䅎祁䑁䅅杏歁䙁䅙䅊ぁ䑁䅑䅎䅁䝁䘸䅁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ぁ䑁䅕䅏䅁偁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ぁ䑁䅙䅍㙁䍁䅑杖歁䑁䅑睎睁䅁䅁杣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䅣兎㉁䑁䅯䅊坂䍁䅑睎㉁䑁䅙䅁歂兂䅁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睎㍁䑁䅯䅊坂䍁䅑免睁䑁䅁䅁杂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䅏硁䑁䅫杏歁䙁䅙䅊㑁䑁䅑杍䅁䡁䙕䅁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㑁䑁䅧䅍䅁䑁䙁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硁䑁䅁睎ㅁ䅁䅁杉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䅍㍁䑁䅙杏歁䙁䅣䅊硁䑁䅅睍㑁䅁䅁䄯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䅍㍁䑁䅣杏歁䙁䅣䅊硁䑁䅅睍㕁䅁䅁兘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免ㅁ䑁䅅䅁流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免硁䑁䅕杍㙁䍁䅑睖歁䑁䅅杍睁䑁䅅䅁㑄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免硁䑁䅕睍㙁䍁䅑睖歁䑁䅅杍睁䑁䅉䅁㙂兂䅁䅷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免祁䑁䅍兎㙁䍁䅑兑䡂䍁䅑免祁䑁䅍兎䅁偁䙍䅁䅄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硁䑁䅉睍㉁䑁䅯䅊䉂䕁䅣䅊硁䑁䅉睍㉁䅁䅁睋䅕䵁䅁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杍穁䑁䅣杏歁䕁䅅睒歁䑁䅅杍穁䑁䅣䅁瑁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杍㑁䑁䅫䅁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杍㕁䑁䅅杏歁䙁䅣䅊穁䑁䅣兏䅁䝁䙫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穁䑁䅫兎㙁䍁䅑睖歁䑁䅑䅍ㅁ䅁䅁䄸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䅑杍硁䑁䅯䅊塂䍁䅑䅎ぁ䑁䅑䅁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䅎㉁䑁䅁杏歁䙁䅣䅊ぁ䑁䅣䅍䅁偁䕧䅁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䑁䅅睍䅁䅁䙑䅁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䑁䅕䅁摄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睎ㅁ䑁䅑䅁䥁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睎ㅁ䑁䅙杏歁䙁䅣䅊㍁䑁䅙李䅁䝁䙕䅁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䑁䅙䅁婄䅂䅁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睎㍁䑁䅯䅊塂䍁䅑免睁䑁䅁䅁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䅏硁䑁䅣䅁䵁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䅏硁䑁䅫杏歁䙁䅣䅊㑁䑁䅑杍䅁䡁䙙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㑁䑁䅣睎㙁䍁䅑兑䡂䍁䅑䅏㍁䑁䅣䅁癁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䅏㍁䑁䅧杏歁䕁䅅睒歁䑁䅧睎㑁䅁䅁免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䅅䅍㍁䑁䅣杏歁䙁䅧䅊硁䑁䅅睍㕁䅁䅁䅊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䅅免ㅁ䑁䅍杏歁䙁䅧䅊硁䑁䅉䅍祁䅁䅁䅋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䅉兏硁䑁䅯䅊奂䍁䅑睍㍁䑁䅫䅁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奂䍁䅑睍㕁䑁䅕杏歁䙁䅧䅊ぁ䑁䅁兎䅁偁䕅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䅧䅊ぁ䑁䅉免㙁䍁䅑䅗歁䑁䅑䅎ぁ䅁䅁儹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䅑李睁䑁䅯䅊奂䍁䅑䅎㍁䑁䅁䅁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奂䍁䅑李硁䑁䅕杏歁䙁䅧䅊㍁䑁䅉兏䅁䅁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䅧䅊㍁䑁䅕李㙁䍁䅑䅗歁䑁䅣兏祁䅁䅁权䅕䱁䅧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䅣睎㙁䍁䅑䅗歁䑁䅅䅍睁䅁䅁眳䅑䱁䅙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䅣䅏㙁䍁䅑䅗歁䑁䅧䅏䅁乁䕳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䅧䅊㑁䑁䅅兏㙁䍁䅑䅗歁䑁䅧䅎祁䅁䅁杄䅕䵁䅁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䅅䅍㍁䑁䅑杏歁䕁䅅兓歁䑁䅅䅍㍁䑁䅑䅁㙄兂䅁䅷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免睁䑁䅣兎㙁䍁䅑兑䩂䍁䅑免睁䑁䅣兎䅁䙁䙳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硁䑁䅁睎㍁䑁䅯䅊婂䍁䅑免硁䑁䅍兏䅁䍁䙕䅁䅄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硁䑁䅅兎睁䑁䅯䅊䉂䕁䅫䅊硁䑁䅅兎睁䅁䅁朹䅕䵁䅁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䅅免ㅁ䑁䅅杏歁䕁䅅兓歁䑁䅅免ㅁ䑁䅅䅁㑂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免硁䑁䅕睍㙁䍁䅑兗歁䑁䅅杍睁䑁䅉䅁灁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杍㑁䑁䅫杏歁䕁䅅兓歁䑁䅉䅏㕁䅁䅁睚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䅉兏硁䑁䅯䅊婂䍁䅑睍㍁䑁䅫䅁瑄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睍㕁䑁䅍杏歁䕁䅅兓歁䑁䅍兏穁䅁䅁睡䅕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䅑免㕁䑁䅯䅊䉂䕁䅫䅊ぁ䑁䅅兏䅁䝁䘴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ぁ䑁䅕䅏㙁䍁䅑兑䩂䍁䅑䅎ㅁ䑁䅧䅁硂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李硁䑁䅕杏歁䙁䅫䅊㍁䑁䅉兏䅁䅁䙣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䅕䅎㙁䍁䅑兑䩂䍁䅑睎ㅁ䑁䅑䅁橂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睎ㅁ䑁䅙杏歁䙁䅫䅊㍁䑁䅫杍䅁䅁䙳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䅕杏歁䕁䅅兓歁䑁䅣兎䅁䙁䘸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䅣杏歁䙁䅫䅊硁䑁䅁䅍䅁佁䕁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䅧杏歁䙁䅫䅊㑁䑁䅧䅁捄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䅏硁䑁䅣杏歁䕁䅅兓歁䑁䅧免㍁䅁䅁䅤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䅧免㕁䑁䅯䅊婂䍁䅑䅏ぁ䑁䅉䅁偁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慂䍁䅑睍㕁䑁䅍杏歁䕁䅅杓歁䑁䅍兏穁䅁䅁眷䅑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杗歁䑁䅑免㕁䑁䅯䅊䉂䕁䅯䅊ぁ䑁䅅兏䅁偁䕍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䅯䅊ぁ䑁䅕䅏㙁䍁䅑兑䭂䍁䅑䅎ㅁ䑁䅧䅁㍄䅂䅁䅰䅁䍁䅣睗乂䕁䅫睘䩂䕁䄴睕時䙁䅍䅖䉂䙁䅑睘䵂䝁䅫杚求䙁䄸杒灂䝁䄴兙畂䝁䅍兡桂䝁䅷督流䙁䅕杢歂䝁䅕杣㍂䡁䅉兡あ䝁䅫杢湂䙁䅑杣求䝁䄴䅚䉂䝁䄴兙獂䡁䅫督灂䡁䅍睘㉂䑁䅅杌㑂䝁䅷督瑂䙁䄰杕求䝁䅫杢穂䡁䅕杣桂䝁䄴睙求䍁䅣光歁䕁䅉䅊㉁䅁䅁兤䅑䱁䅉䅁湁䙁䅳兔䩂䙁䄸兓佂䙁䅍睘呂䙁䅑兑啂䙁䄸䅔灂䝁䅙党時䕁䅙兡畂䝁䅅杢橂䝁䅫兙獂䡁䅍杊噂䝁䄴䅚求䡁䅉睤祂䝁䅫䅤灂䝁䄴睚啂䡁䅉党畂䝁䅑兑畂䝁䅅䅢㕂䡁䅍兡穂䙁䄸杤硁䍁䄴䅥獂䡁䅍兢摂䙁䅉党灂䝁䄴督ㅂ䡁䅉兙畂䝁䅍党湁䍁䅅䅊䑂䍁䅑免睁䑁䅯䅊䑂䍁䅑李㉁䅁䅁睤䅑䭁䄴䅁湁䙁䅳兔䩂䙁䄸兓佂䙁䅍睘呂䙁䅑兑啂䙁䄸䅔灂䝁䅙党時䕁䅙兡畂䝁䅅杢橂䝁䅫兙獂䡁䅍杊噂䝁䄴䅚求䡁䅉睤祂䝁䅫䅤灂䝁䄴睚啂䡁䅉党畂䝁䅑兑畂䝁䅅䅢㕂䡁䅍兡穂䙁䄸杤硁䍁䄴䅥獂䡁䅍兢摂䙁䅉党灂䝁䄴督ㅂ䡁䅉兙畂䝁䅍党湁䍁䅅䅊䕂䍁䅑李㙁䍁䅑䅓歁䑁䅙䅁㉂䅂䅁杲䅁䍁䅣睗乂䕁䅫睘䩂䕁䄴睕時䙁䅍䅖䉂䙁䅑睘䵂䝁䅫杚求䙁䄸杒灂䝁䄴兙畂䝁䅍兡桂䝁䅷督流䙁䅕杢歂䝁䅕杣㍂䡁䅉兡あ䝁䅫杢湂䙁䅑杣求䝁䄴䅚䉂䝁䄴兙獂䡁䅫督灂䡁䅍睘㉂䑁䅅杌㑂䝁䅷督瑂䙁䄰杕求䝁䅫杢穂䡁䅕杣桂䝁䄴睙求䍁䅣光歁䕁䅑䅊㍁䑁䅯䅊䥂䍁䅑睎䅁䡁䕧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硁䑁䅁兏䅁䙁䕧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硁䑁䅉䅎䅁䙁䔰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硁䑁䅕睎䅁䝁䕣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祁䑁䅁䅎䅁䕁䘴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祁䑁䅅杍䅁䝁䕷䅁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穁䑁䅁䅁楂䅂䅁杲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䍂䍁䅑李䅁䙁䕑䅁⭃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硁䑁䅁杏歁䕁䅍䅊祁䑁䅁免䅁䕁䙷䅁⭃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硁䑁䅁杏歁䕁䅍䅊祁䑁䅁兏䅁䙁䕙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硁䑁䅅免㙁䍁䅑睑歁䑁䅅免ㅁ䅁䅁杗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睑歁䑁䅅杍㉁䑁䅯䅊䑂䍁䅑免ㅁ䑁䅑䅁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䑂䍁䅑免ㅁ䑁䅫杏歁䕁䅍䅊硁䑁䅙睍䅁䝁䕫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祁䑁䅁睎䅁䙁䙁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祁䑁䅅兎䅁䝁䔴䅁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穁䑁䅉杏歁䕁䅍䅊㕁䑁䅑䅁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䕂䍁䅑杍睁䑁䅑杏歁䕁䅧䅊祁䑁䅁䅎䅁䕁䘸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䅑䅊祁䑁䅁兎㙁䍁䅑䅓歁䑁䅉䅍ㅁ䅁䅁兕䅕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䅒歁䑁䅉䅍㉁䑁䅯䅊䥂䍁䅑杍睁䑁䅙䅁卂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䕂䍁䅑李㙁䍁䅑䅓歁䑁䅙䅁䱂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䕂䍁䅑睎㙁䍁䅑䅓歁䑁䅣䅁乂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䙂䍁䅑免硁䑁䅅杏歁䕁䅕䅊硁䑁䅅兎䅁䙁䕷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䅕䅊硁䑁䅉李㙁䍁䅑兒歁䑁䅅兎ぁ䅁䅁兙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兒歁䑁䅅兎㕁䑁䅯䅊䙂䍁䅑免㉁䑁䅍䅁牂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䙂䍁䅑睍祁䑁䅯䅊䙂䍁䅑兏ぁ䅁䅁杚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䅅䅍㕁䑁䅯䅊䭂䍁䅑免睁䑁䅫䅁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免硁䑁䅁杏歁䕁䅯䅊硁䑁䅅䅍䅁䙁䕳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硁䑁䅉䅎㙁䍁䅑杓歁䑁䅅杍ぁ䅁䅁杘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䅅杍ㅁ䑁䅯䅊䭂䍁䅑免祁䑁䅕䅁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免ㅁ䑁䅣杏歁䕁䅯䅊硁䑁䅕睎䅁䝁䕧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硁䑁䅕䅏㙁䍁䅑杓歁䑁䅅兎㑁䅁䅁条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䅉免祁䑁䅯䅊䭂䍁䅑杍硁䑁䅉䅁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杍硁䑁䅍杏歁䕁䅯䅊祁䑁䅅睍䅁䝁䔸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祁䑁䅅䅎㙁䍁䅑杓歁䑁䅉免ぁ䅁䅁䅣䅑䱁䅷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䅍䅍㙁䍁䅑杓歁䑁䅍䅍䅁䝁䕍䅁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穁䑁䅅杏歁䕁䅯䅊穁䑁䅅䅁求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李㙁䍁䅑杓歁䑁䅙䅁噂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睎㙁䍁䅑杓歁䑁䅣䅁塂䅂䅁杳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佂䍁䅑杍睁䑁䅑䅁呂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偂䍁䅑䅏㙁䍁䅑睔歁䑁䅙䅏睁䅁䅁兖䅕䭁䄴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䅕歁䑁䅙䅁允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兂䍁䅑䅏㙁䍁䅑䅕歁䑁䅙䅏睁䅁䅁杖䅕䱁䅷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兕歁䑁䅧杏歁䙁䅅䅊㉁䑁䅣䅏䅁䉁䙉䅁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䙁䅅䅊㑁䑁䅯䅊剂䍁䅑李㑁䑁䅁䅁噁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卂䍁䅑䅏㙁䍁䅑杕歁䑁䅙睎㑁䅁䅁睅䅕䱁䅷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杕歁䑁䅧杏歁䙁䅉䅊㉁䑁䅧䅍䅁䉁䙙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䙁䅍䅊祁䑁䅁䅎䅁䙁䙑䅁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䙁䅕䅊㉁䅁䅁充䅕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䅉䅊硁䑁䅉兎䅁䑁䕧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䍂䍁䅑杍ㅁ䑁䅫䅁䡂䅂䅁䅶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村歁䑁䅍杍硁䅁䅁児䅑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䅉䅊穁䑁䅫䅏䅁䕁䕉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䍂䍁䅑䅎睁䑁䅧䅁䍂兂䅁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村歁䑁䅙䅁癁䅂䅁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村歁䑁䅣兎䅁䑁䕍䅁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免睁䑁䅯䅊䑂䍁䅑睍㕁䑁䅕䅁硁䅂䅁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睑歁䑁䅅䅍㙁䍁䅑睑歁䑁䅑䅍ぁ䅁䅁䄷䅕䵁䅧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䅍䅊硁䑁䅁杏歁䕁䅍䅊ぁ䑁䅁兎䅁䕁䙁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免祁䑁䅣杏歁䕁䅍䅊祁䑁䅍睍䅁䑁䕯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杍㉁䑁䅅杏歁䕁䅍䅊祁䑁䅫兎䅁䕁䕫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睍祁䑁䅍杏歁䕁䅍䅊穁䑁䅙兏䅁䑁䔸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䅎睁䑁䅅䅁䕂䅂䅁䅶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睑歁䑁䅑免硁䅁䅁䅒䅕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䅍䅊㍁䑁䅣杏歁䕁䅍䅊㕁䑁䅫䅁ㅁ䅂䅁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䅑䅍㑁䑁䅯䅊䥂䍁䅑䅎睁䑁䅧䅁䑂兂䅁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䅑䅍㕁䑁䅯䅊䥂䍁䅑䅎睁䑁䅫䅁䙂兂䅁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䅑免睁䑁䅯䅊䥂䍁䅑䅎硁䑁䅁䅁䝂兂䅁杷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䅙杏歁䕁䅧䅊㉁䅁䅁睐䅕䵁䅉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䅑䅊㍁䑁䅯䅊䥂䍁䅑睎䅁䕁䙅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免祁䑁䅣杏歁䕁䅕䅊祁䑁䅍睍䅁䑁䕷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杍㉁䑁䅅杏歁䕁䅕䅊祁䑁䅫兎䅁䕁䕳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睍祁䑁䅍杏歁䕁䅕䅊穁䑁䅙兏䅁䕁䕅䅁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睎㍁䑁䅯䅊䙂䍁䅑兏㕁䅁䅁睎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硁䑁䅉兎㙁䍁䅑杓歁䑁䅅杍ㅁ䅁䅁兏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硁䑁䅉李㙁䍁䅑杓歁䑁䅅杍㉁䅁䅁睏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祁䑁䅕兏㙁䍁䅑杓歁䑁䅉兎㕁䅁䅁䅓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祁䑁䅙䅍㙁䍁䅑杓歁䑁䅉李睁䅁䅁杓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䅉免㙁䍁䅑杓歁䑁䅍杍硁䅁䅁材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䅉杍㙁䍁䅑杓歁䑁䅍杍祁䅁䅁䅑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䅫䅏㙁䍁䅑杓歁䑁䅍兏㑁䅁䅁睑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䅫兏㙁䍁䅑杓歁䑁䅍兏㕁䅁䅁兒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ぁ䑁䅁䅍㙁䍁䅑杓歁䑁䅑䅍睁䅁䅁杒䅑䵁䅉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䑁䅯䅊䭂䍁䅑李䅁䑁䕁䅁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䝂䍁䅑睎ㅁ䑁䅯䅊䭂䍁䅑睎ㅁ䅁䅁䅎䅑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䑁䅙杏歁䕁䅯䅊㍁䑁䅙䅁㉁䅂䅁杷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杒歁䑁䅣杏歁䕁䅯䅊㍁䅁䅁杍䅑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䄴䅊ぁ䑁䅁睎䅁佁䘴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佂䍁䅑䅎睁䑁䅧䅁䡂兂䅁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杔歁䑁䅙䅁⭄䅂䅁䅺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睔歁䑁䅑䅍㕁䑁䅯䅊偂䍁䅑免睁䑁䅣兏䅁偁䙁䅁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偂䍁䅑䅎硁䑁䅁杏歁䕁䄸䅊硁䑁䅁䅏睁䅁䅁兓䅕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䄸䅊㑁䑁䅯䅊偂䍁䅑李㍁䑁䅧䅁䍁兂䅁杸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睔歁䑁䅧杏歁䕁䄸䅊㍁䑁䅑免䅁䅁䙁䅁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兂䍁䅑䅎睁䑁䅫杏歁䙁䅁䅊硁䑁䅁睎㕁䅁䅁儸䅕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䅁䅊ぁ䑁䅅䅍㙁䍁䅑䅕歁䑁䅅䅍㑁䑁䅁䅁䭂兂䅁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䅕歁䑁䅙䅁㙄䅂䅁杸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䅕歁䑁䅧杏歁䙁䅁䅊㉁䑁䅣䅏䅁䅁䙍䅁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兂䍁䅑䅏㙁䍁䅑䅕歁䑁䅣䅎硁䅁䅁允䅕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䅅䅊㑁䑁䅯䅊剂䍁䅑睎ぁ䑁䅅䅁㡄䅂䅁杸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杕歁䑁䅧杏歁䙁䅉䅊㍁䑁䅑免䅁偁䔰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呂䍁䅑䅎睁䑁䅣䅁癄兂䅁䅶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睕歁䑁䅑䅍㑁䅁䅁䅓䅕䱁䅧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䅍䅊㉁䅁䅁眯䅑䱁䅧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䅕䅊㉁䅁䅁眫䅑䵁䅁䅁湁䙁䅳兔䩂䙁䄸兓佂䙁䅍睘呂䙁䅑兑啂䙁䄸䅔灂䝁䅙党時䕁䅙兡畂䝁䅅杢橂䝁䅫兙獂䡁䅍杊噂䝁䄴䅚求䡁䅉睤祂䝁䅫䅤灂䝁䄴睚時䙁䅑杣求䝁䄴䅚䉂䝁䄴兙獂䡁䅫督灂䡁䅍睘㉂䑁䅅䅉瑁䍁䅁睑療䡁䅁入畁䡁䅧䅢穂䝁䄰兘䩂䝁䄴睙療䝁䄰党時䙁䅍䅤桂䡁䅑党瑂䝁䅕杢あ䍁䅣光歁䕁䅉䅊穁䑁䅫䅁瑄睁䅁䅺䅁䍁䅣睗乂䕁䅫睘䩂䕁䄴睕時䙁䅍䅖䉂䙁䅑睘䵂䝁䅫杚求䙁䄸杒灂䝁䄴兙畂䝁䅍兡桂䝁䅷督流䙁䅕杢歂䝁䅕杣㍂䡁䅉兡あ䝁䅫杢湂䙁䄸䅖祂䝁䅕杢歂䕁䅅杢桂䝁䅷入穂䝁䅫督時䡁䅙免杁䍁䄰䅉䑂䝁䄸䅣㕂䍁䄴䅥獂䡁䅍兢摂䕁䅫杢橂䝁䄸兢求䙁䄸睕あ䝁䅅䅤求䝁䄰党畂䡁䅑睊桁䍁䅑睑歁䑁䅑免㙁䍁䅑睑歁䑁䅙睍䅁佁䐸䅁䵄䅁䅁睊扂䕁䄰兓時䕁䅫杔呂䙁䄸睕啂䕁䅅䅖時䕁䅷兡浂䝁䅕睘䝂䝁䅫杢桂䝁䄴睙灂䝁䅅䅢穂䍁䅙兖畂䝁䅑党祂䡁䅣杣灂䡁䅑兡畂䝁䅣睘啂䡁䅉党畂䝁䅑兑畂䝁䅅䅢㕂䡁䅍兡穂䙁䄸杤硁䍁䅁兌杁䕁䅍睢睂䡁䅫杌㑂䝁䅷督瑂䙁䄰兓畂䝁䅍睢瑂䝁䅕睘呂䡁䅑兙あ䝁䅕兢求䝁䄴䅤湁䍁䅅䅊䙂䍁䅑䅎硁䑁䅯䅊䙂䍁䅑李穁䅁䅁儸䅍䵁䅷䅁湁䙁䅳兔䩂䙁䄸兓佂䙁䅍睘呂䙁䅑兑啂䙁䄸䅔灂䝁䅙党時䕁䅙兡畂䝁䅅杢橂䝁䅫兙獂䡁䅍杊噂䝁䄴䅚求䡁䅉睤祂䝁䅫䅤灂䝁䄴睚時䙁䅑杣求䝁䄴䅚䉂䝁䄴兙獂䡁䅫督灂䡁䅍睘㉂䑁䅅䅉瑁䍁䅁睑療䡁䅁入畁䡁䅧䅢穂䝁䄰兘䩂䝁䄴睙療䝁䄰党時䙁䅍䅤桂䡁䅑党瑂䝁䅕杢あ䍁䅣光歁䕁䅙䅊穁䑁䅫杏歁䕁䅯䅊穁䑁䅫䅁畄睁䅁䅺䅁䍁䅣睗乂䕁䅫睘䩂䕁䄴睕時䙁䅍䅖䉂䙁䅑睘䵂䝁䅫杚求䙁䄸杒灂䝁䄴兙畂䝁䅍兡桂䝁䅷督流䙁䅕杢歂䝁䅕杣㍂䡁䅉兡あ䝁䅫杢湂䙁䄸䅖祂䝁䅕杢歂䕁䅅杢桂䝁䅷入穂䝁䅫督時䡁䅙免杁䍁䄰䅉䑂䝁䄸䅣㕂䍁䄴䅥獂䡁䅍兢摂䕁䅫杢橂䝁䄸兢求䙁䄸睕あ䝁䅅䅤求䝁䄰党畂䡁䅑睊桁䍁䅑杒歁䑁䅑䅍㙁䍁䅑杓歁䑁䅑䅍䅁偁䑁䅁煃䅁䅁睊扂䕁䄰兓時䕁䅫杔呂䙁䄸睕啂䕁䅅䅖時䕁䅷兡浂䝁䅕睘䝂䝁䅫杢桂䝁䄴睙灂䝁䅅䅢穂䍁䅙兖畂䝁䅑党祂䡁䅣杣灂䡁䅑兡畂䝁䅣睘啂䡁䅉党畂䝁䅑兑畂䝁䅅䅢㕂䡁䅍兡穂䙁䄸杤硁䍁䄴䅥獂䡁䅍兢摂䕁䅉兙獂䝁䅅杢橂䝁䅕睘呂䝁䅧党求䡁䅑睊桁䍁䅑村歁䑁䅙䅁佁睁䅁䅵䅁䍁䅣睗乂䕁䅫睘䩂䕁䄴睕時䙁䅍䅖䉂䙁䅑睘䵂䝁䅫杚求䙁䄸杒灂䝁䄴兙畂䝁䅍兡桂䝁䅷督流䙁䅕杢歂䝁䅕杣㍂䡁䅉兡あ䝁䅫杢湂䙁䄸䅖祂䝁䅕杢歂䕁䅅杢桂䝁䅷入穂䝁䅫督時䡁䅙免畁䡁䅧䅢穂䝁䄰兘䍂䝁䅅䅢桂䝁䄴睙求䙁䄸睕潂䝁䅕党あ䍁䅣光歁䕁䅍䅊硁䑁䅁杏歁䕁䅍䅊㍁䑁䅁䅁䍁䅂䅁䅵䅁䍁䅣睗乂䕁䅫睘䩂䕁䄴睕時䙁䅍䅖䉂䙁䅑睘䵂䝁䅫杚求䙁䄸杒灂䝁䄴兙畂䝁䅍兡桂䝁䅷督流䙁䅕杢歂䝁䅕杣㍂䡁䅉兡あ䝁䅫杢湂䙁䄸䅖祂䝁䅕杢歂䕁䅅杢桂䝁䅷入穂䝁䅫督時䡁䅙免畁䡁䅧䅢穂䝁䄰兘䍂䝁䅅䅢桂䝁䄴睙求䙁䄸睕潂䝁䅕党あ䍁䅣光歁䕁䅍䅊硁䑁䅁杏歁䕁䅍䅊㍁䑁䅅䅁允睁䅁䅴䅁䍁䅣睗乂䕁䅫睘䩂䕁䄴睕時䙁䅍䅖䉂䙁䅑睘䵂䝁䅫杚求䙁䄸杒灂䝁䄴兙畂䝁䅍兡桂䝁䅷督流䙁䅕杢歂䝁䅕杣㍂䡁䅉兡あ䝁䅫杢湂䙁䄸䅖祂䝁䅕杢歂䕁䅅杢桂䝁䅷入穂䝁䅫督時䡁䅙免畁䡁䅧䅢穂䝁䄰兘䍂䝁䅅䅢桂䝁䄴睙求䙁䄸睕潂䝁䅕党あ䍁䅣光歁䕁䅑䅊㉁䑁䅯䅊䥂䍁䅑李䅁䅁䐸䅁ぃ䅁䅁睊扂䕁䄰兓時䕁䅫杔呂䙁䄸睕啂䕁䅅䅖時䕁䅷兡浂䝁䅕睘䝂䝁䅫杢桂䝁䄴睙灂䝁䅅䅢穂䍁䅙兖畂䝁䅑党祂䡁䅣杣灂䡁䅑兡畂䝁䅣睘啂䡁䅉党畂䝁䅑兑畂䝁䅅䅢㕂䡁䅍兡穂䙁䄸杤硁䍁䄴䅥獂䡁䅍兢摂䕁䅉兙獂䝁䅅杢橂䝁䅕睘呂䝁䅧党求䡁䅑睊桁䍁䅑䅒歁䑁䅣杏歁䕁䅧䅊㍁䅁䅁充䅍䱁䅁䅁湁䙁䅳兔䩂䙁䄸兓佂䙁䅍睘呂䙁䅑兑啂䙁䄸䅔灂䝁䅙党時䕁䅙兡畂䝁䅅杢橂䝁䅫兙獂䡁䅍杊噂䝁䄴䅚求䡁䅉睤祂䝁䅫䅤灂䝁䄴睚時䙁䅑杣求䝁䄴䅚䉂䝁䄴兙獂䡁䅫督灂䡁䅍睘㉂䑁䅅杌㑂䝁䅷督瑂䙁䄰睑桂䡁䅁兡あ䝁䅅䅢時䕁䅅䅚求䡁䅅兤桂䝁䅍入湁䍁䅅䅊䍂䍁䅑李䅁䙁䑁䅁⭃䅁䅁睊扂䕁䄰兓時䕁䅫杔呂䙁䄸睕啂䕁䅅䅖時䕁䅷兡浂䝁䅕睘䝂䝁䅫杢桂䝁䄴睙灂䝁䅅䅢穂䍁䅙兖畂䝁䅑党祂䡁䅣杣灂䡁䅑兡畂䝁䅣睘啂䡁䅉党畂䝁䅑兑畂䝁䅅䅢㕂䡁䅍兡穂䙁䄸杤硁䍁䄴䅥獂䡁䅍兢摂䕁䅍兙睂䝁䅫䅤桂䝁䅷睘䉂䝁䅑党硂䡁䅕兙橂䡁䅫睊桁䍁䅑睑歁䑁䅅䅍㙁䍁䅑睑歁䑁䅙李䅁䙁䑉䅁㙃䅁䅁睊扂䕁䄰兓時䕁䅫杔呂䙁䄸睕啂䕁䅅䅖時䕁䅷兡浂䝁䅕睘䝂䝁䅫杢桂䝁䄴睙灂䝁䅅䅢穂䍁䅙兖畂䝁䅑党祂䡁䅣杣灂䡁䅑兡畂䝁䅣睘啂䡁䅉党畂䝁䅑兑畂䝁䅅䅢㕂䡁䅍兡穂䙁䄸杤硁䍁䄴䅥獂䡁䅍兢摂䕁䅍兙睂䝁䅫䅤桂䝁䅷睘䉂䝁䅑党硂䡁䅕兙橂䡁䅫睊桁䍁䅑䅒歁䑁䅙杏歁䕁䅧䅊㉁䅁䅁兕䅍䱁䅯䅁湁䙁䅳兔䩂䙁䄸兓佂䙁䅍睘呂䙁䅑兑啂䙁䄸䅔灂䝁䅙党時䕁䅙兡畂䝁䅅杢橂䝁䅫兙獂䡁䅍杊噂䝁䄴䅚求䡁䅉睤祂䝁䅫䅤灂䝁䄴睚時䙁䅑杣求䝁䄴䅚䉂䝁䄴兙獂䡁䅫督灂䡁䅍睘㉂䑁䅅杌㑂䝁䅷督瑂䙁䄰睑桂䡁䅁兡あ䝁䅅䅢時䕁䅅䅚求䡁䅅兤桂䝁䅍入湁䍁䅅䅊䕂䍁䅑睎㙁䍁䅑䅓歁䑁䅣䅁呂睁䅁東䅁䍁䅣睗乂䕁䅫睘䩂䕁䄴睕時䙁䅍䅖䉂䙁䅑睘䵂䝁䅫杚求䙁䄸杒灂䝁䄴兙畂䝁䅍兡桂䝁䅷督流䙁䅕杢歂䝁䅕杣㍂䡁䅉兡あ䝁䅫杢湂䙁䄸䅖祂䝁䅕杢歂䕁䅅杢桂䝁䅷入穂䝁䅫督時䡁䅙免畁䡁䅧䅢穂䝁䄰兘䑂䝁䄸兢睂䝁䅅杢㕂䙁䄸䅔灂䡁䅍䅤湁䍁䅅䅊䍂䍁䅑免穁䅁䅁兺䅍䱁䅙䅁湁䙁䅳兔䩂䙁䄸兓佂䙁䅍睘呂䙁䅑兑啂䙁䄸䅔灂䝁䅙党時䕁䅙兡畂䝁䅅杢橂䝁䅫兙獂䡁䅍杊噂䝁䄴䅚求䡁䅉睤祂䝁䅫䅤灂䝁䄴睚時䙁䅑杣求䝁䄴䅚䉂䝁䄴兙獂䡁䅫督灂䡁䅍睘㉂䑁䅅杌㑂䝁䅷督瑂䙁䄰睑療䝁䄰䅣桂䝁䄴入時䕁䅷兡穂䡁䅑睊桁䍁䅑䅒歁䑁䅅兎㙁䍁䅑兓歁䑁䅅兎䅁䵁䐴䅁㑃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䍂䍁䅑李䅁䅁䑑䅁㙃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䍂䍁䅑睎㉁䅁䅁元䅍䵁䅧䅁湁䙁䅳兔䩂䙁䄸兓佂䙁䅍睘呂䙁䅑兑啂䙁䄸䅔灂䝁䅙党時䕁䅙兡畂䝁䅅杢橂䝁䅫兙獂䡁䅍杊噂䝁䄴䅚求䡁䅉睤祂䝁䅫䅤灂䝁䄴睚時䙁䅑杣求䝁䄴䅚䉂䝁䄴兙獂䡁䅫督灂䡁䅍睘㉂䑁䅅杌㑂䝁䅷督瑂䙁䄰杒灂䝁䄴兙畂䝁䅍兡桂䝁䅷睘䥂䝁䅫睚潂䝁䅷兡湂䝁䅧䅤穂䍁䅣光歁䕁䅍䅊硁䑁䅁杏歁䕁䅍䅊硁䑁䅕睍䅁䅁䑙䅁䥄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䑂䍁䅑睎㑁䑁䅯䅊䑂䍁䅑免睁䑁䅁䅁䱁睁䅁䅹䅁䍁䅣睗乂䕁䅫睘䩂䕁䄴睕時䙁䅍䅖䉂䙁䅑睘䵂䝁䅫杚求䙁䄸杒灂䝁䄴兙畂䝁䅍兡桂䝁䅷督流䙁䅕杢歂䝁䅕杣㍂䡁䅉兡あ䝁䅫杢湂䙁䄸䅖祂䝁䅕杢歂䕁䅅杢桂䝁䅷入穂䝁䅫督時䡁䅙免畁䡁䅧䅢穂䝁䄰兘䝂䝁䅫杢桂䝁䄴睙灂䝁䅅䅢時䕁䅧兡湂䝁䅧䅢灂䝁䅣䅡あ䡁䅍睊桁䍁䅑兒歁䑁䅅䅍㙁䍁䅑兒歁䑁䅅兎穁䅁䅁䅃䅍䵁䅧䅁湁䙁䅳兔䩂䙁䄸兓佂䙁䅍睘呂䙁䅑兑啂䙁䄸䅔灂䝁䅙党時䕁䅙兡畂䝁䅅杢橂䝁䅫兙獂䡁䅍杊噂䝁䄴䅚求䡁䅉睤祂䝁䅫䅤灂䝁䄴睚時䙁䅑杣求䝁䄴䅚䉂䝁䄴兙獂䡁䅫督灂䡁䅍睘㉂䑁䅅杌㑂䝁䅷督瑂䙁䄰杒灂䝁䄴兙畂䝁䅍兡桂䝁䅷睘䥂䝁䅫睚潂䝁䅷兡湂䝁䅧䅤穂䍁䅣光歁䕁䅕䅊㍁䑁䅧杏歁䕁䅕䅊硁䑁䅁䅍䅁䅁䐰䅁䍄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䝂䍁䅑李㙁䍁䅑杓歁䑁䅙䅁䙁睁䅁杸䅁䍁䅣睗乂䕁䅫睘䩂䕁䄴睕時䙁䅍䅖䉂䙁䅑睘䵂䝁䅫杚求䙁䄸杒灂䝁䄴兙畂䝁䅍兡桂䝁䅷督流䙁䅕杢歂䝁䅕杣㍂䡁䅉兡あ䝁䅫杢湂䙁䄸䅖祂䝁䅕杢歂䕁䅅杢桂䝁䅷入穂䝁䅫督時䡁䅙免畁䡁䅧䅢穂䝁䄰兘䝂䝁䅫杢桂䝁䄴睙灂䝁䅅䅢時䕁䅧兡湂䝁䅧䅢灂䝁䅣䅡あ䡁䅍睊桁䍁䅑杒歁䑁䅣李㙁䍁䅑杓歁䑁䅣李䅁䅁䑯䅁䝄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䝂䍁䅑睎㍁䑁䅯䅊䭂䍁䅑睎㍁䅁䅁䅄䅍䵁䅉䅁湁䙁䅳兔䩂䙁䄸兓佂䙁䅍睘呂䙁䅑兑啂䙁䄸䅔灂䝁䅙党時䕁䅙兡畂䝁䅅杢橂䝁䅫兙獂䡁䅍杊噂䝁䄴䅚求䡁䅉睤祂䝁䅫䅤灂䝁䄴睚時䙁䅑杣求䝁䄴䅚䉂䝁䄴兙獂䡁䅫督灂䡁䅍睘㉂䑁䅅杌㑂䝁䅷督瑂䙁䄰杒灂䝁䄴兙畂䝁䅍兡桂䝁䅷睘䥂䝁䅫睚潂䝁䅷兡湂䝁䅧䅤穂䍁䅣光歁䕁䅙䅊㍁䑁䅯䅊䭂䍁䅑睎䅁䅁䑣䅁祃䅁䅁睊扂䕁䄰兓時䕁䅫杔呂䙁䄸睕啂䕁䅅䅖時䕁䅷兡浂䝁䅕睘䝂䝁䅫杢桂䝁䄴睙灂䝁䅅䅢穂䍁䅙兖畂䝁䅑党祂䡁䅣杣灂䡁䅑兡畂䝁䅣睘啂䡁䅉党畂䝁䅑兑畂䝁䅅䅢㕂䡁䅍兡穂䙁䄸杤硁䍁䄴䅥獂䡁䅍兢摂䕁䅫杢時䕁䅙睢祂䝁䅍党時䝁䅅杢歂䙁䄸睕灂䡁䅯党湁䍁䅅䅊䍂䍁䅑李䅁䡁䑅䅁䅄䅁䅁睊扂䕁䄰兓時䕁䅫杔呂䙁䄸睕啂䕁䅅䅖時䕁䅷兡浂䝁䅕睘䝂䝁䅫杢桂䝁䄴睙灂䝁䅅䅢穂䍁䅙兖畂䝁䅑党祂䡁䅣杣灂䡁䅑兡畂䝁䅣睘啂䡁䅉党畂䝁䅑兑畂䝁䅅䅢㕂䡁䅍兡穂䙁䄸杤硁䍁䄴䅥獂䡁䅍兢摂䕁䅫杢時䕁䅙睢祂䝁䅍党時䝁䅅杢歂䙁䄸睕灂䡁䅯党湁䍁䅅䅊䑂䍁䅑免睁䑁䅯䅊䑂䍁䅑䅎㉁䅁䅁督䅍䱁䅷䅁湁䙁䅳兔䩂䙁䄸兓佂䙁䅍睘呂䙁䅑兑啂䙁䄸䅔灂䝁䅙党時䕁䅙兡畂䝁䅅杢橂䝁䅫兙獂䡁䅍杊噂䝁䄴䅚求䡁䅉睤祂䝁䅫䅤灂䝁䄴睚時䙁䅑杣求䝁䄴䅚䉂䝁䄴兙獂䡁䅫督灂䡁䅍睘㉂䑁䅅杌㑂䝁䅷督瑂䙁䄰兓畂䙁䄸杒療䡁䅉睙求䙁䄸兙畂䝁䅑睘呂䝁䅫来求䍁䅣光歁䕁䅑䅊㉁䑁䅯䅊䥂䍁䅑李䅁䡁䑉䅁㡃䅁䅁睊扂䕁䄰兓時䕁䅫杔呂䙁䄸睕啂䕁䅅䅖時䕁䅷兡浂䝁䅕睘䝂䝁䅫杢桂䝁䄴睙灂䝁䅅䅢穂䍁䅙兖畂䝁䅑党祂䡁䅣杣灂䡁䅑兡畂䝁䅣睘啂䡁䅉党畂䝁䅑兑畂䝁䅅䅢㕂䡁䅍兡穂䙁䄸杤硁䍁䄴䅥獂䡁䅍兢摂䕁䅫杢時䕁䅙睢祂䝁䅍党時䝁䅅杢歂䙁䄸睕灂䡁䅯党湁䍁䅅䅊䕂䍁䅑睎㙁䍁䅑䅓歁䑁䅣䅁あ睁䅁䅴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䅉䅊硁䑁䅧䅎䅁䍁䑕䅁ぃ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村歁䑁䅉免硁䅁䅁杋䅍䱁䅑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䍂䍁䅑杍ㅁ䑁䅁䅁扁睁䅁杳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䅉䅊穁䑁䅫䅁坁睁䅁䅳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䅉䅊㉁䅁䅁杅䅍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䍂䍁䅑䅏ㅁ䅁䅁䅉䅍䵁䅁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䑂䍁䅑免睁䑁䅯䅊䑂䍁䅑杍㕁䑁䅁䅁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䅍䅊硁䑁䅧李㙁䍁䅑睑歁䑁䅅兏㉁䅁䅁睊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䑂䍁䅑杍硁䑁䅍杏歁䕁䅍䅊祁䑁䅍兎䅁䍁䑷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睑歁䑁䅉兎祁䑁䅯䅊䑂䍁䅑杍㉁䑁䅉䅁摁睁䅁杶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䅍䅊ぁ䑁䅅杏歁䕁䅍䅊㉁䑁䅍䅁奁睁䅁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䅍䅊㑁䑁䅣杏歁䕁䅍䅊硁䑁䅙兏䅁䍁䑉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兒歁䑁䅅䅏㉁䑁䅯䅊䙂䍁䅑免㕁䑁䅙䅁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䅕䅊祁䑁䅅睍㙁䍁䅑兒歁䑁䅉睍ㅁ䅁䅁杌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䙂䍁䅑杍ㅁ䑁䅉杏歁䕁䅕䅊祁䑁䅙杍䅁䉁䐸䅁⭃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兒歁䑁䅑免㙁䍁䅑兒歁䑁䅙睍䅁䉁䑯䅁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兒歁䑁䅧睎㙁䍁䅑兒歁䑁䅅李㕁䅁䅁䅊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免㑁䑁䅑杏歁䕁䅯䅊硁䑁䅧䅎䅁䍁䑙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䅅䅏ㅁ䑁䅯䅊䭂䍁䅑免㑁䑁䅕䅁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䅙䅊祁䑁䅅免㙁䍁䅑杓歁䑁䅉免硁䅁䅁睋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杍硁䑁䅉杏歁䕁䅯䅊祁䑁䅅杍䅁䍁䐰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䅉兎睁䑁䅯䅊䭂䍁䅑杍ㅁ䑁䅁䅁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䅙䅊祁䑁䅕免㙁䍁䅑杓歁䑁䅉兎硁䅁䅁杈䅍䱁䄴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睍㕁䑁䅯䅊䭂䍁䅑睍㕁䅁䅁睆䅍䱁䄴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䅎睁䑁䅯䅊䭂䍁䅑䅎睁䅁䅁兇䅍䱁䅯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李㙁䍁䅑杓歁䑁䅙䅁呁睁䅁杵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䅙䅊㍁䑁䅯䅊䭂䍁䅑睎䅁䉁䑕䅁⭃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䅧兎㙁䍁䅑杓歁䑁䅧兎䅁䍁䑅䅁⭃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䅧李㙁</t>
  </si>
  <si>
    <t>允䅁䝁䝉䅁佁䅁䅁睉䙂䙁䅉杕偂䙁䅉䅁䝁䅁䅁䅰䅁䍁䅣睗䑂䝁䄸䅣㕂䍁䅁睢浂䍁䅁兔䩂䙁䄸兓佂䙁䅍睘呂䙁䅑兑啂䙁䄸䅔灂䝁䅙党時䕁䅙兡畂䝁䅅杢橂䝁䅫兙獂䡁䅍睘㉂䑁䅅睘䝂䝁䅕党求䝁䅑杙桂䝁䅍睡杁䍁䅧䅍睁䑁䅍克畁䡁䅧䅢穂䝁䄰兘䍂䝁䅅䅢桂䝁䄴睙求䙁䄸睕潂䝁䅕党あ䍁䅣光歁䕁䅉䅊㉁䅁䅁䅏䅉䱁䅉䅁湁䙁䅳睑療䡁䅁入杁䝁䄸杚杁䕁䄰兓時䕁䅫杔呂䙁䄸睕啂䕁䅅䅖時䕁䅷兡浂䝁䅕睘䝂䝁䅫杢桂䝁䄴睙灂䝁䅅䅢穂䙁䄸杤硁䙁䄸杒求䝁䅕党歂䝁䅉兙橂䝁䅳䅉潁䑁䅁䅍穁䍁䅫杌㑂䝁䅷督瑂䙁䄰村桂䝁䅷兙畂䝁䅍党時䙁䅍䅡求䝁䅕䅤湁䍁䅅䅊䑂䍁䅑免睁䑁䅯䅊䑂䍁䅑睎硁䅁䅁杏䅉䭁䄴䅁湁䙁䅳睑療䡁䅁入杁䝁䄸杚杁䕁䄰兓時䕁䅫杔呂䙁䄸睕啂䕁䅅䅖時䕁䅷兡浂䝁䅕睘䝂䝁䅫杢桂䝁䄴睙灂䝁䅅䅢穂䙁䄸杤硁䙁䄸杒求䝁䅕党歂䝁䅉兙橂䝁䅳䅉潁䑁䅁䅍穁䍁䅫杌㑂䝁䅷督瑂䙁䄰村桂䝁䅷兙畂䝁䅍党時䙁䅍䅡求䝁䅕䅤湁䍁䅅䅊䕂䍁䅑李㙁䍁䅑䅓歁䑁䅙䅁㕁杁䅁杲䅁䍁䅣睗䑂䝁䄸䅣㕂䍁䅁睢浂䍁䅁兔䩂䙁䄸兓佂䙁䅍睘呂䙁䅑兑啂䙁䄸䅔灂䝁䅙党時䕁䅙兡畂䝁䅅杢橂䝁䅫兙獂䡁䅍睘㉂䑁䅅睘䝂䝁䅕党求䝁䅑杙桂䝁䅍睡杁䍁䅧䅍睁䑁䅍克畁䡁䅧䅢穂䝁䄰兘䍂䝁䅅䅢桂䝁䄴睙求䙁䄸睕潂䝁䅕党あ䍁䅣光歁䕁䅑䅊㍁䑁䅯䅊䥂䍁䅑睎䅁䑁䍳䅁煃䅁䅁睊扂䕁䅍睢睂䡁䅫䅉療䝁䅙䅉乂䕁䅫睘䩂䕁䄴睕時䙁䅍䅖䉂䙁䅑睘䵂䝁䅫杚求䙁䄸杒灂䝁䄴兙畂䝁䅍兡桂䝁䅷督時䡁䅙免時䕁䅙党求䝁䅕䅚楂䝁䅅睙牂䍁䅁䅋睁䑁䅁睍灁䍁䄴䅥獂䡁䅍兢摂䕁䅍兙睂䝁䅫䅤桂䝁䅷睘䉂䝁䅑党硂䡁䅕兙橂䡁䅫睊桁䍁䅑村歁䑁䅙䅁摄杁䅁䅵䅁䍁䅣睗䑂䝁䄸䅣㕂䍁䅁睢浂䍁䅁兔䩂䙁䄸兓佂䙁䅍睘呂䙁䅑兑啂䙁䄸䅔灂䝁䅙党時䕁䅙兡畂䝁䅅杢橂䝁䅫兙獂䡁䅍睘㉂䑁䅅睘䝂䝁䅕党求䝁䅑杙桂䝁䅍睡杁䍁䅧䅍睁䑁䅍克畁䡁䅧䅢穂䝁䄰兘䑂䝁䅅䅣灂䡁䅑兙獂䙁䄸兑歂䝁䅕兣ㅂ䝁䅅睙㕂䍁䅣光歁䕁䅍䅊硁䑁䅁杏歁䕁䅍䅊㉁䑁䅙䅁晄杁䅁䅴䅁䍁䅣睗䑂䝁䄸䅣㕂䍁䅁睢浂䍁䅁兔䩂䙁䄸兓佂䙁䅍睘呂䙁䅑兑啂䙁䄸䅔灂䝁䅙党時䕁䅙兡畂䝁䅅杢橂䝁䅫兙獂䡁䅍睘㉂䑁䅅睘䝂䝁䅕党求䝁䅑杙桂䝁䅍睡杁䍁䅧䅍睁䑁䅍克畁䡁䅧䅢穂䝁䄰兘䑂䝁䅅䅣灂䡁䅑兙獂䙁䄸兑歂䝁䅕兣ㅂ䝁䅅睙㕂䍁䅣光歁䕁䅑䅊㉁䑁䅯䅊䥂䍁䅑李䅁乁䌴䅁ぃ䅁䅁睊扂䕁䅍睢睂䡁䅫䅉療䝁䅙䅉乂䕁䅫睘䩂䕁䄴睕時䙁䅍䅖䉂䙁䅑睘䵂䝁䅫杚求䙁䄸杒灂䝁䄴兙畂䝁䅍兡桂䝁䅷督時䡁䅙免時䕁䅙党求䝁䅕䅚楂䝁䅅睙牂䍁䅁䅋睁䑁䅁睍灁䍁䄴䅥獂䡁䅍兢摂䕁䅍兙睂䝁䅫䅤桂䝁䅷睘䉂䝁䅑党硂䡁䅕兙橂䡁䅫睊桁䍁䅑䅒歁䑁䅣杏歁䕁䅧䅊㍁䅁䅁䄴䅉䱁䅉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䅉䅊㉁䅁䅁杌䅉䱁䅑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䅉䅊㍁䑁䅙䅁穁杁䅁杷䅁䍁䅣睗䑂䝁䄸䅣㕂䍁䅁睢浂䍁䅁兔䩂䙁䄸兓佂䙁䅍睘呂䙁䅑兑啂䙁䄸䅔灂䝁䅙党時䕁䅙兡畂䝁䅅杢橂䝁䅫兙獂䡁䅍睘㉂䑁䅅睘䝂䝁䅕党求䝁䅑杙桂䝁䅍睡杁䍁䅧䅍睁䑁䅍克畁䡁䅧䅢穂䝁䄰兘䝂䝁䅫杢桂䝁䄴睙灂䝁䅅䅢時䕁䅧兡湂䝁䅧䅢灂䝁䅣䅡あ䡁䅍睊桁䍁䅑睑歁䑁䅅䅍㙁䍁䅑睑歁䑁䅅兎穁䅁䅁䅍䅉䵁䅉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䅍䅊㍁䑁䅧杏歁䕁䅍䅊硁䑁䅁䅍䅁䑁䍕䅁䍄䅁䅁睊扂䕁䅍睢睂䡁䅫䅉療䝁䅙䅉乂䕁䅫睘䩂䕁䄴睕時䙁䅍䅖䉂䙁䅑睘䵂䝁䅫杚求䙁䄸杒灂䝁䄴兙畂䝁䅍兡桂䝁䅷督時䡁䅙免時䕁䅙党求䝁䅕䅚楂䝁䅅睙牂䍁䅁䅋睁䑁䅁睍灁䍁䄴䅥獂䡁䅍兢摂䕁䅙兡畂䝁䅅杢橂䝁䅫兙獂䙁䄸䅓灂䝁䅣䅡獂䝁䅫睚潂䡁䅑督湁䍁䅅䅊䙂䍁䅑免睁䑁䅯䅊䙂䍁䅑免ㅁ䑁䅍䅁祁杁䅁杷䅁䍁䅣睗䑂䝁䄸䅣㕂䍁䅁睢浂䍁䅁兔䩂䙁䄸兓佂䙁䅍睘呂䙁䅑兑啂䙁䄸䅔灂䝁䅙党時䕁䅙兡畂䝁䅅杢橂䝁䅫兙獂䡁䅍睘㉂䑁䅅睘䝂䝁䅕党求䝁䅑杙桂䝁䅍睡杁䍁䅧䅍睁䑁䅍克畁䡁䅧䅢穂䝁䄰兘䝂䝁䅫杢桂䝁䄴睙灂䝁䅅䅢時䕁䅧兡湂䝁䅧䅢灂䝁䅣䅡あ䡁䅍睊桁䍁䅑兒歁䑁䅣䅏㙁䍁䅑兒歁䑁䅅䅍睁䅁䅁睎䅉䱁䅷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䅙䅊㉁䑁䅯䅊䭂䍁䅑李䅁䍁䌸䅁䅄䅁䅁睊扂䕁䅍睢睂䡁䅫䅉療䝁䅙䅉乂䕁䅫睘䩂䕁䄴睕時䙁䅍䅖䉂䙁䅑睘䵂䝁䅫杚求䙁䄸杒灂䝁䄴兙畂䝁䅍兡桂䝁䅷督時䡁䅙免時䕁䅙党求䝁䅕䅚楂䝁䅅睙牂䍁䅁䅋睁䑁䅁睍灁䍁䄴䅥獂䡁䅍兢摂䕁䅙兡畂䝁䅅杢橂䝁䅫兙獂䙁䄸䅓灂䝁䅣䅡獂䝁䅫睚潂䡁䅑督湁䍁䅅䅊䝂䍁䅑睎㉁䑁䅯䅊䭂䍁䅑睎㉁䅁䅁䅎䅉䵁䅁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䅙䅊㍁䑁䅣杏歁䕁䅯䅊㍁䑁䅣䅁㉁杁䅁䅶䅁䍁䅣睗䑂䝁䄸䅣㕂䍁䅁睢浂䍁䅁兔䩂䙁䄸兓佂䙁䅍睘呂䙁䅑兑啂䙁䄸䅔灂䝁䅙党時䕁䅙兡畂䝁䅅杢橂䝁䅫兙獂䡁䅍睘㉂䑁䅅睘䝂䝁䅕党求䝁䅑杙桂䝁䅍睡杁䍁䅧䅍睁䑁䅍克畁䡁䅧䅢穂䝁䄰兘䝂䝁䅫杢桂䝁䄴睙灂䝁䅅䅢時䕁䅧兡湂䝁䅧䅢灂䝁䅣䅡あ䡁䅍睊桁䍁䅑杒歁䑁䅣杏歁䕁䅯䅊㍁䅁䅁免䅉䭁䅷䅁湁䙁䅳睑療䡁䅁入杁䝁䄸杚杁䕁䄰兓時䕁䅫杔呂䙁䄸睕啂䕁䅅䅖時䕁䅷兡浂䝁䅕睘䝂䝁䅫杢桂䝁䄴睙灂䝁䅅䅢穂䙁䄸杤硁䙁䄸杒求䝁䅕党歂䝁䅉兙橂䝁䅳䅉潁䑁䅁䅍穁䍁䅫杌㑂䝁䅷督瑂䙁䄰兓畂䙁䄸杒療䡁䅉睙求䙁䄸兙畂䝁䅑睘呂䝁䅫来求䍁䅣光歁䕁䅉䅊㉁䅁䅁睡䅉䱁䅯䅁湁䙁䅳睑療䡁䅁入杁䝁䄸杚杁䕁䄰兓時䕁䅫杔呂䙁䄸睕啂䕁䅅䅖時䕁䅷兡浂䝁䅕睘䝂䝁䅫杢桂䝁䄴睙灂䝁䅅䅢穂䙁䄸杤硁䙁䄸杒求䝁䅕党歂䝁䅉兙橂䝁䅳䅉潁䑁䅁䅍穁䍁䅫杌㑂䝁䅷督瑂䙁䄰兓畂䙁䄸杒療䡁䅉睙求䙁䄸兙畂䝁䅑睘呂䝁䅫来求䍁䅣光歁䕁䅍䅊硁䑁䅁杏歁䕁䅍䅊ぁ䑁䅙䅁瑂杁䅁杴䅁䍁䅣睗䑂䝁䄸䅣㕂䍁䅁睢浂䍁䅁兔䩂䙁䄸兓佂䙁䅍睘呂䙁䅑兑啂䙁䄸䅔灂䝁䅙党時䕁䅙兡畂䝁䅅杢橂䝁䅫兙獂䡁䅍睘㉂䑁䅅睘䝂䝁䅕党求䝁䅑杙桂䝁䅍睡杁䍁䅧䅍睁䑁䅍克畁䡁䅧䅢穂䝁䄰兘䩂䝁䄴睘䝂䝁䄸杣橂䝁䅕睘桂䝁䄴䅚時䙁䅍兡㙂䝁䅕睊桁䍁䅑䅒歁䑁䅙杏歁䕁䅧䅊㉁䅁䅁䅢䅉䱁䅙䅁湁䙁䅳睑療䡁䅁入杁䝁䄸杚杁䕁䄰兓時䕁䅫杔呂䙁䄸睕啂䕁䅅䅖時䕁䅷兡浂䝁䅕睘䝂䝁䅫杢桂䝁䄴睙灂䝁䅅䅢穂䙁䄸杤硁䙁䄸杒求䝁䅕党歂䝁䅉兙橂䝁䅳䅉潁䑁䅁䅍穁䍁䅫杌㑂䝁䅷督瑂䙁䄰兓畂䙁䄸杒療䡁䅉睙求䙁䄸兙畂䝁䅑睘呂䝁䅫来求䍁䅣光歁䕁䅑䅊㍁䑁䅯䅊䥂䍁䅑睎䅁䝁䌴䅁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村歁䑁䅅䅏ぁ䅁䅁兓䅉䭁䄴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䍂䍁䅑杍硁䑁䅅䅁呂杁䅁杲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䅉䅊祁䑁䅕䅍䅁䙁䍧䅁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村歁䑁䅍兏䅁䕁䍑䅁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村歁䑁䅙䅁䅂杁䅁䅲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䅉䅊㑁䑁䅕䅁佂杁䅁杵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䅍䅊硁䑁䅁杏歁䕁䅍䅊祁䑁䅫䅍䅁䕁䍉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睑歁䑁䅅䅏㉁䑁䅯䅊䑂䍁䅑免㕁䑁䅙䅁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䅍䅊祁䑁䅅睍㙁䍁䅑睑歁䑁䅉睍ㅁ䅁䅁兖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䑂䍁䅑杍ㅁ䑁䅉杏歁䕁䅍䅊祁䑁䅙杍䅁䙁䍯䅁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睑歁䑁䅑免㙁䍁䅑睑歁䑁䅙睍䅁䕁䍙䅁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睑歁䑁䅧睎㙁䍁䅑睑歁䑁䅅李㕁䅁䅁䅕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䙂䍁䅑免㑁䑁䅙杏歁䕁䅕䅊硁䑁䅫李䅁䕁䌰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兒歁䑁䅉免穁䑁䅯䅊䙂䍁䅑杍穁䑁䅕䅁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䅕䅊祁䑁䅕杍㙁䍁䅑兒歁䑁䅉李祁䅁䅁䅘䅉䱁䅧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䙂䍁䅑䅎硁䑁䅯䅊䙂䍁䅑李穁䅁䅁䅓䅉䱁䅯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䙂䍁䅑䅏㍁䑁䅯䅊䙂䍁䅑免㉁䑁䅫䅁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硁䑁䅧䅎㙁䍁䅑杓歁䑁䅅䅏ぁ䅁䅁杓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免㑁䑁䅕杏歁䕁䅯䅊硁䑁䅧兎䅁䕁䍷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杒歁䑁䅉免硁䑁䅯䅊䭂䍁䅑杍硁䑁䅅䅁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祁䑁䅅杍㙁䍁䅑杓歁䑁䅉免祁䅁䅁杖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杍ㅁ䑁䅁杏歁䕁䅯䅊祁䑁䅕䅍䅁䙁䍫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杒歁䑁䅉兎硁䑁䅯䅊䭂䍁䅑杍ㅁ䑁䅅䅁扂杁䅁䅵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穁䑁䅫杏歁䕁䅯䅊穁䑁䅫䅁䙂杁䅁䅵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ぁ䑁䅁杏歁䕁䅯䅊ぁ䑁䅁䅁䡂杁䅁䅴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䑁䅯䅊䭂䍁䅑李䅁䕁䍅䅁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杒歁䑁䅣杏歁䕁䅯䅊㍁䅁䅁睑䅉䱁䅧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䅏ㅁ䑁䅯䅊䭂䍁䅑䅏ㅁ䅁䅁睔䅉䱁䅧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䅏㉁䑁䅯䅊䭂䍁䅑䅏㉁䅁䅁兕䅉䭁䅙䅁湁䙁䅳睑療䡁䅁入杁䝁䄸杚杁䕁䄰兓時䕁䅫杔呂䙁䄸睕啂䕁䅅䅖時䕁䅷兡浂䝁䅕睘䝂䝁䅫杢桂䝁䄴睙灂䝁䅅䅢穂䙁䄸杤硁䙁䄸杒求䝁䅕党歂䝁䅉兙橂䝁䅳䅉潁䑁䅁䅍穁䍁䅫杌㑂䝁䅷督瑂䙁䄰兓畂䡁䅍䅤祂䡁䅕睙あ䝁䅫睢畂䡁䅍睊桁䍁䅑兑䉂䍁䅑睎ぁ䅁䅁朲䅅䭁䅑䅁湁䙁䅳睑療䡁䅁入杁䝁䄸杚杁䕁䄰兓時䕁䅫杔呂䙁䄸睕啂䕁䅅䅖時䕁䅷兡浂䝁䅕睘䝂䝁䅫杢桂䝁䄴睙灂䝁䅅䅢穂䙁䄸杤硁䙁䄸杒求䝁䅕党歂䝁䅉兙橂䝁䅳䅉潁䑁䅁䅍穁䍁䅫杌㑂䝁䅷督瑂䙁䄰兓畂䡁䅍䅤祂䡁䅕睙あ䝁䅫睢畂䡁䅍睊桁䍁䅑䅗歁䑁䅙李䅁乁䉕䅁歃䅁䅁睊扂䕁䅍睢睂䡁䅫䅉療䝁䅙䅉乂䕁䅫睘䩂䕁䄴睕時䙁䅍䅖䉂䙁䅑睘䵂䝁䅫杚求䙁䄸杒灂䝁䄴兙畂䝁䅍兡桂䝁䅷督時䡁䅙免時䕁䅙党求䝁䅕䅚楂䝁䅅睙牂䍁䅁䅋睁䑁䅁睍灁䍁䄴䅥獂䡁䅍兢摂䕁䅫杢穂䡁䅑杣ㅂ䝁䅍䅤灂䝁䄸杢穂䍁䅣光歁䙁䅧䅊㉁䑁䅫䅁坄允䅁杳䅁䍁䅣睗䑂䝁䄸䅣㕂䍁䅁睢浂䍁䅁兔䩂䙁䄸兓佂䙁䅍睘呂䙁䅑兑啂䙁䄸䅔灂䝁䅙党時䕁䅙兡畂䝁䅅杢橂䝁䅫兙獂䡁䅍睘㉂䑁䅅睘䝂䝁䅕党求䝁䅑杙桂䝁䅍睡杁䍁䅧䅍睁䑁䅍克畁䡁䅧䅢穂䝁䄰兘䩂䝁䄴督あ䡁䅉兤橂䡁䅑兡療䝁䄴督湁䍁䅅䅊婂䍁䅑李㉁䑁䅯䅊䉂䕁䅉䅊㉁䑁䅙䅁塄允䅁杳䅁䍁䅣睗䑂䝁䄸䅣㕂䍁䅁睢浂䍁䅁兔䩂䙁䄸兓佂䙁䅍睘呂䙁䅑兑啂䙁䄸䅔灂䝁䅙党時䕁䅙兡畂䝁䅅杢橂䝁䅫兙獂䡁䅍睘㉂䑁䅅睘䝂䝁䅕党求䝁䅑杙桂䝁䅍睡杁䍁䅧䅍睁䑁䅍克畁䡁䅧䅢穂䝁䄰兘䩂䝁䄴督あ䡁䅉兤橂䡁䅑兡療䝁䄴督湁䍁䅅䅊婂䍁䅑李㍁䑁䅯䅊䉂䕁䅉䅊㉁䑁䅣䅁奄允䅁䅰䅁䍁䅣睗䑂䝁䄸䅣㕂䍁䅁睢浂䍁䅁兔䩂䙁䄸兓佂䙁䅍睘呂䙁䅑兑啂䙁䄸䅔灂䝁䅙党時䕁䅙兡畂䝁䅅杢橂䝁䅫兙獂䡁䅍睘㉂䑁䅅睘䝂䝁䅕党求䝁䅑杙桂䝁䅍睡杁䍁䅧䅍睁䑁䅍克畁䡁䅧䅢穂䝁䄰兘䩂䝁䄴督あ䡁䅉兤橂䡁䅑兡療䝁䄴督湁䍁䅅䅊婂䍁䅑睎祁䅁䅁儲䅅䱁䅁䅁湁䙁䅳睑療䡁䅁入杁䝁䄸杚杁䕁䄰兓時䕁䅫杔呂䙁䄸睕啂䕁䅅䅖時䕁䅷兡浂䝁䅕睘䝂䝁䅫杢桂䝁䄴睙灂䝁䅅䅢穂䙁䄸杤硁䙁䄸杒求䝁䅕党歂䝁䅉兙橂䝁䅳䅉潁䑁䅁䅍穁䍁䅫杌㑂䝁䅷督瑂䙁䄰兓畂䡁䅙党穂䡁䅑兢求䝁䄴䅤時䕁䅅杢桂䝁䅷入穂䝁䅫督湁䍁䅅䅊䍂䍁䅑李䅁乁䍫䅁䅄䅁䅁睊扂䕁䅍睢睂䡁䅫䅉療䝁䅙䅉乂䕁䅫睘䩂䕁䄴睕時䙁䅍䅖䉂䙁䅑睘䵂䝁䅫杚求䙁䄸杒灂䝁䄴兙畂䝁䅍兡桂䝁䅷督時䡁䅙免時䕁䅙党求䝁䅕䅚楂䝁䅅睙牂䍁䅁䅋睁䑁䅁睍灁䍁䄴䅥獂䡁䅍兢摂䕁䅫杢㉂䝁䅕督あ䝁䄰党畂䡁䅑睘䉂䝁䄴兙獂䡁䅫督灂䡁䅍睊桁䍁䅑睑歁䑁䅅䅍㙁䍁䅑睑歁䑁䅅䅍㑁䅁䅁眲䅉䱁䅯䅁湁䙁䅳睑療䡁䅁入杁䝁䄸杚杁䕁䄰兓時䕁䅫杔呂䙁䄸睕啂䕁䅅䅖時䕁䅷兡浂䝁䅕睘䝂䝁䅫杢桂䝁䄴睙灂䝁䅅䅢穂䙁䄸杤硁䙁䄸杒求䝁䅕党歂䝁䅉兙橂䝁䅳䅉潁䑁䅁䅍穁䍁䅫杌㑂䝁䅷督瑂䙁䄰兓畂䡁䅙党穂䡁䅑兢求䝁䄴䅤時䕁䅅杢桂䝁䅷入穂䝁䅫督湁䍁䅅䅊䕂䍁䅑李㙁䍁䅑䅓歁䑁䅙䅁慄杁䅁杵䅁䍁䅣睗䑂䝁䄸䅣㕂䍁䅁睢浂䍁䅁兔䩂䙁䄸兓佂䙁䅍睘呂䙁䅑兑啂䙁䄸䅔灂䝁䅙党時䕁䅙兡畂䝁䅅杢橂䝁䅫兙獂䡁䅍睘㉂䑁䅅睘䝂䝁䅕党求䝁䅑杙桂䝁䅍睡杁䍁䅧䅍睁䑁䅍克畁䡁䅧䅢穂䝁䄰兘䩂䝁䄴杤求䡁䅍䅤瑂䝁䅕杢あ䙁䄸兑畂䝁䅅䅢㕂䡁䅍兡穂䍁䅣光歁䕁䅑䅊㍁䑁䅯䅊䥂䍁䅑睎䅁乁䍷䅁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䅅䅍㉁䑁䅑䅁㉃杁䅁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硁䑁䅅䅎穁䅁䅁睵䅉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免硁䑁䅕䅏䅁䵁䍁䅁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䅅免㕁䑁䅅䅁䙄杁䅁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硁䑁䅍䅎睁䅁䅁䅲䅉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免穁䑁䅑兎䅁偁䍫䅁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䅉䅎ぁ䅁䅁杪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杍㕁䑁䅁䅁䩃杁䅁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穁䑁䅧兏䅁䩁䍍䅁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䅑免㉁䅁䅁䅭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䅎ㅁ䑁䅕䅁摃杁䅁䅰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ㅁ䅁䅁睥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兎㉁䑁䅅䅁楃杁䅁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䑁䅅免䅁䥁䍑䅁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䅣䅎ㅁ䅁䅁睦䅉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睎㉁䅁䅁关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䅏睁䑁䅣䅁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硁䑁䅁李㉁䑁䅯䅊䑂䍁䅑免硁䑁䅉䅏䅁䱁䍧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䅅䅍㙁䍁䅑睑歁䑁䅅睍穁䑁䅣䅁㥂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硁䑁䅅䅎ㅁ䑁䅯䅊䑂䍁䅑免硁䑁䅑兏䅁䱁䌰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䅅免㉁䑁䅁杏歁䕁䅍䅊硁䑁䅅䅏㑁䅁䅁杷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免硁䑁䅫睍㙁䍁䅑睑歁䑁䅅免㕁䑁䅣䅁䡄杁䅁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硁䑁䅍䅎穁䅁䅁杲䅉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免穁䑁䅑䅏䅁偁䍳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䅉䅎㉁䑁䅯䅊䑂䍁䅑杍㉁䑁䅧䅁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祁䑁䅫杍㙁䍁䅑睑歁䑁䅍睎ぁ䅁䅁睩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睍㕁䑁䅅杏歁䕁䅍䅊ぁ䑁䅁免䅁䩁䍕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䅑免㑁䑁䅯䅊䑂䍁䅑䅎ぁ䑁䅁䅁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ぁ䑁䅕睎㙁䍁䅑睑歁䑁䅑李㍁䅁䅁睮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兎㉁䑁䅍杏歁䕁䅍䅊ㅁ䑁䅧兎䅁䭁䍑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䅙免穁䑁䅯䅊䑂䍁䅑睎硁䑁䅫䅁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䑁䅑睎㙁䍁䅑睑歁䑁䅣䅏硁䅁䅁內䅉䱁䅑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睎㑁䑁䅯䅊䑂䍁䅑免睁䑁䅁䅁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㑁䑁䅁兏㙁䍁䅑睑歁䑁䅧兎ㅁ䅁䅁共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免睁䑁䅙李㙁䍁䅑兒歁䑁䅅免祁䑁䅧䅁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硁䑁䅅䅎ㅁ䑁䅯䅊䙂䍁䅑免硁䑁䅑兏䅁䱁䌸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䅅免㉁䑁䅁杏歁䕁䅕䅊硁䑁䅅䅏㑁䅁䅁䅸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免硁䑁䅫睍㙁䍁䅑兒歁䑁䅅免㕁䑁䅣䅁䩄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祁䑁䅑李㙁䍁䅑兒歁䑁䅉李㑁䅁䅁杫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杍㕁䑁䅉杏歁䕁䅕䅊穁䑁䅣䅎䅁䥁䌰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䅍兏硁䑁䅯䅊䙂䍁䅑䅎睁䑁䅅䅁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ぁ䑁䅅䅏㙁䍁䅑兒歁䑁䅑䅎睁䅁䅁䅮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䅎ㅁ䑁䅣杏歁䕁䅕䅊ぁ䑁䅙睎䅁䭁䍅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䅕李穁䑁䅯䅊䙂䍁䅑兎㑁䑁䅕䅁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䑁䅅睍㙁䍁䅑兒歁䑁䅣免㕁䅁䅁䅩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睎ぁ䑁䅣杏歁䕁䅕䅊㍁䑁䅧免䅁䥁䍍䅁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䅣䅏㙁䍁䅑兒歁䑁䅅䅍睁䅁䅁兴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䅏睁䑁䅫杏歁䕁䅕䅊㑁䑁䅕兎䅁䭁䍳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䅍㉁䑁䅑杏歁䙁䅁䅊硁䑁䅁李ぁ䅁䅁睴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睁䑁䅙兎㙁䍁䅑䅕歁䑁䅅䅍㉁䑁䅕䅁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䅅䅎穁䑁䅯䅊兂䍁䅑免硁䑁䅑睍䅁䱁䍷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免ぁ䑁䅑杏歁䙁䅁䅊硁䑁䅅䅎ぁ䅁䅁杶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硁䑁䅕䅏㙁䍁䅑䅕歁䑁䅅免ㅁ䑁䅧䅁䉄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䅅兎㕁䑁䅯䅊兂䍁䅑免硁䑁䅕兏䅁䵁䍍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免㕁䑁䅅杏歁䙁䅁䅊硁䑁䅅兏硁䅁䅁杸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硁䑁䅫杍㙁䍁䅑䅕歁䑁䅅免㕁䑁䅉䅁䥄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䅍䅎睁䑁䅯䅊兂䍁䅑免穁䑁䅑䅍䅁䭁䌰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睍ぁ䑁䅅杏歁䙁䅁䅊硁䑁䅍䅎硁䅁䅁睲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穁䑁䅑杍㙁䍁䅑䅕歁䑁䅅睍ぁ䑁䅉䅁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䅍䅎ㅁ䑁䅯䅊兂䍁䅑免穁䑁䅑兎䅁偁䍯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睍ぁ䑁䅙杏歁䙁䅁䅊硁䑁䅍䅎㉁䅁䅁䄯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穁䑁䅑睎㙁䍁䅑䅕歁䑁䅅睍ぁ䑁䅣䅁㥄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祁䑁䅑䅎㙁䍁䅑䅕歁䑁䅉䅎ぁ䅁䅁睪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杍ぁ䑁䅕杏歁䙁䅁䅊祁䑁䅑兎䅁䩁䍅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䅉兏睁䑁䅯䅊兂䍁䅑杍㕁䑁䅁䅁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祁䑁䅫免㙁䍁䅑䅕歁䑁䅉兏硁䅁䅁䅪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睍㑁䑁䅫杏歁䙁䅁䅊穁䑁䅧兏䅁䩁䍑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䅍兏睁䑁䅯䅊兂䍁䅑睍㕁䑁䅁䅁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ぁ䑁䅅李㙁䍁䅑䅕歁䑁䅑免㉁䅁䅁六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䅎硁䑁䅣杏歁䙁䅁䅊ぁ䑁䅅睎䅁䩁䍳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䅑兎ㅁ䑁䅯䅊兂䍁䅑䅎ㅁ䑁䅕䅁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ぁ䑁䅕李㙁䍁䅑䅕歁䑁䅑兎㉁䅁䅁䅯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兎㉁䑁䅅杏歁䙁䅁䅊ㅁ䑁䅙免䅁䭁䍍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䅕李祁䑁䅯䅊兂䍁䅑兎㉁䑁䅉䅁汃杁䅁杲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ㅁ䑁䅯䅊兂䍁䅑兎䅁䡁䍷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䅙免硁䑁䅯䅊兂䍁䅑李硁䑁䅅䅁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䑁䅅杍㙁䍁䅑䅕歁䑁䅙免祁䅁䅁睨䅉䭁䄴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李㙁䍁䅑䅕歁䑁䅙䅁⭂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䑁䅑兎㙁䍁䅑䅕歁䑁䅣䅎ㅁ䅁䅁䅧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睎ぁ䑁䅙杏歁䙁䅁䅊㍁䑁䅑李䅁䥁䍉䅁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䅣李㙁䍁䅑䅕歁䑁䅣李䅁䱁䍉䅁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䅣睎㙁䍁䅑䅕歁䑁䅣睎䅁䱁䍑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䅧䅍㍁䑁䅯䅊兂䍁䅑䅏睁䑁䅣䅁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㑁䑁䅁䅏㙁䍁䅑䅕歁䑁䅧䅍㑁䅁䅁東䅉䭁䅁䅁湁䙁䅳睑療䡁䅁入杁䝁䄸杚杁䕁䄰兓時䕁䅫杔呂䙁䄸睕啂䕁䅅䅖時䕁䅷兡浂䝁䅕睘䝂䝁䅫杢桂䝁䄴睙灂䝁䅅䅢穂䙁䄸杤硁䙁䄸杒求䝁䅕党歂䝁䅉兙橂䝁䅳䅉潁䑁䅁䅍穁䍁䅫杌㑂䝁䅷督瑂䙁䄰杕求䝁䅫杢穂䡁䅕杣桂䝁䄴睙求䍁䅣光歁䕁䅉䅊㉁䅁䅁督䅉䭁䄴䅁湁䙁䅳睑療䡁䅁入杁䝁䄸杚杁䕁䄰兓時䕁䅫杔呂䙁䄸睕啂䕁䅅䅖時䕁䅷兡浂䝁䅕睘䝂䝁䅫杢桂䝁䄴睙灂䝁䅅䅢穂䙁䄸杤硁䙁䄸杒求䝁䅕党歂䝁䅉兙橂䝁䅳䅉潁䑁䅁䅍穁䍁䅫杌㑂䝁䅷督瑂䙁䄰杕求䝁䅫杢穂䡁䅕杣桂䝁䄴睙求䍁䅣光歁䕁䅍䅊硁䑁䅁杏歁䕁䅍䅊㉁䑁䅙䅁ㅂ杁䅁東䅁䍁䅣睗䑂䝁䄸䅣㕂䍁䅁睢浂䍁䅁兔䩂䙁䄸兓佂䙁䅍睘呂䙁䅑兑啂䙁䄸䅔灂䝁䅙党時䕁䅙兡畂䝁䅅杢橂䝁䅫兙獂䡁䅍睘㉂䑁䅅睘䝂䝁䅕党求䝁䅑杙桂䝁䅍睡杁䍁䅧䅍睁䑁䅍克畁䡁䅧䅢穂䝁䄰兘卂䝁䅕兡畂䡁䅍兤祂䝁䅅杢橂䝁䅕睊桁䍁䅑䅒歁䑁䅙杏歁䕁䅧䅊㉁䅁䅁䅤䅉䭁䅯䅁湁䙁䅳睑療䡁䅁入杁䝁䄸杚杁䕁䄰兓時䕁䅫杔呂䙁䄸睕啂䕁䅅䅖時䕁䅷兡浂䝁䅕睘䝂䝁䅫杢桂䝁䄴睙灂䝁䅅䅢穂䙁䄸杤硁䙁䄸杒求䝁䅕党歂䝁䅉兙橂䝁䅳䅉潁䑁䅁䅍穁䍁䅫杌㑂䝁䅷督瑂䙁䄰杕求䝁䅫杢穂䡁䅕杣桂䝁䄴睙求䍁䅣光歁䕁䅑䅊㍁䑁䅯䅊䥂䍁䅑睎䅁䡁䍙䅁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村歁䑁䅅䅍㕁䅁䅁儵䅉䭁䄴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䍂䍁䅑免祁䑁䅑䅁煄杁䅁杲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䅉䅊硁䑁䅕睎䅁佁䌸䅁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村歁䑁䅉免祁䅁䅁䄹䅉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䍂䍁䅑睍睁䅁䅁克䅉䭁䅯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䍂䍁䅑李䅁佁䍅䅁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睑歁䑁䅅䅍㙁䍁䅑睑歁䑁䅉䅍㕁䅁䅁眴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䑂䍁䅑免硁䑁䅅杏歁䕁䅍䅊硁䑁䅅兎䅁佁䍣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睑歁䑁䅅杍㉁䑁䅯䅊䑂䍁䅑免ㅁ䑁䅑䅁獄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䅍䅊硁䑁䅕兏㙁䍁䅑睑歁䑁䅅李穁䅁䅁儸䅉䭁䄴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䑂䍁䅑杍硁䑁䅕䅁㉄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䅍䅊穁䑁䅉杏歁䕁䅍䅊㕁䑁䅑䅁牁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䅕䅊硁䑁䅅免㙁䍁䅑兒歁䑁䅅免ㅁ䅁䅁儶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䙂䍁䅑免祁䑁䅙杏歁䕁䅕䅊硁䑁䅕䅎䅁佁䌴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兒歁䑁䅅兎㕁䑁䅯䅊䙂䍁䅑免㉁䑁䅍䅁穄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䅕䅊穁䑁䅉杏歁䕁䅕䅊㕁䑁䅑䅁瑁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硁䑁䅁兏㙁䍁䅑杓歁䑁䅅䅍㕁䅁䅁朵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䝂䍁䅑免硁䑁䅁杏歁䕁䅯䅊硁䑁䅅䅍䅁佁䍧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䅅杍ぁ䑁䅯䅊䭂䍁䅑免祁䑁䅑䅁牄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硁䑁䅉兎㙁䍁䅑杓歁䑁䅅杍ㅁ䅁䅁儷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䝂䍁䅑免ㅁ䑁䅣杏歁䕁䅯䅊硁䑁䅕睎䅁偁䍁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䅅兎㑁䑁䅯䅊䭂䍁䅑免ㅁ䑁䅧䅁祄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祁䑁䅅杍㙁䍁䅑杓歁䑁䅉免祁䅁䅁儹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䝂䍁䅑杍硁䑁䅍杏歁䕁䅯䅊祁䑁䅅睍䅁偁䍣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䅉免ぁ䑁䅯䅊䭂䍁䅑杍硁䑁䅑䅁㑄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穁䑁䅁杏歁䕁䅯䅊穁䑁䅁䅁煁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穁䑁䅅杏歁䕁䅯䅊穁䑁䅅䅁獁杁䅁䅴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䑁䅯䅊䭂䍁䅑李䅁佁䍉䅁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䅣杏歁䕁䅯䅊㍁䅁䅁䄵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䅅杍ㅁ䅁䅁杚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䅉兎㕁䅁䅁杹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䅍杍硁䅁䅁睺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䅍兏㑁䅁䅁䄱䅉䱁䅑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䅙䅁摂杁䅁杴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䍂䍁䅑睎ㅁ䅁䅁兙䅉䵁䅑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䅅䅍㙁䍁䅑睑歁䑁䅍兏ㅁ䅁䅁睘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䅅杍㍁䑁䅯䅊䑂䍁䅑杍穁䑁䅍䅁潂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䑂䍁䅑杍㉁䑁䅅杏歁䕁䅍䅊祁䑁䅫兎䅁䵁䍷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䅍䅊穁䑁䅉睍㙁䍁䅑睑歁䑁䅍李㕁䅁䅁儰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䅑䅍硁䅁䅁朱䅉䵁䅉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䅣睎㙁䍁䅑睑歁䑁䅫兏䅁䝁䍍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䅕䅊硁䑁䅉睎㙁䍁䅑兒歁䑁䅉睍穁䅁䅁条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兒歁䑁䅉李硁䑁䅯䅊䙂䍁䅑杍㕁䑁䅕䅁佄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䙂䍁䅑睍祁䑁䅍杏歁䕁䅕䅊穁䑁䅙兏䅁乁䍍䅁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䅕䅊㍁䑁䅣杏歁䕁䅕䅊㕁䑁䅫䅁求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免祁䑁䅕杏歁䕁䅯䅊硁䑁䅉兎䅁䝁䍣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硁䑁䅉李㙁䍁䅑杓歁䑁䅅杍㉁䅁䅁兡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䅉兎㕁䑁䅯䅊䭂䍁䅑杍ㅁ䑁䅫䅁䱄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杍㉁䑁䅁杏歁䕁䅯䅊祁䑁䅙䅍䅁䵁䌰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穁䑁䅉免㙁䍁䅑杓歁䑁䅍杍硁䅁䅁䄰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䅍杍祁䑁䅯䅊䭂䍁䅑睍祁䑁䅉䅁卄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睍㕁䑁䅧杏歁䕁䅯䅊穁䑁䅫䅏䅁乁䍕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穁䑁䅫兏㙁䍁䅑杓歁䑁䅍兏㕁䅁䅁眱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䅑䅍睁䑁䅯䅊䭂䍁䅑䅎睁䑁䅁䅁奄杁䅁杶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李㙁䍁䅑杓歁䑁䅙䅁敂杁䅁杷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睎ㅁ䑁䅯䅊䭂䍁䅑睎ㅁ䅁䅁杙䅉䵁䅉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䅣李㙁䍁䅑杓歁䑁䅣李䅁䝁䍑䅁⭃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䑁䅯䅊䭂䍁䅑睎䅁䝁䍁䅁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䅉兙獂䝁䅅杢橂䝁䅕睘呂䝁䅧党求䡁䅑睊桁䍁䅑村歁䑁䅙䅁乃兂䅁杶䅁䍁䅣睗乂䕁䅫睘䩂䕁䄴睕時䙁䅍䅖䉂䙁䅑睘䵂䝁䅫杚求䙁䄸杒灂䝁䄴兙畂䝁䅍兡桂䝁䅷督流䙁䅕杢歂䝁䅕杣㍂䡁䅉兡あ䝁䅫杢湂䙁䅑杣求䝁䄴䅚䉂䝁䄴兙獂䡁䅫督灂䡁䅍睘㉂䑁䅅䅉潁䑁䅅克畁䡁䅧䅢穂䝁䄰兘䍂䝁䅅䅢桂䝁䄴睙求䙁䄸睕潂䝁䅕党あ䍁䅣光歁䕁䅍䅊硁䑁䅁杏歁䕁䅍䅊㍁䑁䅁䅁偃兂䅁杵䅁䍁䅣睗乂䕁䅫睘䩂䕁䄴睕時䙁䅍䅖䉂䙁䅑睘䵂䝁䅫杚求䙁䄸杒灂䝁䄴兙畂䝁䅍兡桂䝁䅷督流䙁䅕杢歂䝁䅕杣㍂䡁䅉兡あ䝁䅫杢湂䙁䅑杣求䝁䄴䅚䉂䝁䄴兙獂䡁䅫督灂䡁䅍睘㉂䑁䅅䅉潁䑁䅅克畁䡁䅧䅢穂䝁䄰兘䍂䝁䅅䅢桂䝁䄴睙求䙁䄸睕潂䝁䅕党あ䍁䅣光歁䕁䅑䅊㉁䑁䅯䅊䥂䍁䅑李䅁䥁䘴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䅉兙獂䝁䅅杢橂䝁䅕睘呂䝁䅧党求䡁䅑睊桁䍁䅑䅒歁䑁䅣杏歁䕁䅧䅊㍁䅁䅁䅫䅕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睑桂䡁䅁兡あ䝁䅅䅢時䕁䅅䅚求䡁䅅兤桂䝁䅍入湁䍁䅅䅊䍂䍁䅑李䅁䭁䙕䅁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䅍兙睂䝁䅫䅤桂䝁䅷睘䉂䝁䅑党硂䡁䅕兙橂䡁䅫睊桁䍁䅑睑歁䑁䅅䅍㙁䍁䅑睑歁䑁䅙李䅁䭁䙣䅁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䅍兙睂䝁䅫䅤桂䝁䅷睘䉂䝁䅑党硂䡁䅕兙橂䡁䅫睊桁䍁䅑䅒歁䑁䅙杏歁䕁䅧䅊㉁䅁䅁杰䅕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睑桂䡁䅁兡あ䝁䅅䅢時䕁䅅䅚求䡁䅅兤桂䝁䅍入湁䍁䅅䅊䕂䍁䅑睎㙁䍁䅑䅓歁䑁䅣䅁潃兂䅁杶䅁䍁䅣睗乂䕁䅫睘䩂䕁䄴睕時䙁䅍䅖䉂䙁䅑睘䵂䝁䅫杚求䙁䄸杒灂䝁䄴兙畂䝁䅍兡桂䝁䅷督流䙁䅕杢歂䝁䅕杣㍂䡁䅉兡あ䝁䅫杢湂䙁䅑杣求䝁䄴䅚䉂䝁䄴兙獂䡁䅫督灂䡁䅍睘㉂䑁䅅䅉潁䑁䅅克畁䡁䅧䅢穂䝁䄰兘䝂䝁䅫杢桂䝁䄴睙灂䝁䅅䅢時䕁䅧兡湂䝁䅧䅢灂䝁䅣䅡あ䡁䅍睊桁䍁䅑村歁䑁䅙䅁䙃兂䅁杺䅁䍁䅣睗乂䕁䅫睘䩂䕁䄴睕時䙁䅍䅖䉂䙁䅑睘䵂䝁䅫杚求䙁䄸杒灂䝁䄴兙畂䝁䅍兡桂䝁䅷督流䙁䅕杢歂䝁䅕杣㍂䡁䅉兡あ䝁䅫杢湂䙁䅑杣求䝁䄴䅚䉂䝁䄴兙獂䡁䅫督灂䡁䅍睘㉂䑁䅅䅉潁䑁䅅克畁䡁䅧䅢穂䝁䄰兘䝂䝁䅫杢桂䝁䄴睙灂䝁䅅䅢時䕁䅧兡湂䝁䅧䅢灂䝁䅣䅡あ䡁䅍睊桁䍁䅑睑歁䑁䅅䅍㙁䍁䅑睑歁䑁䅅兎穁䅁䅁睨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䕁䅑䅊㉁䑁䅯䅊䥂䍁䅑李䅁䥁䙙䅁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䅙兡畂䝁䅅杢橂䝁䅫兙獂䙁䄸䅓灂䝁䅣䅡獂䝁䅫睚潂䡁䅑督湁䍁䅅䅊䕂䍁䅑睎㙁䍁䅑䅓歁䑁䅣䅁䥃兂䅁杷䅁䍁䅣睗乂䕁䅫睘䩂䕁䄴睕時䙁䅍䅖䉂䙁䅑睘䵂䝁䅫杚求䙁䄸杒灂䝁䄴兙畂䝁䅍兡桂䝁䅷督流䙁䅕杢歂䝁䅕杣㍂䡁䅉兡あ䝁䅫杢湂䙁䅑杣求䝁䄴䅚䉂䝁䄴兙獂䡁䅫督灂䡁䅍睘㉂䑁䅅䅉潁䑁䅅克畁䡁䅧䅢穂䝁䄰兘䝂䝁䅫杢桂䝁䄴睙灂䝁䅅䅢時䕁䅧兡湂䝁䅧䅢灂䝁䅣䅡あ䡁䅍睊桁䍁䅑杔歁䑁䅅李祁䅁䅁兩䅕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䕁䄸䅊硁䑁䅙䅎㙁䍁䅑睔歁䑁䅉睎ぁ䅁䅁睩䅕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䙁䅁䅊硁䑁䅙䅎㙁䍁䅑䅕歁䑁䅉睎ぁ䅁䅁䅪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䙁䅍䅊硁䑁䅙杍䅁䥁䙯䅁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時䕁䅙睢祂䝁䅍党時䝁䅅杢歂䙁䄸睕灂䡁䅯党湁䍁䅅䅊䍂䍁䅑李䅁䱁䙙䅁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時䕁䅙睢祂䝁䅍党時䝁䅅杢歂䙁䄸睕灂䡁䅯党湁䍁䅅䅊䑂䍁䅑免睁䑁䅯䅊䑂䍁䅑䅎㉁䅁䅁䅵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䙁䄸杒療䡁䅉睙求䙁䄸兙畂䝁䅑睘呂䝁䅫来求䍁䅣光歁䕁䅑䅊㉁䑁䅯䅊䥂䍁䅑李䅁䱁䙣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時䕁䅙睢祂䝁䅍党時䝁䅅杢歂䙁䄸睕灂䡁䅯党湁䍁䅅䅊䕂䍁䅑睎㙁䍁䅑䅓歁䑁䅣䅁㕃兂䅁杴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䕁䅉䅊㉁䅁䅁八䅕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䝁䅍睢瑂䝁䅕睘呂䡁䅑兙あ䝁䅕兢求䝁䄴䅤湁䍁䅅䅊䑂䍁䅑免睁䑁䅯䅊䑂䍁䅑杍㕁䑁䅍䅁呃兂䅁䅷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䕁䅑䅊㉁䑁䅯䅊䥂䍁䅑李䅁䩁䙉䅁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橂䝁䄸兢求䙁䄸睕あ䝁䅅䅤求䝁䄰党畂䡁䅑睊桁䍁䅑䅒歁䑁䅣杏歁䕁䅧䅊㍁䅁䅁䅬䅕䱁䅯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䝁䅍睢瑂䝁䅕睘呂䡁䅑兙あ䝁䅕兢求䝁䄴䅤湁䍁䅅䅊偂䍁䅑睍睁䑁䅁䅁噃兂䅁杹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䙁䅁䅊穁䑁䅁杍㙁䍁䅑䅕歁䑁䅅䅍祁䑁䅧䅁塃兂䅁杹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䙁䅅䅊穁䑁䅁杍㙁䍁䅑兕歁䑁䅅䅍祁䑁䅧䅁奃兂䅁杵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䙁䅑䅊穁䑁䅁䅍䅁䩁䙙䅁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穂䡁䅑杣ㅂ䝁䅍䅤灂䝁䄸杢穂䍁䅣光歁䙁䅣䅊㉁䑁䅙䅁⽂兂䅁䅳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督あ䡁䅉兤橂䡁䅑兡療䝁䄴督湁䍁䅅䅊塂䍁䅑李㕁䅁䅁䅧䅕䱁䄴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䅍䅤祂䡁䅕睙あ䝁䅫睢畂䡁䅍睊桁䍁䅑䅗歁䑁䅙李㙁䍁䅑兑䉂䍁䅑李㉁䅁䅁內䅕䱁䄴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䅍䅤祂䡁䅕睙あ䝁䅫睢畂䡁䅍睊桁䍁䅑䅗歁䑁䅙睎㙁䍁䅑兑䉂䍁䅑李㍁䅁䅁杧䅕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䅍䅤祂䡁䅕睙あ䝁䅫睢畂䡁䅍睊桁䍁䅑䅗歁䑁䅣杍䅁䥁䙍䅁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穂䡁䅑杣ㅂ䝁䅍䅤灂䝁䄸杢穂䍁䅣光歁䙁䅯䅊㍁䑁䅑䅁䕃兂䅁䅶䅁䍁䅣睗乂䕁䅫睘䩂䕁䄴睕時䙁䅍䅖䉂䙁䅑睘䵂䝁䅫杚求䙁䄸杒灂䝁䄴兙畂䝁䅍兡桂䝁䅷督流䙁䅕杢歂䝁䅕杣㍂䡁䅉兡あ䝁䅫杢湂䙁䅑杣求䝁䄴䅚䉂䝁䄴兙獂䡁䅫督灂䡁䅍睘㉂䑁䅅䅉潁䑁䅅克畁䡁䅧䅢穂䝁䄰兘䩂䝁䄴杤求䡁䅍䅤瑂䝁䅕杢あ䙁䄸兑畂䝁䅅䅢㕂䡁䅍兡穂䍁䅣光歁䕁䅉䅊㉁䅁䅁兯䅕䵁䅷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䅙党穂䡁䅑兢求䝁䄴䅤時䕁䅅杢桂䝁䅷入穂䝁䅫督湁䍁䅅䅊䑂䍁䅑免睁䑁䅯䅊䑂䍁䅑免硁䑁䅍䅁橃兂䅁杸䅁䍁䅣睗乂䕁䅫睘䩂䕁䄴睕時䙁䅍䅖䉂䙁䅑睘䵂䝁䅫杚求䙁䄸杒灂䝁䄴兙畂䝁䅍兡桂䝁䅷督流䙁䅕杢歂䝁䅕杣㍂䡁䅉兡あ䝁䅫杢湂䙁䅑杣求䝁䄴䅚䉂䝁䄴兙獂䡁䅫督灂䡁䅍睘㉂䑁䅅䅉潁䑁䅅克畁䡁䅧䅢穂䝁䄰兘䩂䝁䄴杤求䡁䅍䅤瑂䝁䅕杢あ䙁䄸兑畂䝁䅅䅢㕂䡁䅍兡穂䍁䅣光歁䕁䅑䅊㉁䑁䅯䅊䥂䍁䅑李䅁䭁䙉䅁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䝁䅕督あ䝁䄰党畂䡁䅑睘䉂䝁䄴兙獂䡁䅫督灂䡁䅍睊桁䍁䅑䅒歁䑁䅣杏歁䕁䅧䅊㍁䅁䅁䅰䅕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䍂䍁䅑兎䅁䱁䘴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睑歁䑁䅅免㙁䍁䅑睑歁䑁䅅睍ぁ䑁䅅䅁䅄兂䅁杵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䕁䅑䅊ㅁ䑁䅯䅊佂䍁䅑兎䅁䱁䘸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䅒歁䑁䅙杏歁䕁䄴䅊㉁䅁䅁具䅕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噂䍁䅑免睁䑁䅣䅎䅁䵁䘴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兖歁䑁䅅免ㅁ䑁䅁䅁坄兂䅁杴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硁䑁䅉睍ㅁ䅁䅁朵䅕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噂䍁䅑杍㑁䑁䅫䅁䝄兂䅁䅴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穁䑁䅫睍䅁乁䙉䅁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兖歁䑁䅑免㕁䅁䅁朲䅕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噂䍁䅑䅎ㅁ䑁䅧䅁敄兂䅁杳䅁䍁䅣睗乂</t>
  </si>
  <si>
    <t>䍁䅑杓歁䑁䅧李䅁䍁䑍䅁獃䅁䅁睊扂䕁䄰兓時䕁䅫杔呂䙁䄸睕啂䕁䅅䅖時䕁䅷兡浂䝁䅕睘䝂䝁䅫杢桂䝁䄴睙灂䝁䅅䅢穂䍁䅙兖畂䝁䅑党祂䡁䅣杣灂䡁䅑兡畂䝁䅣睘啂䡁䅉党畂䝁䅑兑畂䝁䅅䅢㕂䡁䅍兡穂䙁䄸杤硁䍁䄴䅥獂䡁䅍兢摂䕁䅫杢穂䡁䅑杣ㅂ䝁䅍䅤灂䝁䄸杢穂䍁䅣光歁䕁䅅兑歁䑁䅣䅎䅁䅁䑍䅁煃䅁䅁睊扂䕁䄰兓時䕁䅫杔呂䙁䄸睕啂䕁䅅䅖時䕁䅷兡浂䝁䅕睘䝂䝁䅫杢桂䝁䄴睙灂䝁䅅䅢穂䍁䅙兖畂䝁䅑党祂䡁䅣杣灂䡁䅑兡畂䝁䅣睘啂䡁䅉党畂䝁䅑兑畂䝁䅅䅢㕂䡁䅍兡穂䙁䄸杤硁䍁䄴䅥獂䡁䅍兢摂䕁䅫杢穂䡁䅑杣ㅂ䝁䅍䅤灂䝁䄸杢穂䍁䅣光歁䙁䅧䅊㉁䑁䅙䅁⭄杁䅁東䅁䍁䅣睗乂䕁䅫睘䩂䕁䄴睕時䙁䅍䅖䉂䙁䅑睘䵂䝁䅫杚求䙁䄸杒灂䝁䄴兙畂䝁䅍兡桂䝁䅷督流䙁䅕杢歂䝁䅕杣㍂䡁䅉兡あ䝁䅫杢湂䙁䄸䅖祂䝁䅕杢歂䕁䅅杢桂䝁䅷入穂䝁䅫督時䡁䅙免畁䡁䅧䅢穂䝁䄰兘䩂䝁䄴督あ䡁䅉兤橂䡁䅑兡療䝁䄴督湁䍁䅅䅊奂䍁䅑李㕁䅁䅁眯䅉䱁䅧䅁湁䙁䅳兔䩂䙁䄸兓佂䙁䅍睘呂䙁䅑兑啂䙁䄸䅔灂䝁䅙党時䕁䅙兡畂䝁䅅杢橂䝁䅫兙獂䡁䅍杊噂䝁䄴䅚求䡁䅉睤祂䝁䅫䅤灂䝁䄴睚時䙁䅑杣求䝁䄴䅚䉂䝁䄴兙獂䡁䅫督灂䡁䅍睘㉂䑁䅅杌㑂䝁䅷督瑂䙁䄰兓畂䡁䅍䅤祂䡁䅕睙あ䝁䅫睢畂䡁䅍睊桁䍁䅑兗歁䑁䅙李㙁䍁䅑兑䍂䍁䅑李㉁䅁䅁䅁䅍䱁䅧䅁湁䙁䅳兔䩂䙁䄸兓佂䙁䅍睘呂䙁䅑兑啂䙁䄸䅔灂䝁䅙党時䕁䅙兡畂䝁䅅杢橂䝁䅫兙獂䡁䅍杊噂䝁䄴䅚求䡁䅉睤祂䝁䅫䅤灂䝁䄴睚時䙁䅑杣求䝁䄴䅚䉂䝁䄴兙獂䡁䅫督灂䡁䅍睘㉂䑁䅅杌㑂䝁䅷督瑂䙁䄰兓畂䡁䅍䅤祂䡁䅕睙あ䝁䅫睢畂䡁䅍睊桁䍁䅑兗歁䑁䅙睎㙁䍁䅑兑䍂䍁䅑李㍁䅁䅁允䅍䭁䅯䅁湁䙁䅳兔䩂䙁䄸兓佂䙁䅍睘呂䙁䅑兑啂䙁䄸䅔灂䝁䅙党時䕁䅙兡畂䝁䅅杢橂䝁䅫兙獂䡁䅍杊噂䝁䄴䅚求䡁䅉睤祂䝁䅫䅤灂䝁䄴睚時䙁䅑杣求䝁䄴䅚䉂䝁䄴兙獂䡁䅫督灂䡁䅍睘㉂䑁䅅杌㑂䝁䅷督瑂䙁䄰兓畂䡁䅍䅤祂䡁䅕睙あ䝁䅫睢畂䡁䅍睊桁䍁䅑兗歁䑁䅣杍䅁䅁䑉䅁㉃䅁䅁睊扂䕁䄰兓時䕁䅫杔呂䙁䄸睕啂䕁䅅䅖時䕁䅷兡浂䝁䅕睘䝂䝁䅫杢桂䝁䄴睙灂䝁䅅䅢穂䍁䅙兖畂䝁䅑党祂䡁䅣杣灂䡁䅑兡畂䝁䅣睘啂䡁䅉党畂䝁䅑兑畂䝁䅅䅢㕂䡁䅍兡穂䙁䄸杤硁䍁䄴䅥獂䡁䅍兢摂䕁䅫杢㉂䝁䅕督あ䝁䄰党畂䡁䅑睘䉂䝁䄴兙獂䡁䅫督灂䡁䅍睊桁䍁䅑村歁䑁䅙䅁䵂睁䅁杸䅁䍁䅣睗乂䕁䅫睘䩂䕁䄴睕時䙁䅍䅖䉂䙁䅑睘䵂䝁䅫杚求䙁䄸杒灂䝁䄴兙畂䝁䅍兡桂䝁䅷督流䙁䅕杢歂䝁䅕杣㍂䡁䅉兡あ䝁䅫杢湂䙁䄸䅖祂䝁䅕杢歂䕁䅅杢桂䝁䅷入穂䝁䅫督時䡁䅙免畁䡁䅧䅢穂䝁䄰兘䩂䝁䄴杤求䡁䅍䅤瑂䝁䅕杢あ䙁䄸兑畂䝁䅅䅢㕂䡁䅍兡穂䍁䅣光歁䕁䅍䅊硁䑁䅁杏歁䕁䅍䅊硁䑁䅁䅏䅁䕁䐴䅁䝄䅁䅁睊扂䕁䄰兓時䕁䅫杔呂䙁䄸睕啂䕁䅅䅖時䕁䅷兡浂䝁䅕睘䝂䝁䅫杢桂䝁䄴睙灂䝁䅅䅢穂䍁䅙兖畂䝁䅑党祂䡁䅣杣灂䡁䅑兡畂䝁䅣睘啂䡁䅉党畂䝁䅑兑畂䝁䅅䅢㕂䡁䅍兡穂䙁䄸杤硁䍁䄴䅥獂䡁䅍兢摂䕁䅫杢㉂䝁䅕督あ䝁䄰党畂䡁䅑睘䉂䝁䄴兙獂䡁䅫督灂䡁䅍睊桁䍁䅑睑歁䑁䅅䅍㙁䍁䅑睑歁䑁䅅免穁䅁䅁睁䅑䵁䅁䅁湁䙁䅳兔䩂䙁䄸兓佂䙁䅍睘呂䙁䅑兑啂䙁䄸䅔灂䝁䅙党時䕁䅙兡畂䝁䅅杢橂䝁䅫兙獂䡁䅍杊噂䝁䄴䅚求䡁䅉睤祂䝁䅫䅤灂䝁䄴睚時䙁䅑杣求䝁䄴䅚䉂䝁䄴兙獂䡁䅫督灂䡁䅍睘㉂䑁䅅杌㑂䝁䅷督瑂䙁䄰兓畂䡁䅙党穂䡁䅑兢求䝁䄴䅤時䕁䅅杢桂䝁䅷入穂䝁䅫督湁䍁䅅䅊䕂䍁䅑李㙁䍁䅑䅓歁䑁䅙䅁乂睁䅁䅷䅁䍁䅣睗乂䕁䅫睘䩂䕁䄴睕時䙁䅍䅖䉂䙁䅑睘䵂䝁䅫杚求䙁䄸杒灂䝁䄴兙畂䝁䅍兡桂䝁䅷督流䙁䅕杢歂䝁䅕杣㍂䡁䅉兡あ䝁䅫杢湂䙁䄸䅖祂䝁䅕杢歂䕁䅅杢桂䝁䅷入穂䝁䅫督時䡁䅙免畁䡁䅧䅢穂䝁䄰兘䩂䝁䄴杤求䡁䅍䅤瑂䝁䅕杢あ䙁䄸兑畂䝁䅅䅢㕂䡁䅍兡穂䍁䅣光歁䕁䅑䅊㍁䑁䅯䅊䥂䍁䅑睎䅁䕁䐸䅁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䅅䅍㉁䑁䅑䅁癃睁䅁䅳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硁䑁䅅䅎穁䅁䅁䅴䅍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免硁䑁䅕䅏䅁䱁䑫䅁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䅅免㕁䑁䅅䅁⭃睁䅁䅳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硁䑁䅍䅎睁䅁䅁睷䅍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免穁䑁䅑兎䅁䵁䑧䅁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䅉䅎ぁ䅁䅁䅪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杍㕁䑁䅁䅁㕂睁䅁杲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穁䑁䅧兏䅁䩁䑅䅁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䅑免㉁䅁䅁睭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䅎ㅁ䑁䅕䅁权睁䅁東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ㅁ䅁䅁杦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兎㉁䑁䅅䅁坃睁䅁杲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䑁䅅免䅁䥁䑉䅁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䅣䅎ㅁ䅁䅁兰䅍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睎㉁䅁䅁睨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䅏睁䑁䅣䅁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硁䑁䅁李㉁䑁䅯䅊䑂䍁䅑免硁䑁䅉䅏䅁䱁䑅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䅅䅍㙁䍁䅑睑歁䑁䅅睍穁䑁䅣䅁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硁䑁䅅䅎ㅁ䑁䅯䅊䑂䍁䅑免硁䑁䅑兏䅁䱁䑙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䅅免㉁䑁䅁杏歁䕁䅍䅊硁䑁䅅䅏㑁䅁䅁睵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免硁䑁䅫睍㙁䍁䅑睑歁䑁䅅免㕁䑁䅣䅁䅄睁䅁䅳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硁䑁䅍䅎穁䅁䅁典䅍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免穁䑁䅑䅏䅁䵁䑯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䅉䅎㉁䑁䅯䅊䑂䍁䅑杍㉁䑁䅧䅁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祁䑁䅫杍㙁䍁䅑睑歁䑁䅍睎ぁ䅁䅁睥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睍㕁䑁䅅杏歁䕁䅍䅊ぁ䑁䅁免䅁䩁䑍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䅑免㑁䑁䅯䅊䑂䍁䅑䅎ぁ䑁䅁䅁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ぁ䑁䅕睎㙁䍁䅑睑歁䑁䅑李㍁䅁䅁杯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兎㉁䑁䅍杏歁䕁䅍䅊ㅁ䑁䅧兎䅁䩁䑧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䅙免穁䑁䅯䅊䑂䍁䅑睎硁䑁䅫䅁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䑁䅑睎㙁䍁䅑睑歁䑁䅣䅏硁䅁䅁睰䅍䱁䅯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睎㑁䑁䅯䅊䑂䍁䅑免睁䑁䅁䅁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㑁䑁䅁兏㙁䍁䅑睑歁䑁䅧兎ㅁ䅁䅁䅲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免睁䑁䅙李㙁䍁䅑兒歁䑁䅅免祁䑁䅧䅁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硁䑁䅅䅎ㅁ䑁䅯䅊䙂䍁䅑免硁䑁䅑兏䅁䱁䑧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䅅免㉁䑁䅁杏歁䕁䅕䅊硁䑁䅅䅏㑁䅁䅁其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免硁䑁䅫睍㙁䍁䅑兒歁䑁䅅免㕁䑁䅣䅁䍄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祁䑁䅑李㙁䍁䅑兒歁䑁䅉李㑁䅁䅁䅫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杍㕁䑁䅉杏歁䕁䅕䅊穁䑁䅣䅎䅁䡁䐰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䅍兏硁䑁䅯䅊䙂䍁䅑䅎睁䑁䅅䅁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ぁ䑁䅅䅏㙁䍁䅑兒歁䑁䅑䅎睁䅁䅁睮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䅎ㅁ䑁䅣杏歁䕁䅕䅊ぁ䑁䅙睎䅁䭁䑑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䅕李穁䑁䅯䅊䙂䍁䅑兎㑁䑁䅕䅁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䑁䅅睍㙁䍁䅑兒歁䑁䅣免㕁䅁䅁杨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睎ぁ䑁䅣杏歁䕁䅕䅊㍁䑁䅧免䅁䭁䑫䅁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䅣䅏㙁䍁䅑兒歁䑁䅅䅍睁䅁䅁睩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䅏睁䑁䅫杏歁䕁䅕䅊㑁䑁䅕兎䅁䭁䐴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䅍㉁䑁䅑杏歁䙁䅁䅊硁䑁䅁李ぁ䅁䅁䅳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睁䑁䅙兎㙁䍁䅑䅕歁䑁䅅䅍㉁䑁䅕䅁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䅅䅎穁䑁䅯䅊兂䍁䅑免硁䑁䅑睍䅁䱁䑕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免ぁ䑁䅑杏歁䙁䅁䅊硁䑁䅅䅎ぁ䅁䅁睴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硁䑁䅕䅏㙁䍁䅑䅕歁䑁䅅免ㅁ䑁䅧䅁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䅅兎㕁䑁䅯䅊兂䍁䅑免硁䑁䅕兏䅁䱁䑷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免㕁䑁䅅杏歁䙁䅁䅊硁䑁䅅兏硁䅁䅁睶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硁䑁䅫杍㙁䍁䅑䅕歁䑁䅅免㕁䑁䅉䅁䉄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䅍䅎睁䑁䅯䅊兂䍁䅑免穁䑁䅑䅍䅁䵁䑑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睍ぁ䑁䅅杏歁䙁䅁䅊硁䑁䅍䅎硁䅁䅁杸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穁䑁䅑杍㙁䍁䅑䅕歁䑁䅅睍ぁ䑁䅉䅁䡄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䅍䅎ㅁ䑁䅯䅊兂䍁䅑免穁䑁䅑兎䅁䵁䑫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睍ぁ䑁䅙杏歁䙁䅁䅊硁䑁䅍䅎㉁䅁䅁睹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穁䑁䅑睎㙁䍁䅑䅕歁䑁䅅睍ぁ䑁䅣䅁䵄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祁䑁䅑䅎㙁䍁䅑䅕歁䑁䅉䅎ぁ䅁䅁兪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杍ぁ䑁䅕杏歁䙁䅁䅊祁䑁䅑兎䅁䥁䐸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䅉兏睁䑁䅯䅊兂䍁䅑杍㕁䑁䅁䅁㙂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祁䑁䅫免㙁䍁䅑䅕歁䑁䅉兏硁䅁䅁䅦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睍㑁䑁䅫杏歁䙁䅁䅊穁䑁䅧兏䅁䩁䑉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䅍兏睁䑁䅯䅊兂䍁䅑睍㕁䑁䅁䅁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ぁ䑁䅅李㙁䍁䅑䅕歁䑁䅑免㉁䅁䅁䅮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䅎硁䑁䅣杏歁䙁䅁䅊ぁ䑁䅅睎䅁䩁䐴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䅑兎ㅁ䑁䅯䅊兂䍁䅑䅎ㅁ䑁䅕䅁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ぁ䑁䅕李㙁䍁䅑䅕歁䑁䅑兎㉁䅁䅁睯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兎㉁䑁䅅杏歁䙁䅁䅊ㅁ䑁䅙免䅁䩁䑣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䅕李祁䑁䅯䅊兂䍁䅑兎㉁䑁䅉䅁婃睁䅁䅴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ㅁ䑁䅯䅊兂䍁䅑兎䅁䡁䐸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䅙免硁䑁䅯䅊兂䍁䅑李硁䑁䅅䅁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䑁䅅杍㙁䍁䅑䅕歁䑁䅙免祁䅁䅁全䅍䱁䅑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李㙁䍁䅑䅕歁䑁䅙䅁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䑁䅑兎㙁䍁䅑䅕歁䑁䅣䅎ㅁ䅁䅁杰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睎ぁ䑁䅙杏歁䙁䅁䅊㍁䑁䅑李䅁䭁䑧䅁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䅣李㙁䍁䅑䅕歁䑁䅣李䅁䥁䑧䅁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䅣睎㙁䍁䅑䅕歁䑁䅣睎䅁䥁䑯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䅧䅍㍁䑁䅯䅊兂䍁䅑䅏睁䑁䅣䅁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㑁䑁䅁䅏㙁䍁䅑䅕歁䑁䅧䅍㑁䅁䅁兲䅍䭁䅙䅁湁䙁䅳兔䩂䙁䄸兓佂䙁䅍睘呂䙁䅑兑啂䙁䄸䅔灂䝁䅙党時䕁䅙兡畂䝁䅅杢橂䝁䅫兙獂䡁䅍杊噂䝁䄴䅚求䡁䅉睤祂䝁䅫䅤灂䝁䄴睚時䙁䅑杣求䝁䄴䅚䉂䝁䄴兙獂䡁䅫督灂䡁䅍睘㉂䑁䅅杌㑂䝁䅷督瑂䙁䄰杕求䝁䅫杢穂䡁䅕杣桂䝁䄴睙求䍁䅣光歁䕁䅉䅊㉁䅁䅁兤䅍䱁䅑䅁湁䙁䅳兔䩂䙁䄸兓佂䙁䅍睘呂䙁䅑兑啂䙁䄸䅔灂䝁䅙党時䕁䅙兡畂䝁䅅杢橂䝁䅫兙獂䡁䅍杊噂䝁䄴䅚求䡁䅉睤祂䝁䅫䅤灂䝁䄴睚時䙁䅑杣求䝁䄴䅚䉂䝁䄴兙獂䡁䅫督灂䡁䅍睘㉂䑁䅅杌㑂䝁䅷督瑂䙁䄰杕求䝁䅫杢穂䡁䅕杣桂䝁䄴睙求䍁䅣光歁䕁䅍䅊硁䑁䅁杏歁䕁䅍䅊㉁䑁䅙䅁㍂睁䅁䅳䅁䍁䅣睗乂䕁䅫睘䩂䕁䄴睕時䙁䅍䅖䉂䙁䅑睘䵂䝁䅫杚求䙁䄸杒灂䝁䄴兙畂䝁䅍兡桂䝁䅷督流䙁䅕杢歂䝁䅕杣㍂䡁䅉兡あ䝁䅫杢湂䙁䄸䅖祂䝁䅕杢歂䕁䅅杢桂䝁䅷入穂䝁䅫督時䡁䅙免畁䡁䅧䅢穂䝁䄰兘卂䝁䅕兡畂䡁䅍兤祂䝁䅅杢橂䝁䅕睊桁䍁䅑䅒歁䑁䅙杏歁䕁䅧䅊㉁䅁䅁杤䅍䱁䅁䅁湁䙁䅳兔䩂䙁䄸兓佂䙁䅍睘呂䙁䅑兑啂䙁䄸䅔灂䝁䅙党時䕁䅙兡畂䝁䅅杢橂䝁䅫兙獂䡁䅍杊噂䝁䄴䅚求䡁䅉睤祂䝁䅫䅤灂䝁䄴睚時䙁䅑杣求䝁䄴䅚䉂䝁䄴兙獂䡁䅫督灂䡁䅍睘㉂䑁䅅杌㑂䝁䅷督瑂䙁䄰杕求䝁䅫杢穂䡁䅕杣桂䝁䄴睙求䍁䅣光歁䕁䅑䅊㍁䑁䅯䅊䥂䍁䅑睎䅁䡁䑧䅁ぃ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村歁䑁䅅䅍㕁䅁䅁兘䅍䱁䅑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䍂䍁䅑免祁䑁䅑䅁楂睁䅁䅴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䅉䅊硁䑁䅕睎䅁䝁䑣䅁ぃ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村歁䑁䅉免祁䅁䅁䅢䅍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䍂䍁䅑睍睁䅁䅁䅗䅍䱁䅁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䍂䍁䅑李䅁䙁䑑䅁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睑歁䑁䅅䅍㙁䍁䅑睑歁䑁䅉䅍㕁䅁䅁杖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䑂䍁䅑免硁䑁䅅杏歁䕁䅍䅊硁䑁䅅兎䅁䙁䐸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睑歁䑁䅅杍㉁䑁䅯䅊䑂䍁䅑免ㅁ䑁䅑䅁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䅍䅊硁䑁䅕兏㙁䍁䅑睑歁䑁䅅李穁䅁䅁兡䅍䱁䅑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䑂䍁䅑杍硁䑁䅕䅁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䅍䅊穁䑁䅉杏歁䕁䅍䅊㕁䑁䅑䅁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䅕䅊硁䑁䅅免㙁䍁䅑兒歁䑁䅅免ㅁ䅁䅁兙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䙂䍁䅑免祁䑁䅙杏歁䕁䅕䅊硁䑁䅕䅎䅁䝁䑙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兒歁䑁䅅兎㕁䑁䅯䅊䙂䍁䅑免㉁䑁䅍䅁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䅕䅊穁䑁䅉杏歁䕁䅕䅊㕁䑁䅑䅁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硁䑁䅁兏㙁䍁䅑杓歁䑁䅅䅍㕁䅁䅁杘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䝂䍁䅑免硁䑁䅁杏歁䕁䅯䅊硁䑁䅅䅍䅁䝁䑁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䅅杍ぁ䑁䅯䅊䭂䍁䅑免祁䑁䅑䅁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硁䑁䅉兎㙁䍁䅑杓歁䑁䅅杍ㅁ䅁䅁党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䝂䍁䅑免ㅁ䑁䅣杏歁䕁䅯䅊硁䑁䅕睎䅁䝁䑧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䅅兎㑁䑁䅯䅊䭂䍁䅑免ㅁ䑁䅧䅁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祁䑁䅅杍㙁䍁䅑杓歁䑁䅉免祁䅁䅁兢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䝂䍁䅑杍硁䑁䅍杏歁䕁䅯䅊祁䑁䅅睍䅁䝁䐸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䅉免ぁ䑁䅯䅊䭂䍁䅑杍硁䑁䅑䅁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穁䑁䅁杏歁䕁䅯䅊穁䑁䅁䅁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穁䑁䅅杏歁䕁䅯䅊穁䑁䅅䅁扂睁䅁杵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䑁䅯䅊䭂䍁䅑李䅁䙁䑕䅁㙃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䅣杏歁䕁䅯䅊㍁䅁䅁睖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䅅杍ㅁ䅁䅁䅏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䅉兎㕁䅁䅁睒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䅍杍硁䅁䅁睌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䅍兏㑁䅁䅁児䅍䱁䅯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䅙䅁ぁ睁䅁䅶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䍂䍁䅑睎ㅁ䅁䅁村䅍䵁䅯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䅅䅍㙁䍁䅑睑歁䑁䅍兏ㅁ䅁䅁李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䅅杍㍁䑁䅯䅊䑂䍁䅑杍穁䑁䅍䅁㙁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䑂䍁䅑杍㉁䑁䅅杏歁䕁䅍䅊祁䑁䅫兎䅁䕁䑫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䅍䅊穁䑁䅉睍㙁䍁䅑睑歁䑁䅍李㕁䅁䅁免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䅑䅍硁䅁䅁睐䅍䵁䅧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䅣睎㙁䍁䅑睑歁䑁䅫兏䅁䕁䑑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䅕䅊硁䑁䅉睎㙁䍁䅑兒歁䑁䅉睍穁䅁䅁䅐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兒歁䑁䅉李硁䑁䅯䅊䙂䍁䅑杍㕁䑁䅕䅁䱂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䙂䍁䅑睍祁䑁䅍杏歁䕁䅕䅊穁䑁䅙兏䅁䑁䑍䅁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䅕䅊㍁䑁䅣杏歁䕁䅕䅊㕁䑁䅫䅁䝂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免祁䑁䅕杏歁䕁䅯䅊硁䑁䅉兎䅁䑁䑫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硁䑁䅉李㙁䍁䅑杓歁䑁䅅杍㉁䅁䅁睏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䅉兎㕁䑁䅯䅊䭂䍁䅑杍ㅁ䑁䅫䅁䥂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杍㉁䑁䅁杏歁䕁䅯䅊祁䑁䅙䅍䅁䕁䑯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穁䑁䅉免㙁䍁䅑杓歁䑁䅍杍硁䅁䅁䅍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䅍杍祁䑁䅯䅊䭂䍁䅑睍祁䑁䅉䅁祁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睍㕁䑁䅧杏歁䕁䅯䅊穁䑁䅫䅏䅁䑁䐴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穁䑁䅫兏㙁䍁䅑杓歁䑁䅍兏㕁䅁䅁䅑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䅑䅍睁䑁䅯䅊䭂䍁䅑䅎睁䑁䅁䅁䉂睁䅁䅸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李㙁䍁䅑杓歁䑁䅙䅁ㅁ睁䅁䅹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睎ㅁ䑁䅯䅊䭂䍁䅑睎ㅁ䅁䅁睑䅍䵁䅧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䅣李㙁䍁䅑杓歁䑁䅣李䅁䕁䑕䅁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䑁䅯䅊䭂䍁䅑睎䅁䑁䑣䅁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䅙兡畂䝁䅅杢橂䝁䅫兙獂䙁䄸䅓灂䝁䅣䅡獂䝁䅫睚潂䡁䅑督湁䍁䅅䅊䍂䍁䅑睎㉁䅁䅁眰䅍䵁䄴䅁湁䙁䅳兔䩂䙁䄸兓佂䙁䅍睘呂䙁䅑兑啂䙁䄸䅔灂䝁䅙党時䕁䅙兡畂䝁䅅杢橂䝁䅫兙獂䡁䅍杊噂䝁䄴䅚求䡁䅉睤祂䝁䅫䅤灂䝁䄴睚時䙁䅑杣求䝁䄴䅚䉂䝁䄴兙獂䡁䅫督灂䡁䅍睘㉂䑁䅅睘啂䑁䅍杌㑂䝁䅷督瑂䙁䄰杒灂䝁䄴兙畂䝁䅍兡桂䝁䅷睘䥂䝁䅫睚潂䝁䅷兡湂䝁䅧䅤穂䍁䅣光歁䕁䅍䅊㍁䑁䅧杏歁䕁䅍䅊硁䑁䅁䅍䅁乁䑕䅁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䅙兡畂䝁䅅杢橂䝁䅫兙獂䙁䄸䅓灂䝁䅣䅡獂䝁䅫睚潂䡁䅑督湁䍁䅅䅊䕂䍁䅑睎㑁䑁䅯䅊䕂䍁䅑免睁䑁䅁䅁奄睁䅁杺䅁䍁䅣睗乂䕁䅫睘䩂䕁䄴睕時䙁䅍䅖䉂䙁䅑睘䵂䝁䅫杚求䙁䄸杒灂䝁䄴兙畂䝁䅍兡桂䝁䅷督流䙁䅕杢歂䝁䅕杣㍂䡁䅉兡あ䝁䅫杢湂䙁䄸䅖祂䝁䅕杢歂䕁䅅杢桂䝁䅷入穂䝁䅫督時䡁䅙免時䙁䅑睍畁䡁䅧䅢穂䝁䄰兘䝂䝁䅫杢桂䝁䄴睙灂䝁䅅䅢時䕁䅧兡湂䝁䅧䅢灂䝁䅣䅡あ䡁䅍睊桁䍁䅑兒歁䑁䅣䅏㙁䍁䅑兒歁䑁䅅䅍睁䅁䅁眱䅍䵁䅷䅁湁䙁䅳兔䩂䙁䄸兓佂䙁䅍睘呂䙁䅑兑啂䙁䄸䅔灂䝁䅙党時䕁䅙兡畂䝁䅅杢橂䝁䅫兙獂䡁䅍杊噂䝁䄴䅚求䡁䅉睤祂䝁䅫䅤灂䝁䄴睚時䙁䅑杣求䝁䄴䅚䉂䝁䄴兙獂䡁䅫督灂䡁䅍睘㉂䑁䅅睘啂䑁䅍杌㑂䝁䅷督瑂䙁䄰杒灂䝁䄴兙畂䝁䅍兡桂䝁䅷睘䥂䝁䅫睚潂䝁䅷兡湂䝁䅧䅤穂䍁䅣光歁䕁䅙䅊㍁䑁䅙杏歁䕁䅯䅊㍁䑁䅙䅁啄睁䅁䅺䅁䍁䅣睗乂䕁䅫睘䩂䕁䄴睕時䙁䅍䅖䉂䙁䅑睘䵂䝁䅫杚求䙁䄸杒灂䝁䄴兙畂䝁䅍兡桂䝁䅷督流䙁䅕杢歂䝁䅕杣㍂䡁䅉兡あ䝁䅫杢湂䙁䄸䅖祂䝁䅕杢歂䕁䅅杢桂䝁䅷入穂䝁䅫督時䡁䅙免時䙁䅑睍畁䡁䅧䅢穂䝁䄰兘䝂䝁䅫杢桂䝁䄴睙灂䝁䅅䅢時䕁䅧兡湂䝁䅧䅢灂䝁䅣䅡あ䡁䅍睊桁䍁䅑杒歁䑁䅣睎㙁䍁䅑杓歁䑁䅣睎䅁乁䑙䅁㑃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村歁䑁䅍兏䅁乁䑫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睑歁䑁䅑免㙁䍁䅑睑歁䑁䅙睍䅁乁䑳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兒歁䑁䅑免㙁䍁䅑兒歁䑁䅙睍䅁乁䐰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杒歁䑁䅍兏㙁䍁䅑杓歁䑁䅍兏䅁乁䑯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杒歁䑁䅑䅍㙁䍁䅑杓歁䑁䅑䅍䅁乁䑷䅁睃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穂䡁䅑杣ㅂ䝁䅍䅤灂䝁䄸杢穂䍁䅣光歁䙁䅣䅊㉁䑁䅙䅁偄睁䅁䅳䅁䍁䅣睗乂䕁䅫睘䩂䕁䄴睕時䙁䅍䅖䉂䙁䅑睘䵂䝁䅫杚求䙁䄸杒灂䝁䄴兙畂䝁䅍兡桂䝁䅷督流䙁䅕杢歂䝁䅕杣㍂䡁䅉兡あ䝁䅫杢湂䙁䄸䅖祂䝁䅕杢歂䕁䅅杢桂䝁䅷入穂䝁䅫督時䡁䅙免時䙁䅑睍畁䡁䅧䅢穂䝁䄰兘䩂䝁䄴督あ䡁䅉兤橂䡁䅑兡療䝁䄴督湁䍁䅅䅊塂䍁䅑李㕁䅁䅁䄰䅍䱁䄴䅁湁䙁䅳兔䩂䙁䄸兓佂䙁䅍睘呂䙁䅑兑啂䙁䄸䅔灂䝁䅙党時䕁䅙兡畂䝁䅅杢橂䝁䅫兙獂䡁䅍杊噂䝁䄴䅚求䡁䅉睤祂䝁䅫䅤灂䝁䄴睚時䙁䅑杣求䝁䄴䅚䉂䝁䄴兙獂䡁䅫督灂䡁䅍睘㉂䑁䅅睘啂䑁䅍杌㑂䝁䅷督瑂䙁䄰兓畂䡁䅍䅤祂䡁䅕睙あ䝁䅫睢畂䡁䅍睊桁䍁䅑䅗歁䑁䅙李㙁䍁䅑兑䉂䍁䅑李㉁䅁䅁儰䅍䱁䄴䅁湁䙁䅳兔䩂䙁䄸兓佂䙁䅍睘呂䙁䅑兑啂䙁䄸䅔灂䝁䅙党時䕁䅙兡畂䝁䅅杢橂䝁䅫兙獂䡁䅍杊噂䝁䄴䅚求䡁䅉睤祂䝁䅫䅤灂䝁䄴睚時䙁䅑杣求䝁䄴䅚䉂䝁䄴兙獂䡁䅫督灂䡁䅍睘㉂䑁䅅睘啂䑁䅍杌㑂䝁䅷督瑂䙁䄰兓畂䡁䅍䅤祂䡁䅕睙あ䝁䅫睢畂䡁䅍睊桁䍁䅑䅗歁䑁䅙睎㙁䍁䅑兑䉂䍁䅑李㍁䅁䅁朰䅍䱁䅯䅁湁䙁䅳兔䩂䙁䄸兓佂䙁䅍睘呂䙁䅑兑啂䙁䄸䅔灂䝁䅙党時䕁䅙兡畂䝁䅅杢橂䝁䅫兙獂䡁䅍杊噂䝁䄴䅚求䡁䅉睤祂䝁䅫䅤灂䝁䄴睚時䙁䅑杣求䝁䄴䅚䉂䝁䄴兙獂䡁䅫督灂䡁䅍睘㉂䑁䅅睘啂䑁䅍杌㑂䝁䅷督瑂䙁䄰杕求䡁䅍党祂䡁䅙党時䕁䅅杢桂䝁䅷入穂䝁䅫督湁䍁䅅䅊䍂䍁䅑免祁䑁䅑䅁潄睁䅁䅹䅁䍁䅣睗乂䕁䅫睘䩂䕁䄴睕時䙁䅍䅖䉂䙁䅑睘䵂䝁䅫杚求䙁䄸杒灂䝁䄴兙畂䝁䅍兡桂䝁䅷督流䙁䅕杢歂䝁䅕杣㍂䡁䅉兡あ䝁䅫杢湂䙁䄸䅖祂䝁䅕杢歂䕁䅅杢桂䝁䅷入穂䝁䅫督時䡁䅙免時䙁䅑睍畁䡁䅧䅢穂䝁䄰兘卂䝁䅕督求䡁䅉杤求䙁䄸兑畂䝁䅅䅢㕂䡁䅍兡穂䍁䅣光歁䕁䅍䅊硁䑁䅉李㙁䍁䅑睑歁䑁䅅兎ぁ䅁䅁朶䅍䵁䅧䅁湁䙁䅳兔䩂䙁䄸兓佂䙁䅍睘呂䙁䅑兑啂䙁䄸䅔灂䝁䅙党時䕁䅙兡畂䝁䅅杢橂䝁䅫兙獂䡁䅍杊噂䝁䄴䅚求䡁䅉睤祂䝁䅫䅤灂䝁䄴睚時䙁䅑杣求䝁䄴䅚䉂䝁䄴兙獂䡁䅫督灂䡁䅍睘㉂䑁䅅睘啂䑁䅍杌㑂䝁䅷督瑂䙁䄰杕求䡁䅍党祂䡁䅙党時䕁䅅杢桂䝁䅷入穂䝁䅫督湁䍁䅅䅊䙂䍁䅑免祁䑁䅙杏歁䕁䅕䅊硁䑁䅕䅎䅁佁䑷䅁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䅉党穂䝁䅕杣㉂䝁䅕睘䉂䝁䄴兙獂䡁䅫督灂䡁䅍睊桁䍁䅑杒歁䑁䅅杍ぁ䑁䅯䅊䭂䍁䅑免祁䑁䅑䅁灄睁䅁䅹䅁䍁䅣睗乂䕁䅫睘䩂䕁䄴睕時䙁䅍䅖䉂䙁䅑睘䵂䝁䅫杚求䙁䄸杒灂䝁䄴兙畂䝁䅍兡桂䝁䅷督流䙁䅕杢歂䝁䅕杣㍂䡁䅉兡あ䝁䅫杢湂䙁䄸䅖祂䝁䅕杢歂䕁䅅杢桂䝁䅷入穂䝁䅫督時䡁䅙免時䙁䅑睍畁䡁䅧䅢穂䝁䄰兘卂䝁䅕督求䡁䅉杤求䙁䄸兑畂䝁䅅䅢㕂䡁䅍兡穂䍁䅣光歁䕁䅙䅊硁䑁䅉兎㙁䍁䅑杓歁䑁䅅杍ㅁ䅁䅁眶䅍䵁䅑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村歁䑁䅍兏㑁䅁䅁眴䅍䵁䅉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村歁䑁䅣兎䅁乁䐴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䅍䅊ぁ䑁䅁免䅁佁䑕䅁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䅍䅊㍁䑁䅣杏歁䕁䅍䅊㕁䑁䅫䅁杄睁䅁杺䅁䍁䅣睗乂䕁䅫睘䩂䕁䄴睕時䙁䅍䅖䉂䙁䅑睘䵂䝁䅫杚求䙁䄸杒灂䝁䄴兙畂䝁䅍兡桂䝁䅷督流䙁䅕杢歂䝁䅕杣㍂䡁䅉兡あ䝁䅫杢湂䙁䄸䅖祂䝁䅕杢歂䕁䅅杢桂䝁䅷入穂䝁䅫督時䡁䅙免時䙁䅑睍畁䡁䅧䅢穂䝁䄰兘噂䝁䄴䅚求䡁䅉睤祂䝁䅫䅤灂䝁䄴睚時䕁䅅杢桂䝁䅷入穂䝁䅫督湁䍁䅅䅊䙂䍁䅑睎㍁䑁䅯䅊䙂䍁䅑兏㕁䅁䅁朴䅍乁䅉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杒歁䑁䅍兏㑁䑁䅯䅊䭂䍁䅑睍㕁䑁䅧䅁歄睁䅁朰䅁䍁䅣睗乂䕁䅫睘䩂䕁䄴睕時䙁䅍䅖䉂䙁䅑睘䵂䝁䅫杚求䙁䄸杒灂䝁䄴兙畂䝁䅍兡桂䝁䅷督流䙁䅕杢歂䝁䅕杣㍂䡁䅉兡あ䝁䅫杢湂䙁䄸䅖祂䝁䅕杢歂䕁䅅杢桂䝁䅷入穂䝁䅫督時䡁䅙免時䙁䅑睍畁䡁䅧䅢穂䝁䄰兘噂䝁䄴䅚求䡁䅉睤祂䝁䅫䅤灂䝁䄴睚時䕁䅅杢桂䝁䅷入穂䝁䅫督湁䍁䅅䅊䝂䍁䅑睍㕁䑁䅫杏歁䕁䅯䅊穁䑁䅫兏䅁佁䑙䅁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䅙䅊ぁ䑁䅁䅍㙁䍁䅑杓歁䑁䅑䅍睁䅁䅁眵䅍䵁䄴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杒歁䑁䅣兎㙁䍁䅑杓歁䑁䅣兎䅁乁䐸䅁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䅙䅊㍁䑁䅙杏歁䕁䅯䅊㍁䑁䅙䅁桄睁䅁杲䅁䍁䅣睗乂䕁䅫睘䩂䕁䄴睕時䙁䅍䅖䉂䙁䅑睘䵂䝁䅫杚求䙁䄸杒灂䝁䄴兙畂䝁䅍兡桂䝁䅷督敂䑁䅁兖畂䝁䅑党祂䡁䅣杣灂䡁䅑兡畂䝁䅣䅖祂䝁䅕杢歂䕁䅅杢桂䝁䅷入穂䝁䅫督時䑁䅉䅍祁䑁䅅杌㑂䝁䅷督瑂䙁䄰村桂䝁䅷兙畂䝁䅍党時䙁䅍䅡求䝁䅕䅤湁䍁䅅䅊䍂䍁䅑李䅁䅁䝕䅁㡃䅁䅁睊扂䕁䄰兓時䕁䅫杔呂䙁䄸睕啂䕁䅅䅖時䕁䅷兡浂䝁䅕睘䝂䝁䅫杢桂䝁䄴睙灂䝁䅅䅢穂䙁䄴䅍噂䝁䄴䅚求䡁䅉睤祂䝁䅫䅤灂䝁䄴睚啂䡁䅉党畂䝁䅑兑畂䝁䅅䅢㕂䡁䅍兡穂䙁䄸杍睁䑁䅉免畁䡁䅧䅢穂䝁䄰兘䍂䝁䅅䅢桂䝁䄴睙求䙁䄸睕潂䝁䅕党あ䍁䅣光歁䕁䅍䅊硁䑁䅁杏歁䕁䅍䅊㍁䑁䅁䅁䡁杂䅁䅵䅁䍁䅣睗乂䕁䅫睘䩂䕁䄴睕時䙁䅍䅖䉂䙁䅑睘䵂䝁䅫杚求䙁䄸杒灂䝁䄴兙畂䝁䅍兡桂䝁䅷督敂䑁䅁兖畂䝁䅑党祂䡁䅣杣灂䡁䅑兡畂䝁䅣䅖祂䝁䅕杢歂䕁䅅杢桂䝁䅷入穂䝁䅫督時䑁䅉䅍祁䑁䅅杌㑂䝁䅷督瑂䙁䄰村桂䝁䅷兙畂䝁䅍党時䙁䅍䅡求䝁䅕䅤湁䍁䅅䅊䕂䍁䅑李㙁䍁䅑䅓歁䑁䅙䅁䝁杂䅁䅵䅁䍁䅣睗乂䕁䅫睘䩂䕁䄴睕時䙁䅍䅖䉂䙁䅑睘䵂䝁䅫杚求䙁䄸杒灂䝁䄴兙畂䝁䅍兡桂䝁䅷督敂䑁䅁兖畂䝁䅑党祂䡁䅣杣灂䡁䅑兡畂䝁䅣䅖祂䝁䅕杢歂䕁䅅杢桂䝁䅷入穂䝁䅫督時䑁䅉䅍祁䑁䅅杌㑂䝁䅷督瑂䙁䄰村桂䝁䅷兙畂䝁䅍党時䙁䅍䅡求䝁䅕䅤湁䍁䅅䅊䕂䍁䅑睎㙁䍁䅑䅓歁䑁䅣䅁䥁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睑桂䡁䅁兡あ䝁䅅䅢時䕁䅅䅚求䡁䅅兤桂䝁䅍入湁䍁䅅䅊䍂䍁䅑李䅁䉁䜰䅁䍄䅁䅁睊扂䕁䄰兓時䕁䅫杔呂䙁䄸睕啂䕁䅅䅖時䕁䅷兡浂䝁䅕睘䝂䝁䅫杢桂䝁䄴睙灂䝁䅅䅢穂䙁䄴䅍噂䝁䄴䅚求䡁䅉睤祂䝁䅫䅤灂䝁䄴睚啂䡁䅉党畂䝁䅑兑畂䝁䅅䅢㕂䡁䅍兡穂䙁䄸杍睁䑁䅉免畁䡁䅧䅢穂䝁䄰兘䑂䝁䅅䅣灂䡁䅑兙獂䙁䄸兑歂䝁䅕兣ㅂ䝁䅅睙㕂䍁䅣光歁䕁䅍䅊硁䑁䅁杏歁䕁䅍䅊㉁䑁䅙䅁晁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睑桂䡁䅁兡あ䝁䅅䅢時䕁䅅䅚求䡁䅅兤桂䝁䅍入湁䍁䅅䅊䕂䍁䅑李㙁䍁䅑䅓歁䑁䅙䅁敁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睑桂䡁䅁兡あ䝁䅅䅢時䕁䅅䅚求䡁䅅兤桂䝁䅍入湁䍁䅅䅊䕂䍁䅑睎㙁䍁䅑䅓歁䑁䅣䅁杁杂䅁䅶䅁䍁䅣睗乂䕁䅫睘䩂䕁䄴睕時䙁䅍䅖䉂䙁䅑睘䵂䝁䅫杚求䙁䄸杒灂䝁䄴兙畂䝁䅍兡桂䝁䅷督敂䑁䅁兖畂䝁䅑党祂䡁䅣杣灂䡁䅑兡畂䝁䅣䅖祂䝁䅕杢歂䕁䅅杢桂䝁䅷入穂䝁䅫督時䑁䅉䅍祁䑁䅅杌㑂䝁䅷督瑂䙁䄰杒灂䝁䄴兙畂䝁䅍兡桂䝁䅷睘䥂䝁䅫睚潂䝁䅷兡湂䝁䅧䅤穂䍁䅣光歁䕁䅉䅊㉁䅁䅁儯䅕䵁䅷䅁湁䙁䅳兔䩂䙁䄸兓佂䙁䅍睘呂䙁䅑兑啂䙁䄸䅔灂䝁䅙党時䕁䅙兡畂䝁䅅杢橂䝁䅫兙獂䡁䅍杘睁䙁䅕杢歂䝁䅕杣㍂䡁䅉兡あ䝁䅫杢湂䙁䅑杣求䝁䄴䅚䉂䝁䄴兙獂䡁䅫督灂䡁䅍睘祁䑁䅁杍硁䍁䄴䅥獂䡁䅍兢摂䕁䅙兡畂䝁䅅杢橂䝁䅫兙獂䙁䄸䅓灂䝁䅣䅡獂䝁䅫睚潂䡁䅑督湁䍁䅅䅊䑂䍁䅑免睁䑁䅯䅊䑂䍁䅑免ㅁ䑁䅍䅁⽄兂䅁杸䅁䍁䅣睗乂䕁䅫睘䩂䕁䄴睕時䙁䅍䅖䉂䙁䅑睘䵂䝁䅫杚求䙁䄸杒灂䝁䄴兙畂䝁䅍兡桂䝁䅷督敂䑁䅁兖畂䝁䅑党祂䡁䅣杣灂䡁䅑兡畂䝁䅣䅖祂䝁䅕杢歂䕁䅅杢桂䝁䅷入穂䝁䅫督時䑁䅉䅍祁䑁䅅杌㑂䝁䅷督瑂䙁䄰杒灂䝁䄴兙畂䝁䅍兡桂䝁䅷睘䥂䝁䅫睚潂䝁䅷兡湂䝁䅧䅤穂䍁䅣光歁䕁䅑䅊㉁䑁䅯䅊䥂䍁䅑李䅁偁䘴䅁䝄䅁䅁睊扂䕁䄰兓時䕁䅫杔呂䙁䄸睕啂䕁䅅䅖時䕁䅷兡浂䝁䅕睘䝂䝁䅫杢桂䝁䄴睙灂䝁䅅䅢穂䙁䄴䅍噂䝁䄴䅚求䡁䅉睤祂䝁䅫䅤灂䝁䄴睚啂䡁䅉党畂䝁䅑兑畂䝁䅅䅢㕂䡁䅍兡穂䙁䄸杍睁䑁䅉免畁䡁䅧䅢穂䝁䄰兘䝂䝁䅫杢桂䝁䄴睙灂䝁䅅䅢時䕁䅧兡湂䝁䅧䅢灂䝁䅣䅡あ䡁䅍睊桁䍁䅑䅒歁䑁䅣杏歁䕁䅧䅊㍁䅁䅁䅁䅙䵁䅁䅁湁䙁䅳兔䩂䙁䄸兓佂䙁䅍睘呂䙁䅑兑啂䙁䄸䅔灂䝁䅙党時䕁䅙兡畂䝁䅅杢橂䝁䅫兙獂䡁䅍杘睁䙁䅕杢歂䝁䅕杣㍂䡁䅉兡あ䝁䅫杢湂䙁䅑杣求䝁䄴䅚䉂䝁䄴兙獂䡁䅫督灂䡁䅍睘祁䑁䅁杍硁䍁䄴䅥獂䡁䅍兢摂䕁䅙兡畂䝁䅅杢橂䝁䅫兙獂䙁䄸䅓灂䝁䅣䅡獂䝁䅫睚潂䡁䅑督湁䍁䅅䅊佂䍁䅑免㉁䑁䅉䅁䉁杂䅁杺䅁䍁䅣睗乂䕁䅫睘䩂䕁䄴睕時䙁䅍䅖䉂䙁䅑睘䵂䝁䅫杚求䙁䄸杒灂䝁䄴兙畂䝁䅍兡桂䝁䅷督敂䑁䅁兖畂䝁䅑党祂䡁䅣杣灂䡁䅑兡畂䝁䅣䅖祂䝁䅕杢歂䕁䅅杢桂䝁䅷入穂䝁䅫督時䑁䅉䅍祁䑁䅅杌㑂䝁䅷督瑂䙁䄰杒灂䝁䄴兙畂䝁䅍兡桂䝁䅷睘䥂䝁䅫睚潂䝁䅷兡湂䝁䅧䅤穂䍁䅣光歁䕁䄸䅊硁䑁䅙䅎㙁䍁䅑睔歁䑁䅉睎ぁ䅁䅁睁䅙䵁䄴䅁湁䙁䅳兔䩂䙁䄸兓佂䙁䅍睘呂䙁䅑兑啂䙁䄸䅔灂䝁䅙党時䕁䅙兡畂䝁䅅杢橂䝁䅫兙獂䡁䅍杘睁䙁䅕杢歂䝁䅕杣㍂䡁䅉兡あ䝁䅫杢湂䙁䅑杣求䝁䄴䅚䉂䝁䄴兙獂䡁䅫督灂䡁䅍睘祁䑁䅁杍硁䍁䄴䅥獂䡁䅍兢摂䕁䅙兡畂䝁䅅杢橂䝁䅫兙獂䙁䄸䅓灂䝁䅣䅡獂䝁䅫睚潂䡁䅑督湁䍁䅅䅊兂䍁䅑免㉁䑁䅑杏歁䙁䅁䅊祁䑁䅣䅎䅁䅁䝑䅁䅄䅁䅁睊扂䕁䄰兓時䕁䅫杔呂䙁䄸睕啂䕁䅅䅖時䕁䅷兡浂䝁䅕睘䝂䝁䅫杢桂䝁䄴睙灂䝁䅅䅢穂䙁䄴䅍噂䝁䄴䅚求䡁䅉睤祂䝁䅫䅤灂䝁䄴睚啂䡁䅉党畂䝁䅑兑畂䝁䅅䅢㕂䡁䅍兡穂䙁䄸杍睁䑁䅉免畁䡁䅧䅢穂䝁䄰兘䝂䝁䅫杢桂䝁䄴睙灂䝁䅅䅢時䕁䅧兡湂䝁䅧䅢灂䝁䅣䅡あ䡁䅍睊桁䍁䅑睕歁䑁䅅李祁䅁䅁杁䅙䱁䅙䅁湁䙁䅳兔䩂䙁䄸兓佂䙁䅍睘呂䙁䅑兑啂䙁䄸䅔灂䝁䅙党時䕁䅙兡畂䝁䅅杢橂䝁䅫兙獂䡁䅍杘睁䙁䅕杢歂䝁䅕杣㍂䡁䅉兡あ䝁䅫杢湂䙁䅑杣求䝁䄴䅚䉂䝁䄴兙獂䡁䅫督灂䡁䅍睘祁䑁䅁杍硁䍁䄴䅥獂䡁䅍兢摂䕁䅫杢時䕁䅙睢祂䝁䅍党時䝁䅅杢歂䙁䄸睕灂䡁䅯党湁䍁䅅䅊䍂䍁䅑李䅁䍁䜴䅁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睘䝂䝁䄸杣橂䝁䅕睘桂䝁䄴䅚時䙁䅍兡㙂䝁䅕睊桁䍁䅑睑歁䑁䅅䅍㙁䍁䅑睑歁䑁䅑李䅁䑁䝁䅁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睘䝂䝁䄸杣橂䝁䅕睘桂䝁䄴䅚時䙁䅍兡㙂䝁䅕睊桁䍁䅑䅒歁䑁䅙杏歁䕁䅧䅊㉁䅁䅁睌䅙䵁䅁䅁湁䙁䅳兔䩂䙁䄸兓佂䙁䅍睘呂䙁䅑兑啂䙁䄸䅔灂䝁䅙党時䕁䅙兡畂䝁䅅杢橂䝁䅫兙獂䡁䅍杘睁䙁䅕杢歂䝁䅕杣㍂䡁䅉兡あ䝁䅫杢湂䙁䅑杣求䝁䄴䅚䉂䝁䄴兙獂䡁䅫督灂䡁䅍睘祁䑁䅁杍硁䍁䄴䅥獂䡁䅍兢摂䕁䅫杢時䕁䅙睢祂䝁䅍党時䝁䅅杢歂䙁䄸睕灂䡁䅯党湁䍁䅅䅊䕂䍁䅑睎㙁䍁䅑䅓歁䑁䅣䅁硁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䝁䅍睢瑂䝁䅕睘呂䡁䅑兙あ䝁䅕兢求䝁䄴䅤湁䍁䅅䅊䍂䍁䅑李䅁䅁䝫䅁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䅍䅊硁䑁䅁杏歁䕁䅍䅊祁䑁䅫睍䅁䅁䝳䅁⭃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䅑䅊㉁䑁䅯䅊䥂䍁䅑李䅁䅁䝯䅁⭃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䅑䅊㍁䑁䅯䅊䥂䍁䅑睎䅁䅁䝷䅁㑃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䄸䅊穁䑁䅁䅍䅁䅁䜰䅁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䙁䅁䅊穁䑁䅁杍㙁䍁䅑䅕歁䑁䅅䅍祁䑁䅧䅁偁杂䅁䅹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䝁䅍睢瑂䝁䅕睘呂䡁䅑兙あ䝁䅕兢求䝁䄴䅤湁䍁䅅䅊剂䍁䅑睍睁䑁䅉杏歁䙁䅅䅊硁䑁䅁杍㑁䅁䅁䅅䅙䱁䅧䅁湁䙁䅳兔䩂䙁䄸兓佂䙁䅍睘呂䙁䅑兑啂䙁䄸䅔灂䝁䅙党時䕁䅙兡畂䝁䅅杢橂䝁䅫兙獂䡁䅍杘睁䙁䅕杢歂䝁䅕杣㍂䡁䅉兡あ䝁䅫杢湂䙁䅑杣求䝁䄴䅚䉂䝁䄴兙獂䡁䅫督灂䡁䅍睘祁䑁䅁杍硁䍁䄴䅥獂䡁䅍兢摂䕁䅫杢橂䝁䄸兢求䙁䄸睕あ䝁䅅䅤求䝁䄰党畂䡁䅑睊桁䍁䅑䅖歁䑁䅍䅍睁䅁䅁杄䅙䱁䅯䅁湁䙁䅳兔䩂䙁䄸兓佂䙁䅍睘呂䙁䅑兑啂䙁䄸䅔灂䝁䅙党時䕁䅙兡畂䝁䅅杢橂䝁䅫兙獂䡁䅍杘睁䙁䅕杢歂䝁䅕杣㍂䡁䅉兡あ䝁䅫杢湂䙁䅑杣求䝁䄴䅚䉂䝁䄴兙獂䡁䅫督灂䡁䅍睘祁䑁䅁杍硁䍁䄴䅥獂䡁䅍兢摂䕁䅫杢㉂䝁䅕督あ䝁䄰党畂䡁䅑睘䉂䝁䄴兙獂䡁䅫督灂䡁䅍睊桁䍁䅑村歁䑁䅙䅁婁杂䅁杹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䡁䅙党穂䡁䅑兢求䝁䄴䅤時䕁䅅杢桂䝁䅷入穂䝁䅫督湁䍁䅅䅊䑂䍁䅑免睁䑁䅯䅊䑂䍁䅑免硁䑁䅍䅁扁杂䅁䅸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䡁䅙党穂䡁䅑兢求䝁䄴䅤時䕁䅅杢桂䝁䅷入穂䝁䅫督湁䍁䅅䅊䕂䍁䅑李㙁䍁䅑䅓歁䑁䅙䅁慁杂䅁䅸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䡁䅙党穂䡁䅑兢求䝁䄴䅤時䕁䅅杢桂䝁䅷入穂䝁䅫督湁䍁䅅䅊䕂䍁䅑睎㙁䍁䅑䅓歁䑁䅣䅁捁杂䅁杲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䍂䍁䅑兎䅁䑁䝙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䕁䅍䅊硁䑁䅅杏歁䕁䅍䅊硁䑁䅍䅎硁䅁䅁䅏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䅒歁䑁䅕杏歁䕁䄴䅊ㅁ䅁䅁睎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䅒歁䑁䅙杏歁䕁䄴䅊㉁䅁䅁兏䅙䱁䅑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䅅䅍㍁䑁䅑䅁慂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噂䍁䅑免硁䑁䅕䅍䅁䙁䝉䅁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䅕䅊硁䑁䅉睍ㅁ䅁䅁杘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䅉䅏㕁䅁䅁村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䅍兏穁䅁䅁杓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䅑免㕁䅁䅁杏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䅑兎㑁䅁䅁材䅙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䅣兎䅁䕁䝙䅁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䅕䅊㍁䑁䅕䅎䅁䕁䜴䅁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䅕䅊㑁䑁䅅睎䅁䙁䝙䅁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硁䑁䅁睎㉁䑁䅯䅊坂䍁䅑免硁䑁䅍䅏䅁䙁䝷䅁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硁䑁䅅兎祁䑁䅯䅊坂䍁䅑免祁䑁䅁免䅁䙁䝑䅁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硁䑁䅉睍㑁䅁䅁䅙䅙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杖歁䑁䅉兏硁䑁䅯䅊坂䍁䅑睍㍁䑁䅫䅁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坂䍁䅑睍㕁䑁䅕杏歁䙁䅙䅊ぁ䑁䅁兎䅁䕁䝷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ぁ䑁䅉免㙁䍁䅑杖歁䑁䅑䅎ぁ䅁䅁䅐䅙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杖歁䑁䅑李睁䑁䅯䅊坂䍁䅑䅎㍁䑁䅁䅁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坂䍁䅑睎ㅁ䑁䅙杏歁䙁䅙䅊㍁䑁䅙李䅁䙁䝁䅁⭃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䑁䅣杏歁䙁䅙䅊硁䑁䅁䅍䅁䕁䝧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㑁䑁䅅兏㙁䍁䅑杖歁䑁䅧䅎祁䅁䅁䅗䅙䵁䅑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䅅䅍㍁䑁䅙杏歁䙁䅣䅊硁䑁䅅睍㑁䅁䅁兘䅙䵁䅑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䅅免ㅁ䑁䅉杏歁䙁䅣䅊硁䑁䅉䅍硁䅁䅁兖䅙䵁䅙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䅅杍穁䑁䅕杏歁䕁䅅睒歁䑁䅅杍穁䑁䅕䅁時杂䅁杸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免祁䑁䅍李㙁䍁䅑兑䡂䍁䅑免祁䑁䅍李䅁䝁䝅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䅣䅊祁䑁䅫免㙁䍁䅑睖歁䑁䅍睎㕁䅁䅁兒䅙䵁䅁䅁湁䙁䅳兔䩂䙁䄸兓佂䙁䅍睘呂䙁䅑兑啂䙁䄸䅔灂䝁䅙党時䕁䅙兡畂䝁䅅杢橂䝁䅫兙獂䡁䅍杘睁䙁䅕杢歂䝁䅕杣㍂䡁䅉兡あ䝁䅫</t>
  </si>
  <si>
    <t>杢湂䙁䅑杣求䝁䄴䅚䉂䝁䄴兙獂䡁䅫督灂䡁䅍睘祁䑁䅁杍硁䍁䄴䅥獂䡁䅍兢摂䙁䅁党求䡁䅉睘䉂䝁䄴兙獂䡁䅫督灂䡁䅍睊桁䍁䅑睖歁䑁䅍兏ㅁ䑁䅯䅊塂䍁䅑䅎睁䑁䅕䅁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䅎祁䑁䅅杏歁䙁䅣䅊ぁ䑁䅑䅎䅁䑁䜰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䅣䅊ぁ䑁䅙䅍㙁䍁䅑睖歁䑁䅑睎睁䅁䅁兑䅙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䅣兎㉁䑁䅯䅊塂䍁䅑睎㉁䑁䅙䅁剂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睎㍁䑁䅯䅊塂䍁䅑免睁䑁䅁䅁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䅏硁䑁䅫杏歁䙁䅣䅊㑁䑁䅑杍䅁䙁䝫䅁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硁䑁䅁睎ぁ䑁䅯䅊䉂䕁䅫䅊硁䑁䅁睎ぁ䅁䅁睗䅙䵁䅙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兗歁䑁䅅免ㅁ䑁䅁杏歁䕁䅅兓歁䑁䅅免ㅁ䑁䅁䅁呂杂䅁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婂䍁䅑杍㑁䑁䅫杏歁䕁䅅兓歁䑁䅉䅏㕁䅁䅁睑䅙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兗歁䑁䅍兏穁䑁䅯䅊䉂䕁䅫䅊穁䑁䅫睍䅁䕁䝳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ぁ䑁䅅兏㙁䍁䅑兑䩂䍁䅑䅎硁䑁䅫䅁㝁杂䅁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婂䍁䅑䅎ㅁ䑁䅧杏歁䕁䅅兓歁䑁䅑兎㑁䅁䅁睐䅙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兗歁䑁䅣兎ぁ䑁䅯䅊䉂䕁䅫䅊㍁䑁䅕䅎䅁䕁䜸䅁⭃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䑁䅕杏歁䕁䅅兓歁䑁䅣兎䅁䕁䝣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㑁䑁䅅睎㙁䍁䅑兑䩂䍁䅑䅏硁䑁䅣䅁塂杂䅁東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䝁䅫杢穂䡁䅕杣桂䝁䄴睙求䍁䅣光歁䕁䅉䅊㉁䅁䅁杍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䅉党灂䝁䄴督ㅂ䡁䅉兙畂䝁䅍党湁䍁䅅䅊䑂䍁䅑免睁䑁䅯䅊䑂䍁䅑李㉁䅁䅁䅎䅙䱁䅑䅁湁䙁䅳兔䩂䙁䄸兓佂䙁䅍睘呂䙁䅑兑啂䙁䄸䅔灂䝁䅙党時䕁䅙兡畂䝁䅅杢橂䝁䅫兙獂䡁䅍杘睁䙁䅕杢歂䝁䅕杣㍂䡁䅉兡あ䝁䅫杢湂䙁䅑杣求䝁䄴䅚䉂䝁䄴兙獂䡁䅫督灂䡁䅍睘祁䑁䅁杍硁䍁䄴䅥獂䡁䅍兢摂䙁䅉党灂䝁䄴督ㅂ䡁䅉兙畂䝁䅍党湁䍁䅅䅊䕂䍁䅑李㙁䍁䅑䅓歁䑁䅙䅁穁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䝁䅫杢穂䡁䅕杣桂䝁䄴睙求䍁䅣光歁䕁䅑䅊㍁䑁䅯䅊䥂䍁䅑睎䅁䑁䝕䅁㑃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䕁䅉䅊祁䑁䅁䅎䅁䍁䝕䅁ぃ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䕁䅉䅊㉁䅁䅁光䅙䵁䅑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睑歁䑁䅅䅍㙁䍁䅑睑歁䑁䅉䅍硁䅁䅁睉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睑歁䑁䅉䅍㍁䅁䅁睊䅙䵁䅙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䅒歁䑁䅉䅍ぁ䑁䅯䅊䥂䍁䅑杍睁䑁䅑䅁流杂䅁杸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䡁䅍党祂䡁䅙党時䕁䅅杢桂䝁䅷入穂䝁䅫督湁䍁䅅䅊䕂䍁䅑杍睁䑁䅕杏歁䕁䅧䅊祁䑁䅁兎䅁䍁䝧䅁䝄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䕁䅑䅊祁䑁䅁李㙁䍁䅑䅓歁䑁䅉䅍㉁䅁䅁克䅙䱁䄴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䅒歁䑁䅙杏歁䕁䅧䅊㉁䅁䅁杉䅙䱁䄴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䅒歁䑁䅣杏歁䕁䅧䅊㍁䅁䅁䅊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杔歁䑁䅉䅍ぁ䅁䅁杋䅙䵁䅉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睔歁䑁䅧杏歁䕁䄸䅊㉁䑁䅧䅍䅁䍁䝷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䙁䅁䅊㑁䑁䅯䅊兂䍁䅑李㑁䑁䅁䅁瑁杂䅁䅵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䡁䅍党祂䡁䅙党時䕁䅅杢桂䝁䅷入穂䝁䅫督湁䍁䅅䅊呂䍁䅑杍睁䑁䅑䅁牁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村歁䑁䅙䅁剁杂䅁杺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睑歁䑁䅅䅍㙁䍁䅑睑歁䑁䅑䅍ぁ䅁䅁睅䅙䵁䅧䅁湁䙁䅳兔䩂䙁䄸兓佂䙁䅍睘呂䙁䅑兑啂䙁䄸䅔灂䝁䅙党時䕁䅙兡畂䝁䅅杢橂䝁䅫兙獂䡁䅍杘睁䙁䅕杢歂䝁䅕杣㍂䡁䅉兡あ䝁䅫杢湂䙁䅑杣求䝁䄴䅚䉂䝁䄴兙獂䡁䅫督灂䡁䅍睘祁䑁䅁杍硁䍁䄴䅥獂䡁䅍兢摂䙁䅕杢歂䝁䅕杣㍂䡁䅉兡あ䝁䅫杢湂䙁䄸兑畂䝁䅅䅢㕂䡁䅍兡穂䍁䅣光歁䕁䅑䅊㉁䑁䅯䅊䥂䍁䅑李䅁䉁䝉䅁䥄䅁䅁睊扂䕁䄰兓時䕁䅫杔呂䙁䄸睕啂䕁䅅䅖時䕁䅷兡浂䝁䅕睘䝂䝁䅫杢桂䝁䄴睙灂䝁䅅䅢穂䙁䄴䅍噂䝁䄴䅚求䡁䅉睤祂䝁䅫䅤灂䝁䄴睚啂䡁䅉党畂䝁䅑兑畂䝁䅅䅢㕂䡁䅍兡穂䙁䄸杍睁䑁䅉免畁䡁䅧䅢穂䝁䄰兘噂䝁䄴䅚求䡁䅉睤祂䝁䅫䅤灂䝁䄴睚時䕁䅅杢桂䝁䅷入穂䝁䅫督湁䍁䅅䅊䕂䍁䅑睎㙁䍁䅑䅓歁䑁䅣䅁啁杂䅁杷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杔歁䑁䅑䅍㍁䅁䅁兆䅙乁䅉䅁湁䙁䅳兔䩂䙁䄸兓佂䙁䅍睘呂䙁䅑兑啂䙁䄸䅔灂䝁䅙党時䕁䅙兡畂䝁䅅杢橂䝁䅫兙獂䡁䅍杘睁䙁䅕杢歂䝁䅕杣㍂䡁䅉兡あ䝁䅫杢湂䙁䅑杣求䝁䄴䅚䉂䝁䄴兙獂䡁䅫督灂䡁䅍睘祁䑁䅁杍硁䍁䄴䅥獂䡁䅍兢摂䙁䅕杢歂䝁䅕杣㍂䡁䅉兡あ䝁䅫杢湂䙁䄸兑畂䝁䅅䅢㕂䡁䅍兡穂䍁䅣光歁䕁䄸䅊ぁ䑁䅁兏㙁䍁䅑睔歁䑁䅅䅍㍁䑁䅫䅁塁杂䅁朰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䅕歁䑁䅑䅍㕁䑁䅯䅊兂䍁䅑免睁䑁䅣兏䅁䉁䝧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噂䝁䄴䅚求䡁䅉睤祂䝁䅫䅤灂䝁䄴睚時䕁䅅杢桂䝁䅷入穂䝁䅫督湁䍁䅅䅊呂䍁䅑䅎睁䑁䅣䅁坁杂䅁杩䅁䍁䅣睗乂䕁䅫睘䩂䕁䄴睕時䙁䅍䅖䉂䙁䅑睘䵂䝁䅫杚求䙁䄸杒灂䝁䄴兙畂䝁䅍兡桂䝁䅷督時䡁䅙免杁䍁䅧免灁䍁䄴䅥獂䡁䅍兢摂䕁䅙兡畂䝁䅅杢橂䝁䅫兙獂䙁䄸䅓灂䝁䅣䅡獂䝁䅫睚潂䡁䅑督湁䍁䅅䅊䍂䍁䅑李䅁䵁䉕䅁䵃䅁䅁睊扂䕁䄰兓時䕁䅫杔呂䙁䄸睕啂䕁䅅䅖時䕁䅷兡浂䝁䅕睘䝂䝁䅫杢桂䝁䄴睙灂䝁䅅䅢穂䙁䄸杤硁䍁䅁䅋硁䍁䅫杌㑂䝁䅷督瑂䙁䄰杒灂䝁䄴兙畂䝁䅍兡桂䝁䅷睘䥂䝁䅫睚潂䝁䅷兡湂䝁䅧䅤穂䍁䅣光歁䕁䅉䅊㍁䑁䅙䅁䭄允䅁杭䅁䍁䅣睗乂䕁䅫睘䩂䕁䄴睕時䙁䅍䅖䉂䙁䅑睘䵂䝁䅫杚求䙁䄸杒灂䝁䄴兙畂䝁䅍兡桂䝁䅷督時䡁䅙免杁䍁䅧免灁䍁䄴䅥獂䡁䅍兢摂䕁䅙兡畂䝁䅅杢橂䝁䅫兙獂䙁䄸䅓灂䝁䅣䅡獂䝁䅫睚潂䡁䅑督湁䍁䅅䅊䑂䍁䅑免睁䑁䅯䅊䑂䍁䅑免ㅁ䑁䅍䅁䡄允䅁杭䅁䍁䅣睗乂䕁䅫睘䩂䕁䄴睕時䙁䅍䅖䉂䙁䅑睘䵂䝁䅫杚求䙁䄸杒灂䝁䄴兙畂䝁䅍兡桂䝁䅷督時䡁䅙免杁䍁䅧免灁䍁䄴䅥獂䡁䅍兢摂䕁䅙兡畂䝁䅅杢橂䝁䅫兙獂䙁䄸䅓灂䝁䅣䅡獂䝁䅫睚潂䡁䅑督湁䍁䅅䅊䑂䍁䅑睎㑁䑁䅯䅊䑂䍁䅑免睁䑁䅁䅁䵄允䅁杭䅁䍁䅣睗乂䕁䅫睘䩂䕁䄴睕時䙁䅍䅖䉂䙁䅑睘䵂䝁䅫杚求䙁䄸杒灂䝁䄴兙畂䝁䅍兡桂䝁䅷督時䡁䅙免杁䍁䅧免灁䍁䄴䅥獂䡁䅍兢摂䕁䅙兡畂䝁䅅杢橂䝁䅫兙獂䙁䄸䅓灂䝁䅣䅡獂䝁䅫睚潂䡁䅑督湁䍁䅅䅊䙂䍁䅑免睁䑁䅯䅊䙂䍁䅑免ㅁ䑁䅍䅁䩄允䅁杭䅁䍁䅣睗乂䕁䅫睘䩂䕁䄴睕時䙁䅍䅖䉂䙁䅑睘䵂䝁䅫杚求䙁䄸杒灂䝁䄴兙畂䝁䅍兡桂䝁䅷督時䡁䅙免杁䍁䅧免灁䍁䄴䅥獂䡁䅍兢摂䕁䅙兡畂䝁䅅杢橂䝁䅫兙獂䙁䄸䅓灂䝁䅣䅡獂䝁䅫睚潂䡁䅑督湁䍁䅅䅊䙂䍁䅑睎㑁䑁䅯䅊䙂䍁䅑免睁䑁䅁䅁佄允䅁䅬䅁䍁䅣睗乂䕁䅫睘䩂䕁䄴睕時䙁䅍䅖䉂䙁䅑睘䵂䝁䅫杚求䙁䄸杒灂䝁䄴兙畂䝁䅍兡桂䝁䅷督時䡁䅙免杁䍁䅧免灁䍁䄴䅥獂䡁䅍兢摂䕁䅙兡畂䝁䅅杢橂䝁䅫兙獂䙁䄸䅓灂䝁䅣䅡獂䝁䅫睚潂䡁䅑督湁䍁䅅䅊䝂䍁䅑李㙁䍁䅑杓歁䑁䅙䅁䝄允䅁䅭䅁䍁䅣睗乂䕁䅫睘䩂䕁䄴睕時䙁䅍䅖䉂䙁䅑睘䵂䝁䅫杚求䙁䄸杒灂䝁䄴兙畂䝁䅍兡桂䝁䅷督時䡁䅙免杁䍁䅧免灁䍁䄴䅥獂䡁䅍兢摂䕁䅙兡畂䝁䅅杢橂䝁䅫兙獂䙁䄸䅓灂䝁䅣䅡獂䝁䅫睚潂䡁䅑督湁䍁䅅䅊䝂䍁䅑睎㉁䑁䅯䅊䭂䍁䅑睎㉁䅁䅁睹䅅䩁䅧䅁湁䙁䅳兔䩂䙁䄸兓佂䙁䅍睘呂䙁䅑兑啂䙁䄸䅔灂䝁䅙党時䕁䅙兡畂䝁䅅杢橂䝁䅫兙獂䡁䅍睘㉂䑁䅅䅉潁䑁䅅克畁䡁䅧䅢穂䝁䄰兘䝂䝁䅫杢桂䝁䄴睙灂䝁䅅䅢時䕁䅧兡湂䝁䅧䅢灂䝁䅣䅡あ䡁䅍睊桁䍁䅑杒歁䑁䅣睎㙁䍁䅑杓歁䑁䅣睎䅁䵁䈰䅁啃䅁䅁睊扂䕁䄰兓時䕁䅫杔呂䙁䄸睕啂䕁䅅䅖時䕁䅷兡浂䝁䅕睘䝂䝁䅫杢桂䝁䄴睙灂䝁䅅䅢穂䙁䄸杤硁䍁䅁䅋硁䍁䅫杌㑂䝁䅷督瑂䙁䄰杒灂䝁䄴兙畂䝁䅍兡桂䝁䅷睘䥂䝁䅫睚潂䝁䅷兡湂䝁䅧䅤穂䍁䅣光歁䕁䅙䅊㍁䑁䅯䅊䭂䍁䅑睎䅁䵁䉧䅁坃䅁䅁睊扂䕁䄰兓時䕁䅫杔呂䙁䄸睕啂䕁䅅䅖時䕁䅷兡浂䝁䅕睘䝂䝁䅫杢桂䝁䄴睙灂䝁䅅䅢穂䙁䄸杤硁䙁䄸杒求䝁䅕党歂䝁䅉兙橂䝁䅳䅉潁䑁䅁䅍穁䍁䅫杌㑂䝁䅷督瑂䙁䄰兓畂䡁䅍䅤祂䡁䅕睙あ䝁䅫睢畂䡁䅍睊桁䍁䅑兑䉂䍁䅑睎ぁ䅁䅁䄱䅅䩁䅑䅁湁䙁䅳兔䩂䙁䄸兓佂䙁䅍睘呂䙁䅑兑啂䙁䄸䅔灂䝁䅙党時䕁䅙兡畂䝁䅅杢橂䝁䅫兙獂䡁䅍睘㉂䑁䅅睘䝂䝁䅕党求䝁䅑杙桂䝁䅍睡杁䍁䅧䅍睁䑁䅍克畁䡁䅧䅢穂䝁䄰兘䩂䝁䄴督あ䡁䅉兤橂䡁䅑兡療䝁䄴督湁䍁䅅䅊奂䍁䅑李㉁䅁䅁睺䅅䩁䅑䅁湁䙁䅳兔䩂䙁䄸兓佂䙁䅍睘呂䙁䅑兑啂䙁䄸䅔灂䝁䅙党時䕁䅙兡畂䝁䅅杢橂䝁䅫兙獂䡁䅍睘㉂䑁䅅睘䝂䝁䅕党求䝁䅑杙桂䝁䅍睡杁䍁䅧䅍睁䑁䅍克畁䡁䅧䅢穂䝁䄰兘䩂䝁䄴督あ䡁䅉兤橂䡁䅑兡療䝁䄴督湁䍁䅅䅊奂䍁䅑李㕁䅁䅁䄰䅅䭁䅉䅁湁䙁䅳兔䩂䙁䄸兓佂䙁䅍睘呂䙁䅑兑啂䙁䄸䅔灂䝁䅙党時䕁䅙兡畂䝁䅅杢橂䝁䅫兙獂䡁䅍睘㉂䑁䅅睘䝂䝁䅕党求䝁䅑杙桂䝁䅍睡杁䍁䅧䅍睁䑁䅍克畁䡁䅧䅢穂䝁䄰兘䩂䝁䄴督あ䡁䅉兤橂䡁䅑兡療䝁䄴督湁䍁䅅䅊婂䍁䅑李㉁䑁䅯䅊䉂䕁䅉䅊㉁䑁䅙䅁剄允䅁杯䅁䍁䅣睗乂䕁䅫睘䩂䕁䄴睕時䙁䅍䅖䉂䙁䅑睘䵂䝁䅫杚求䙁䄸杒灂䝁䄴兙畂䝁䅍兡桂䝁䅷督時䡁䅙免時䕁䅙党求䝁䅕䅚楂䝁䅅睙牂䍁䅁䅋睁䑁䅁睍灁䍁䄴䅥獂䡁䅍兢摂䕁䅫杢穂䡁䅑杣ㅂ䝁䅍䅤灂䝁䄸杢穂䍁䅣光歁䙁䅫䅊㉁䑁䅣杏歁䕁䅅村歁䑁䅙睎䅁乁䉉䅁啃䅁䅁睊扂䕁䄰兓時䕁䅫杔呂䙁䄸睕啂䕁䅅䅖時䕁䅷兡浂䝁䅕睘䝂䝁䅫杢桂䝁䄴睙灂䝁䅅䅢穂䙁䄸杤硁䙁䄸杒求䝁䅕党歂䝁䅉兙橂䝁䅳䅉潁䑁䅁䅍穁䍁䅫杌㑂䝁䅷督瑂䙁䄰兓畂䡁䅍䅤祂䡁䅕睙あ䝁䅫睢畂䡁䅍睊桁䍁䅑兗歁䑁䅣杍䅁乁䉍䅁啃䅁䅁睊扂䕁䄰兓時䕁䅫杔呂䙁䄸睕啂䕁䅅䅖時䕁䅷兡浂䝁䅕睘䝂䝁䅫杢桂䝁䄴睙灂䝁䅅䅢穂䙁䄸杤硁䙁䄸杒求䝁䅕党歂䝁䅉兙橂䝁䅳䅉潁䑁䅁䅍ぁ䍁䅫杌㑂䝁䅷督瑂䙁䄰村桂䝁䅷兙畂䝁䅍党時䙁䅍䅡求䝁䅕䅤湁䍁䅅䅊䍂䍁䅑李䅁䑁䍷䅁楃䅁䅁睊扂䕁䄰兓時䕁䅫杔呂䙁䄸睕啂䕁䅅䅖時䕁䅷兡浂䝁䅕睘䝂䝁䅫杢桂䝁䄴睙灂䝁䅅䅢穂䙁䄸杤硁䙁䄸杒求䝁䅕党歂䝁䅉兙橂䝁䅳䅉潁䑁䅁䅍ぁ䍁䅫杌㑂䝁䅷督瑂䙁䄰村桂䝁䅷兙畂䝁䅍党時䙁䅍䅡求䝁䅕䅤湁䍁䅅䅊䑂䍁䅑免睁䑁䅯䅊䑂䍁䅑睎硁䅁䅁材䅉䩁䄴䅁湁䙁䅳兔䩂䙁䄸兓佂䙁䅍睘呂䙁䅑兑啂䙁䄸䅔灂䝁䅙党時䕁䅙兡畂䝁䅅杢橂䝁䅫兙獂䡁䅍睘㉂䑁䅅睘䝂䝁䅕党求䝁䅑杙桂䝁䅍睡杁䍁䅧䅍睁䑁䅑克畁䡁䅧䅢穂䝁䄰兘䍂䝁䅅䅢桂䝁䄴睙求䙁䄸睕潂䝁䅕党あ䍁䅣光歁䕁䅑䅊㉁䑁䅯䅊䥂䍁䅑李䅁䑁䌰䅁敃䅁䅁睊扂䕁䄰兓時䕁䅫杔呂䙁䄸睕啂䕁䅅䅖時䕁䅷兡浂䝁䅕睘䝂䝁䅫杢桂䝁䄴睙灂䝁䅅䅢穂䙁䄸杤硁䙁䄸杒求䝁䅕党歂䝁䅉兙橂䝁䅳䅉潁䑁䅁䅍ぁ䍁䅫杌㑂䝁䅷督瑂䙁䄰村桂䝁䅷兙畂䝁䅍党時䙁䅍䅡求䝁䅕䅤湁䍁䅅䅊䕂䍁䅑睎㙁䍁䅑䅓歁䑁䅣䅁⽁杁䅁䅮䅁䍁䅣睗乂䕁䅫睘䩂䕁䄴睕時䙁䅍䅖䉂䙁䅑睘䵂䝁䅫杚求䙁䄸杒灂䝁䄴兙畂䝁䅍兡桂䝁䅷督時䡁䅙免時䕁䅙党求䝁䅕䅚楂䝁䅅睙牂䍁䅁䅋睁䑁䅁䅎灁䍁䄴䅥獂䡁䅍兢摂䕁䅫杢時䕁䅙睢祂䝁䅍党時䝁䅅杢歂䙁䄸睕灂䡁䅯党湁䍁䅅䅊䍂䍁䅑李䅁䝁䌸䅁煃䅁䅁睊扂䕁䄰兓時䕁䅫杔呂䙁䄸睕啂䕁䅅䅖時䕁䅷兡浂䝁䅕睘䝂䝁䅫杢桂䝁䄴睙灂䝁䅅䅢穂䙁䄸杤硁䙁䄸杒求䝁䅕党歂䝁䅉兙橂䝁䅳䅉潁䑁䅁䅍ぁ䍁䅫杌㑂䝁䅷督瑂䙁䄰兓畂䙁䄸杒療䡁䅉睙求䙁䄸兙畂䝁䅑睘呂䝁䅫来求䍁䅣光歁䕁䅍䅊硁䑁䅁杏歁䕁䅍䅊ぁ䑁䅙䅁硂杁䅁杰䅁䍁䅣睗乂䕁䅫睘䩂䕁䄴睕時䙁䅍䅖䉂䙁䅑睘䵂䝁䅫杚求䙁䄸杒灂䝁䄴兙畂䝁䅍兡桂䝁䅷督時䡁䅙免時䕁䅙党求䝁䅕䅚楂䝁䅅睙牂䍁䅁䅋睁䑁䅁䅎灁䍁䄴䅥獂䡁䅍兢摂䕁䅫杢時䕁䅙睢祂䝁䅍党時䝁䅅杢歂䙁䄸睕灂䡁䅯党湁䍁䅅䅊䕂䍁䅑李㙁䍁䅑䅓歁䑁䅙䅁睂杁䅁杰䅁䍁䅣睗乂䕁䅫睘䩂䕁䄴睕時䙁䅍䅖䉂䙁䅑睘䵂䝁䅫杚求䙁䄸杒灂䝁䄴兙畂䝁䅍兡桂䝁䅷督時䡁䅙免時䕁䅙党求䝁䅕䅚楂䝁䅅睙牂䍁䅁䅋睁䑁䅁䅎灁䍁䄴䅥獂䡁䅍兢摂䕁䅫杢時䕁䅙睢祂䝁䅍党時䝁䅅杢歂䙁䄸睕灂䡁䅯党湁䍁䅅䅊䕂䍁䅑睎㙁䍁䅑䅓歁䑁䅣䅁祂杁䅁䅫䅁䍁䅣睗乂䕁䅫睘䩂䕁䄴睕時䙁䅍䅖䉂䙁䅑睘䵂䝁䅫杚求䙁䄸杒灂䝁䄴兙畂䝁䅍兡桂䝁䅷督時䡁䅙免時䕁䅙党求䝁䅕䅚楂䝁䅅睙牂䍁䅁䅋睁䑁䅁䅎灁䍁䄴䅥獂䡁䅍兢摂䙁䅉党灂䝁䄴督ㅂ䡁䅉兙畂䝁䅍党湁䍁䅅䅊䍂䍁䅑李䅁䡁䍣䅁敃䅁䅁睊扂䕁䄰兓時䕁䅫杔呂䙁䄸睕啂䕁䅅䅖時䕁䅷兡浂䝁䅕睘䝂䝁䅫杢桂䝁䄴睙灂䝁䅅䅢穂䙁䄸杤硁䙁䄸杒求䝁䅕党歂䝁䅉兙橂䝁䅳䅉潁䑁䅁䅍ぁ䍁䅫杌㑂䝁䅷督瑂䙁䄰杕求䝁䅫杢穂䡁䅕杣桂䝁䄴睙求䍁䅣光歁䕁䅍䅊硁䑁䅁杏歁䕁䅍䅊㉁䑁䅙䅁㕂杁䅁杭䅁䍁䅣睗乂䕁䅫睘䩂䕁䄴睕時䙁䅍䅖䉂䙁䅑睘䵂䝁䅫杚求䙁䄸杒灂䝁䄴兙畂䝁䅍兡桂䝁䅷督時䡁䅙免時䕁䅙党求䝁䅕䅚楂䝁䅅睙牂䍁䅁䅋睁䑁䅁䅎灁䍁䄴䅥獂䡁䅍兢摂䙁䅉党灂䝁䄴督ㅂ䡁䅉兙畂䝁䅍党湁䍁䅅䅊䕂䍁䅑李㙁䍁䅑䅓歁䑁䅙䅁㑂杁䅁杭䅁䍁䅣睗乂䕁䅫睘䩂䕁䄴睕時䙁䅍䅖䉂䙁䅑睘䵂䝁䅫杚求䙁䄸杒灂䝁䄴兙畂䝁䅍兡桂䝁䅷督時䡁䅙免時䕁䅙党求䝁䅕䅚楂䝁䅅睙牂䍁䅁䅋睁䑁䅁䅎灁䍁䄴䅥獂䡁䅍兢摂䙁䅉党灂䝁䄴督ㅂ䡁䅉兙畂䝁䅍党湁䍁䅅䅊䕂䍁䅑睎㙁䍁䅑䅓歁䑁䅣䅁㙂杁䅁杄䅁䑁䅍杍ㅁ䑁䅁杍㑁䅁䅁䅇䅕䅁䄴䅁穁䑁䅉兎睁䑁䅉兏䅁䉁䙯䅁佁䅁䅁睍祁䑁䅕䅍穁䑁䅁䅁捁兂䅁杄䅁䑁䅍杍ㅁ䑁䅁睍硁䅁䅁杈䅕䅁䄴䅁穁䑁䅉兎睁䑁䅑免䅁䍁䙁䅁䥁䅁䅁睍㉁䑁䅁䅁塂䅁䅁䅃䅁䑁䅍李硁䅁䅁兗䅁䅁䅧䅁穁䑁䅙杍䅁䙁䄴䅁䥁䅁䅁睍㉁䑁䅍䅁慂䅁䅁䅃䅁䑁䅍李ぁ䅁䅁睗䅁䅁䅧䅁穁䑁䅙兎䅁䙁䄸䅁䥁䅁䅁睍㉁䑁䅙䅁杂䅁䅁䅃䅁䑁䅍李㍁䅁䅁兘䅁䅁䅧䅁穁䑁䅙䅏䅁䙁䅷䅁䥁䅁䅁睍㉁䑁䅫䅁桂䅁䅁䅃䅁䑁䅍睎睁䅁䅁杙䅁䅁䅷䅁㡁䑁䄴免穁䑁䅑䅁扂允䅁䅄䅁䑁䅷材硁䑁䅑䅍䅁䝁䅍䅁䵁䅁䅁䅐⭁䑁䅍杍祁䅁䅁䅴䅁䅁䅷䅁㡁䑁䄴睍祁䑁䅍䅁扄允䅁䅄䅁䑁䅷材穁䑁䅉䅎䅁乁䈰䅁䵁䅁䅁䅐⭁䑁䅍杍ㅁ䅁䅁眳䅅䅁䅷䅁㡁䑁䄴睍祁䑁䅙䅁橄允䅁䅄䅁䑁䅷材穁䑁䅉睎䅁佁䉣䅁䵁䅁䅁䅐⭁䑁䅍杍㑁䅁䅁儶䅅䅁䅷䅁㡁䑁䄴睍祁䑁䅫䅁汄允䅁䅄䅁䑁䅷材穁䑁䅍䅍䅁佁䉅䅁䵁䅁䅁䅐⭁䑁䅍睍硁䅁䅁眶䅅䅁䅷䅁㡁䑁䄴睍穁䑁䅉䅁瑄允䅁䅄䅁䑁䅷材穁䑁䅍睍䅁佁䈸䅁䵁䅁䅁䅐⭁䑁䅍睍ぁ䅁䅁䅵䅁䅁䅷䅁㡁䑁䄴睍穁䑁䅕䅁穄允䅁䅄䅁䑁䅷材穁䑁䅍李䅁偁䉕䅁䵁䅁䅁䅐⭁䑁䅍睍㍁䅁䅁儸䅅䅁䅷䅁㡁䑁䄴睍穁䑁䅧䅁㍄允䅁䅄䅁䑁䅷材穁䑁䅍兏䅁偁䉳䅁䵁䅁䅁䅐⭁䑁䅍䅎睁䅁䅁儫䅅䅁䅷䅁㡁䑁䄴睍ぁ䑁䅅䅁㥄允䅁䅄䅁䑁䅷材穁䑁䅑杍䅁偁䈸䅁䵁䅁䅁䅐⭁䑁䅍䅎穁䅁䅁杲䅁䅁䅷䅁㡁䑁䄴睍ぁ䑁䅑䅁䉁杁䅁䅄䅁䑁䅷材穁䑁䅑兎䅁䅁䍍䅁䵁䅁䅁䅐⭁䑁䅍䅎㉁䅁䅁兂䅉䅁䅷䅁㡁䑁䄴睍ぁ䑁䅣䅁䩁杁䅁䅄䅁䑁䅷材穁䑁䅑䅏䅁䅁䍳䅁䵁䅁䅁䅐⭁䑁䅍䅎㕁䅁䅁睂䅉䅁䅷䅁㡁䑁䄴睍ㅁ䑁䅁䅁㙃䅁䅁䅄䅁䑁䅷材穁䑁䅕免䅁䅁䌸䅁䵁䅁䅁䅐⭁䑁䅍兎祁䅁䅁睅䅉䅁䅷䅁㡁䑁䄴睍ㅁ䑁䅍䅁乁杁䅁䅄䅁䑁䅷材穁䑁䅕䅎䅁䉁䍅䅁䵁䅁䅁䅐⭁䑁䅍兎ㅁ䅁䅁兆䅉䅁䅷䅁㡁䑁䄴睍ㅁ䑁䅙䅁塁杁䅁䅄䅁䑁䅷材穁䑁䅕睎䅁䱁䅁䅁䵁䅁䅁䅐⭁䑁䅍兎㑁䅁䅁䅲䅁䅁䅷䅁㡁䑁䄴睍ㅁ䑁䅫䅁祃䅁䅁䅄䅁䑁䅷材穁䑁䅙䅍䅁䑁䄸䅁䵁䅁䅁䅐⭁䑁䅍李硁䅁䅁村䅁䅁䅷䅁㡁䑁䄴睍㉁䑁䅉䅁䝂䅁䅁䅄䅁䑁䅷材穁䑁䅙睍䅁䕁䅧䅁䵁䅁䅁䅐⭁䑁䅍李ぁ䅁䅁䅒䅁䅁䅷䅁㡁䑁䄴睍㉁䑁䅕䅁䭂䅁䅁䅄䅁䑁䅷材穁䑁䅙李䅁䕁䅷䅁䵁䅁䅁䅐⭁䑁䅍李㍁䅁䅁杔䅁䅁䅷䅁㡁䑁䄴睍㉁䑁䅧䅁兂䅁䅁䅄䅁䑁䅷材穁䑁䅙兏䅁䙁䅉䅁䵁䅁䅁䅐⭁䑁䅍睎睁䅁䅁䅖䅁䅁䅯䅁㡁䑁䄴䅎㕁䅁䅁杴䅁䅁䅯䅁㡁䑁䄴兎睁䅁䅁東䅁䅁䅯䅁㡁䑁䄴兎硁䅁䅁睉䅉䅁䅯䅁㡁䑁䄴兎祁䅁䅁睈䅉䅁䅯䅁㡁䑁䄴兎穁䅁䅁兇䅉䅁䅯䅁㡁䑁䄴兎ㅁ䅁䅁睊䅉䅁䅯䅁㡁䑁䄴兎㉁䅁䅁兊䅉䅁䅯䅁㡁䑁䄴睎睁䅁䅁光䅉䅁䅯䅁㡁䑁䄴睎硁䅁䅁睇䅉䅁䅯䅁㡁䑁䄴䅏㕁䅁䅁先䅉䍁䅉䅁䉂䙁䅉杏杁䕁䅅睙橂䍁䅁杊杁䕁䅧党桂䝁䅷䅤潂䅁䅁䅘䅅䑁䅁䅁䉂䙁䅉杏杁䕁䅅睙橂䝁䅫䅚求䝁䄴䅤杁䝁䅅杢歂䍁䅁䅓求䝁䅅䅢あ䝁䅧䅁䱂䅁䅁杓䅁䕁䅅杕㙁䍁䅁兑畂䝁䅅䅢㕂䡁䅍兡穂䍁䅁睢浂䍁䅁睔睂䝁䅕杣桂䡁䅑兡療䝁䄴督杁䕁䅅䅢獂䍁䅁䅔灂䝁䄴党穂䅁䅁兑䅁䑁䅧䅁䉂䙁䅉杏杁䕁䅍兢睂䡁䅉䅡穂䡁䅙䅉潁䕁䅧睢穂䡁䅁䅌杁䕁䄰党歂䍁䅫䅉䡂䡁䅉䅣䅁䭁䅳䅁㑁䅁䅁兑卂䑁䅯䅉䑂䝁䄰䅣祂䝁䅧督㉂䍁䅁䅋䥂䝁䄸督睂䍁䅷䅉乂䝁䅕䅚灁䍁䅁兓畂䝁䅑䅁㍃䅁䅁杈䅁䕁䅅杕㙁䍁䅁睑祂䝁䅕䅚灂䡁䅑䅉䉂䍁䅙䅓䅁䭁䄰䅁杁䅁䅁兑卂䑁䅯䅉䕂䝁䅕杢あ䝁䅅䅢杁䕁䄸杢獂䡁䅫䅁慁杁䅁䅌䅁䕁䅅杕㙁䍁䅁䅒灂䡁䅍兙楂䝁䅫䅢灂䡁䅑入杁䕁䅫杢橂䝁䄸兢求䅁䅁杉䅉䍁䄴䅁䉂䙁䅉杏杁䕁䅙党歂䍁䅁兒瑂䡁䅁䅉䥂䝁䅕兙獂䡁䅑䅡杁䕁䅉党畂䅁䅁杈䅉䉁䅷䅁䉂䙁䅉杏杁䕁䅙杣桂䡁䅑党祂䝁䄴兙獂䅁䅁兔䅁䍁䅧䅁䉂䙁䅉杏杁䕁䅣杣療䡁䅕䅣杁䕁䅅杢畂䡁䅕兡あ䝁䅫党穂䅁䅁兒䅁䍁䅷䅁䉂䙁䅉杏杁䕁䅣杣療䡁䅕䅣杁䕁䅍杣求䝁䅑兡あ䍁䅁䅔灂䝁䅙党䅁偁䉯䅁䝂䅁䅁兑卂䑁䅯䅉䡂䡁䅉睢ㅂ䡁䅁䅉䕂䝁䅕杚求䡁䅉杣求䝁䅑䅉䝂䝁䅫䅥求䝁䅑䅉䉂䝁䄴杢ㅂ䝁䅫䅤灂䝁䅕督䅁䉁䍁䅁䭂䅁䅁兑卂䑁䅯䅉䡂䡁䅉睢ㅂ䡁䅁䅉䕂䝁䅕杚求䡁䅉杣求䝁䅑䅉䩂䝁䄴䅚求䡁䅧党歂䍁䅁兑畂䝁䄴兤灂䡁䅑兡求䡁䅍䅁啁杁䅁杈䅁䕁䅅杕㙁䍁䅁睒祂䝁䄸兤睂䍁䅁䅔灂䝁䅙党䅁䕁䅣䅁䍂䅁䅁兑卂䑁䅯䅉䡂䡁䅉睢ㅂ䡁䅁䅉䵂䝁䅫杚求䍁䅁睑療䝁䄴䅤灂䝁䄴睚求䝁䄴䅤杁䙁䅁兙㕂䝁䄸兤あ䅁䅁杆䅉䑁䅑䅁䉂䙁䅉杏杁䕁䅣杣療䡁䅕䅣杁䕁䄸䅤潂䝁䅕杣杁䕁䅅杢畂䡁䅕兡あ䝁䅫党穂䅁䅁䅇䅉䍁䅯䅁䉂䙁䅉杏杁䕁䅣杣療䡁䅕䅣杁䕁䄸䅤潂䝁䅕杣杁䕁䅷兡浂䝁䅕䅁⭄允䅁䅋䅁䕁䅅杕㙁䍁䅁睒祂䝁䄸兤睂䍁䅁䅖求䡁䅉兢杁䕁䅷兡浂䝁䅕䅁㉄允䅁杍䅁䕁䅅杕㙁䍁䅁睒祂䝁䄸兤睂䍁䅁兖畂䝁䅫杤求䡁䅉督桂䝁䅷䅉䵂䝁䅫杚求䅁䅁朸䅅䑁䅁䅁䉂䙁䅉杏杁䕁䅣杣療䡁䅕䅣杁䙁䅙兙祂䝁䅫兙楂䝁䅷党杁䕁䅷兡浂䝁䅕䅁㑄允䅁䅒䅁䕁䅅杕㙁䍁䅁睒祂䝁䄸兤睂䍁䅁杖桂䡁䅉兡桂䝁䅉䅢求䍁䅁兖畂䝁䅫杤求䡁䅉督桂䝁䅷䅉䵂䝁䅫杚求䅁䅁䄯䅅䍁䅯䅁䉂䙁䅉杏杁䕁䅣杣療䡁䅕䅣杁䙁䅣䅡療䝁䅷党杁䕁䅷兡浂䝁䅕䅁い允䅁䅒䅁䕁䅅杕㙁䍁䅁睒祂䝁䄸兤睂䍁䅁兗卂䙁䅑䅉乂䝁䄸杣あ䝁䅅䅢灂䡁䅑入杁䙁䅉兡穂䝁䅳䅉偂䝁䄴䅢㕂䅁䅁䅁䅉䙁䅑䅁䉂䙁䅉杏杁䕁䅣杣睂䍁䅁䅒求䝁䅙杣歂䍁䅁杖桂䡁䅉兡桂䝁䅉䅢求䍁䅁兑畂䝁䄴兤灂䡁䅑兡求䡁䅍䅉㍂䍁䄸睢杁䕁䅣兤桂䡁䅉䅁十杁䅁杖䅁䕁䅅杕㙁䍁䅁睒祂䡁䅁䅉䕂䝁䅕杚祂䝁䅑䅉坂䝁䅅杣灂䝁䅅杙獂䝁䅕䅉䉂䝁䄴杢ㅂ䝁䅫䅤灂䝁䅕督杁䡁䅣兡あ䝁䅧䅉䡂䡁䅕兙祂䅁䅁杄䅉䙁䅑䅁䉂䙁䅉杏杁䕁䅫杢歂䍁䅁䅒求䝁䅙杣歂䍁䅁杖桂䡁䅉兡桂䝁䅉䅢求䍁䅁兑畂䝁䄴兤灂䡁䅑兡求䡁䅍䅉㍂䍁䄸睢杁䕁䅣兤桂䡁䅉䅁䭁杁䅁杖䅁䕁䅅杕㙁䍁䅁兓畂䝁䅑䅉䕂䝁䅕杚祂䝁䅑䅉坂䝁䅅杣灂䝁䅅杙獂䝁䅕䅉䉂䝁䄴杢ㅂ䝁䅫䅤灂䝁䅕督杁䡁䅣兡あ䝁䅧䅉䡂䡁䅕兙祂䅁䅁杂䅉䑁䅉䅁䉂䙁䅉杏杁䕁䅫杢歂䝁䅫杤灂䝁䅑兤桂䝁䅷䅉䉂䝁䄴杢ㅂ䝁䅫䅤灂䝁䅕督䅁䕁䅫䅁㉁䅁䅁兑卂䑁䅯䅉䩂䝁䄴䅚灂䡁䅙兡歂䡁䅕兙獂䍁䅁睑祂䝁䅕䅚灂䡁䅑䅉䵂䝁䅫杚求䅁䅁䄷䅅䙁䅁䅁䉂䙁䅉杏杁䕁䅫杢歂䝁䅫杤灂䝁䅑兤桂䝁䅷䅉䕂䝁䅕杚求䡁䅉杣求䝁䅑䅉䝂䝁䅫䅥求䝁䅑䅉䉂䝁䄴杢ㅂ䝁䅫䅤灂䝁䅕督䅁䅁䍉䅁啂䅁䅁兑卂䑁䅯䅉䩂䝁䄴䅚灂䡁䅙兡歂䡁䅕兙獂䍁䅁䅒求䝁䅙党祂䡁䅉党歂䍁䅁兓畂䝁䅑党㑂䝁䅕䅚杁䕁䅅杢畂䡁䅕兡あ䝁䅫党穂䅁䅁䅂䅉䑁䅧䅁䉂䙁䅉杏杁䕁䅫杢歂䝁䅫杤灂䝁䅑兤桂䝁䅷䅉䩂䝁䄴䅚求䡁䅧党歂䍁䅁䅔灂䝁䅙党䅁佁䉑䅁⭁䅁䅁兑卂䑁䅯䅉䩂䝁䄴䅚灂䡁䅙兡歂䡁䅕兙獂䍁䅁兓畂䝁䅑兤穂䡁䅑杣灂䝁䅅䅢杁䕁䅷兡浂䝁䅕䅁捄允䅁䅋䅁䕁䅅杕㙁䍁䅁兓畂䝁䅑兡㉂䝁䅫䅚ㅂ䝁䅅䅢杁䕁䅷兡浂䝁䅕䅁䑂䅁䅁䅔䅁䕁䅅杕㙁䍁䅁兓畂䝁䅑兡㉂䝁䅫䅚ㅂ䝁䅅䅢杁䕁䅷兡浂䝁䅕䅉䑂䝁䄸杢あ䝁䅫杢湂䝁䅕杢あ䍁䅁䅕桂䡁䅫睢ㅂ䡁䅑䅁䵁杁䅁材䅁䕁䅅杕㙁䍁䅁兓畂䝁䅑兡㉂䝁䅫䅚ㅂ䝁䅅䅢杁䕁䄸䅤潂䝁䅕杣杁䕁䅅杢畂䡁䅕兡あ䝁䅫党穂䅁䅁䅃䅉䑁䅑䅁䉂䙁䅉杏杁䕁䅫杢歂䝁䅫杤灂䝁䅑兤桂䝁䅷䅉偂䡁䅑䅡求䡁䅉䅉䵂䝁䅫杚求䅁䅁朷䅅䑁䅉䅁䉂䙁䅉杏杁䕁䅫杢歂䝁䅫杤灂䝁䅑兤桂䝁䅷䅉啂䝁䅕杣瑂䍁䅁䅔灂䝁䅙党䅁佁䉁䅁㡁䅁䅁兑卂䑁䅯䅉䩂䝁䄴䅚灂䡁䅙兡歂䡁䅕兙獂䍁䅁兖畂䝁䅫杤求䡁䅉督桂䝁䅷䅉䵂䝁䅫杚求䅁䅁䄶䅅䙁䅧䅁䉂䙁䅉杏杁䕁䅫杢歂䝁䅫杤灂䝁䅑兤桂䝁䅷䅉噂䝁䄴兡㉂䝁䅕杣穂䝁䅅䅢杁䕁䅷兡浂䝁䅕䅉㍂䝁䅫䅤潂䍁䅁睕求䝁䅍䅉䡂䡁䅕兙祂䅁䅁朶䅅䑁䅯䅁䉂䙁䅉杏杁䕁䅫杢歂䝁䅫杤灂䝁䅑兤桂䝁䅷䅉坂䝁䅅杣灂䝁䅅杙獂䝁䅕䅉䵂䝁䅫杚求䅁䅁朵䅅䕁䄴䅁䉂䙁䅉杏杁䕁䅫杢歂䝁䅫杤灂䝁䅑兤桂䝁䅷䅉坂䝁䅅杣灂䝁䅅杙獂䝁䅕䅉噂䝁䄴兡㉂䝁䅕杣穂䝁䅅䅢杁䕁䅷兡浂䝁䅕䅁楄允䅁䅎䅁䕁䅅杕㙁䍁䅁兓畂䝁䅑兡㉂䝁䅫䅚ㅂ䝁䅅䅢杁䙁䅣䅡療䝁䅷党杁䕁䅷兡浂䝁䅕䅁敄允䅁杔䅁䕁䅅杕㙁䍁䅁兓畂䝁䅑兡㉂䝁䅫䅚ㅂ䝁䅅䅢杁䙁䅫杕啂䍁䅁兔療䡁䅉䅤桂䝁䅷兡あ䡁䅫䅉卂䝁䅫督牂䍁䅁睔畂䝁䅷入䅁偁䉁䅁䝂䅁䅁兑卂䑁䅯䅉䩂䝁䄴䅚灂䡁䅙兡歂䡁䅕兙獂䍁䅁兙畂䝁䅑䅉䡂䡁䅉睢ㅂ䡁䅁䅉䉂䝁䄴杢ㅂ䝁䅫䅤灂䝁䅕督䅁䙁䅕䅁㡁䅁䅁兑卂䑁䅯䅉䩂䝁䄴䅚灂䡁䅙兡歂䡁䅕兙獂䍁䅁兙畂䝁䅑䅉䡂䡁䅉睢ㅂ䡁䅁䅉䵂䝁䅫杚求䅁䅁睕䅁䍁䅙䅁䉂䙁䅉杏杁䕁䅷睢畂䝁䅣兌啂䝁䅕杣瑂䍁䅁睑桂䡁䅉党䅁䉁䍷䅁睁䅁䅁兑卂䑁䅯䅉乂䝁䅕䅚灂䝁䅍兙祂䝁䅕䅉呂䡁䅕䅣睂䝁䅷党瑂䝁䅕杢あ䅁䅁䅊䅉䍁䅉䅁䉂䙁䅉杏杁䕁䄸䅤潂䝁䅕杣杁䕁䅧党桂䝁䅷䅤潂䅁䅁睳䅁䑁䅧䅁䉂䙁䅉杏杁䕁䄸䅤潂䝁䅕杣杁䕁䅷兡畂䝁䅕督杁䝁䄸杚杁䕁䅉兤穂䝁䅫杢求䡁䅍督䅁䕁䄸䅁畁䅁䅁兑卂䑁䅯䅉啂䝁䅫䅤獂䝁䅕䅉奂䕁䅫䅗杁䕁䄰党歂䝁䅫睙桂䝁䅫䅚䅁䍁䍙䅁祁䅁䅁兑卂䑁䅯䅉啂䝁䅫䅤獂䝁䅕䅉奂䙁䅙兓䩂䕁䅫䅉乂䝁䅕䅚灂䝁䅍兙祂䝁䅕䅁潁杁䅁䅐䅁䕁䅅杕㙁䍁䅁䅖療䡁䅑兙獂䍁䅁兑橂䝁䅍兡歂䝁䅕杢あ䍁䅁兙畂䝁䅑䅉䥂䝁䅕兙獂䡁䅑䅡䅁䱁䅅䅁潁䅁䅁兑卂䑁䅯䅉啂䝁䄸䅤桂䝁䅷䅉䉂䝁䅷䅢杁䕁䅷兡畂䝁䅕督䅁䝁䅑䅁ぁ䅁䅁兑卂䑁䅯䅉啂䝁䄸䅤桂䝁䅷䅉䡂䡁䅉睢ㅂ䡁䅁䅉䉂䝁䄴杢ㅂ䝁䅫䅤灂䝁䅕督䅁䱁䅳䅁煁䅁䅁兑卂䑁䅯䅉啂䝁䄸䅤桂䝁䅷䅉䡂䡁䅉睢ㅂ䡁䅁䅉䵂䝁䅫杚求䅁䅁兵䅁䑁䄴䅁䉂䙁䅉杏杁䙁䅑睢あ䝁䅅䅢杁䕁䅫杢歂䝁䅫杤灂䝁䅑兤桂䝁䅷䅉䉂䝁䄴杢ㅂ䝁䅫䅤灂䝁䅕督䅁䭁䄸䅁ぁ䅁䅁兑卂䑁䅯䅉啂䝁䄸䅤桂䝁䅷䅉䩂䝁䄴䅚灂䡁䅙兡歂䡁䅕兙獂䍁䅁䅔灂䝁䅙党䅁䱁䅕䅁杁䅁䅁兑卂䑁䅯䅉坂䝁䅫督灂䝁䄸杢杁䕁䄸杢獂䡁䅫䅁杁杁䅁䅏䅁䕁䅅杕㙁䍁䅁兗卂䙁䅑䅉乂䝁䄸杣あ䝁䅅䅢灂䡁䅑入杁䙁䅉兡穂䝁䅳䅉偂䝁䄴䅢㕂䅁䅁兕䅁䡁䅯䅁䍂䝁䄸杢歂䡁䅍杏杁䙁䅣党灂䝁䅣䅡あ䝁䅕䅚杁䕁䅅杤湂䍁䅁杕桂䡁䅑兡畂䝁䅣督杁䝁䅉入杁䕁䅉睢畂䝁䅑䅉䑂䝁䅧兙祂䝁䅅睙あ䝁䅕杣灂䡁䅍䅤灂䝁䅍督杁䍁䅧兙橂䡁䅑兤桂䝁䅷克䅁偁䑉䅁獁䅁䅁睑桂䡁䅉杣㕂䝁䅫杢湂䍁䅁杖桂䝁䅷兤求䍁䅁䅋歁䑁䅁䅍睁䍁䅫䅁㑄睁䅁䅋䅁䕁䅍睢瑂䝁䄰睢畂䍁䅁睕あ䝁䄸睙牂䍁䅁䅋歁䑁䅁䅍睁䍁䅫䅁㍄睁䅁杧䅁䕁䅍杣歂䡁䅑䅉䉂䍁䅙䅓杁䍁䅧睒祂䡁䅁䅌杁䕁䅫杢歂䍁䅫杏杁䕁䅅杤求䡁䅉兙湂䝁䅕䅉兂䝁䄸䅢灂䝁䅍入杁䙁䅍兡㙂䝁䅕䅉潁䕁䅫杢杁䕁䅙睢祂䝁䅍党杁䙁䅁杣求䝁䄰兡ㅂ䝁䄰督灁䍁䅁䅋歁䍁䅫䅁㡄睁䅁杫䅁䕁䅍杣歂䡁䅑䅉䵂䝁䅫杚求䍁䅁䅋䡂䡁䅉䅣獁䍁䅁兓畂䝁䅑克㙁䍁䅁兑㉂䝁䅕杣桂䝁䅣党杁䙁䅁睢獂䝁䅫睙㕂䍁䅁杊杁䕁䅣杣療䡁䅕䅣杁䕁䅍党祂䡁䅑䅉呂䝁䅫来求䍁䅁䅋䝂䝁䅅睙求䍁䅁兑瑂䝁䄸兤畂䡁䅑克杁䍁䅧䅊灁䅁䅁䅁䅑䕁䅉䅁䕂䝁䅫杤灂䝁䅑党畂䝁䅑督杁䙁䅑睢杁䙁䅍䅤療䝁䅍睡潂䝁䄸䅢歂䝁䅕杣穂䍁䅁䅋歁䑁䅁䅍睁䍁䅫䅁穄睁䅁条䅁䕁䅣杣睂䍁䅁兑流䕁䅧杏杁䕁䅅杤求䡁䅉兙湂䝁䅕䅉兂䝁䄸䅢灂䝁䅍入杁䙁䅍兡㙂䝁䅕䅉潁䕁䅫杢杁䕁䅙睢祂䝁䅍党杁䙁䅁杣求䝁䄰兡ㅂ䝁䄰督灁䍁䅁䅋歁䍁䅫䅁㝄睁䅁杨䅁䕁䅣杣睂䍁䅁兑畂䝁䄴兤灂䡁䅑兡求䡁䅍杏杁䕁䅅杤求䡁䅉兙湂䝁䅕䅉兂䝁䄸䅢灂䝁䅍入杁䙁䅍兡㙂䝁䅕䅉潁䙁䅉党穂䝁䅕杣㉂䝁䅕督灁䑁䅯䅉䡂䡁䅉睢ㅂ䡁䅁䅉䉂䝁䄴杢ㅂ䝁䅫䅤灂䝁䅕督杁䍁䅧䅊灁䅁䅁末䅍䡁䅧䅁䡂䡁䅉䅣杁䕁䅷兡浂䝁䅕䅉㙁䍁䅁兑㉂䝁䅕杣桂䝁䅣党杁䕁䅣杣療䡁䅕䅣杁䕁䅍党祂䡁䅑兡浂䝁䅫睙桂䡁䅑党杁䙁䅍兡㙂䝁䅕䅉潁䕁䅙兙橂䝁䅕䅉䉂䝁䄰睢ㅂ䝁䄴䅤灁䍁䅁䅋歁䍁䅫䅁䉁䅂䅁杓䅁䕁䅫杢橂䡁䅉党桂䡁䅍党杁䝁䅫杢杁䕁䅅睚湂䡁䅉党湂䝁䅅䅤求䍁䅁杕求䡁䅍党祂䡁䅙党杁䍁䅧䅊睁䑁䅁䅍灁䅁䅁䅆䅕䝁䄴䅁䩂䝁䄴䅚ㅂ䡁䅍䅤祂䝁䅫兙獂䍁䅁䅔灂䝁䅙党㙁䍁䅁兑㉂䝁䅕杣桂䝁䅣党杁䙁䅁睢獂䝁䅫睙㕂䍁䅁睕灂䡁䅯党杁䍁䅧杒桂䝁䅍党杁䕁䅅兢療䡁䅕杢あ䍁䅫䅉潁䍁䅑克䅁偁䐴䅁奁䅁䅁䅔灂䝁䅙党時䕁䅍睢䵂䝁䅫督あ䅁䅁允䅁䉁䅑䅁䵂䝁䅫杚求䙁䄸䅔灂䡁䅍䅤䅁䅁䄸䅁䥁䅁䅁兔卂䙁䅫䅁坂䅁䅁村䅁䕁䄰睢祂䡁䅑睚桂䝁䅣党杁䕁䅷睢桂䝁䄴督杁䕁䅉睢療䝁䅳䅉坂䝁䅅䅢ㅂ䝁䅕䅉潁䍁䅑䅍睁䑁䅁克䅁偁䑙䅁䝁䅁䅁杔䉂䅁䅁杇䅁䑁䅷䅁佂䝁䅕䅤杁䕁䅅杊䥂䍁䅁睑獂䝁䅅兡瑂䍁䅁杕求䡁䅍党祂䡁䅙党穂䍁䅁䅋歁䑁䅁䅍睁䍁䅫䅁桁兂䅁䅙䅁䕁䄴党あ䍁䅁䅕祂䝁䅕兢灂䡁䅕兢穂䍁䅁杊杁䕁䅅杢畂䡁䅕兡あ䡁䅫䅉䑂䝁䄸杢穂䝁䅫䅚㙁䍁䅁䅔灂䝁䅙党獁䍁䅁兑流䕁䅧䅉潁䍁䅑䅍睁䑁䅁克䅁䙁䅧䅁睁䅁䅁杔求䡁䅑䅉啂䝁䄸䅤桂䝁䅷䅉䉂䡁䅍督求䡁䅑督杁䍁䅧䅊睁䑁䅁䅍灁䅁䅁睁䅁䥁䄴䅁偂䡁䅁䅤灂䝁䄸杢穂䑁䅯睑ㅂ䡁䅉杣㥁䙁䅉党睂䝁䄸杣あ䝁䅕䅚杁䝁䅍兤祂䡁䅉党畂䝁䅍入獁䕁䄰兙湂䑁䄰兔䩂䡁䅍䅤桂䝁䄴䅚桂䡁䅉䅚獁䕁䅍睢畂䡁䅙兔求䡁䅑䅡療䝁䅑児乂䕁䅫杣求䝁䅍睢瑂䝁䄰党畂䝁䅑党歂䅁䅁䅑䅁䡁䅙䅁偂䡁䅁䅤灂䝁䄸杢穂䑁䅯睑ㅂ䡁䅉杣㥁䙁䅕睕䕂䍁䅷䅉乂䝁䅅睚㥁䙁䅑䅡療䡁䅕督桂䝁䄴䅚穂䍁䅷䅉䑂䝁䄸杢㉂䕁䄰党あ䝁䅧睢歂䑁䄰睕佂䕁䅷杣求䝁䅍睢瑂䝁䄰党畂䝁䅑党歂䅁䅁兆䅁䥁䅙䅁偂䡁䅉䅚灂䝁䄴兙祂䡁䅫䅉䩂䝁䄴䅚㉂䝁䅷䅉䉂䝁䄴杢㙁䍁䅁兑㉂䝁䅕杣桂䝁䅣党杁䙁䅁睢獂䝁䅫睙㕂䍁䅁睕灂䡁䅯党杁䍁䅧杕求䡁䅍党祂䡁䅙党穂䍁䅫杏杁䕁䅫杢歂䝁䅫杤灂䝁䅑兤桂䝁䅷䅉潁䍁䅑克䅁偁䑫䅁獂䅁䅁睔祂䝁䅑兡畂䝁䅅杣㕂䍁䅁䅔灂䝁䅙党杁䑁䅯䅉䉂䡁䅙党祂䝁䅅睚求䍁䅁䅕療䝁䅷兡橂䡁䅫䅉呂䝁䅫来求䍁䅁䅋䝂䝁䅅睙求䍁䅁兑瑂䝁䄸兤畂䡁䅑克杁䍁䅧䅊灁䅁䅁眯䅍䝁䅯䅁偂䡁䅑䅡杁䕁䅅杊䥂䑁䅯䅉䉂䡁䅙党祂䝁䅅睚求䍁䅁䅕療䝁䅷兡橂䡁䅫䅉呂䝁䅫来求䍁䅁䅋䩂䝁䄴䅉䝂䝁䄸杣橂䝁䅕䅉兂䡁䅉党瑂䝁䅫兤瑂䡁䅍克杁䍁䅧䅊灁䅁䅁儯䅍䉁䅷䅁兂䝁䅕党祂䙁䄸兑畂䝁䅅䅢㕂䡁䅍兡穂䅁䅁兄䅁䝁䅯䅁兂䝁䄸䅢灂䝁䅍入杁䙁䅉党穂䝁䅕杣㉂䝁䅕杏杁䕁䅅䅚歂䝁䅫䅤灂䝁䄸杢桂䝁䅷䅉䉂䝁䅍䅤ㅂ䝁䅅杣灂䝁䅅䅢杁䕁䅅杢桂䝁䅷入穂䝁䅫督杁䍁䅧䅊睁䑁䅁䅍灁䅁䅁兇䅕䙁䅙䅁兂䝁䄸䅢灂䝁䅍入杁䙁䅉党穂䝁䅕杣㉂䝁䅕杏杁䕁䅅䅚歂䝁䅫䅤灂䝁䄸杢桂䝁䅷䅉䑂䝁䄸杢あ䡁䅉兙橂䡁䅑䅉潁䍁䅑䅍睁䑁䅁克䅁䉁䙣䅁歂䅁䅁䅕療䝁䅷兡橂䡁䅫䅉卂䝁䅕督求䡁䅉杤求䑁䅯䅉䝂䡁䅕䅤ㅂ䡁䅉党杁䕁䅍睢畂䡁䅑兡畂䝁䅣党畂䡁䅑䅉䍂䝁䅕杢求䝁䅙兡あ䡁䅍䅉潁䍁䅑䅍睁䑁䅁克䅁䉁䙳䅁䍂䅁䅁䅕療䝁䅷兡橂䡁䅫䅉卂䝁䅕督求䡁䅉杤求䑁䅯䅉塂䡁䅉兡あ䝁䅕䅉䩂䝁䄴督杁䍁䅧䅊睁䑁䅁䅍灁䅁䅁睈䅕䕁䅙䅁兂䝁䄸䅢灂䝁䅍入杁䙁䅉党穂䝁䅕杣㉂䝁䅕杏卂䝁䅅䅤求䍁䅁睑祂䝁䅕䅚灂䡁䅑督杁䍁䅧䅊睁䑁䅁䅍灁䅁䅁先䅕䍁䄴䅁兂䡁䅉党浂䝁䅕杣祂䝁䅕䅚杁䙁䅍䅤療䝁䅍睡杁䍁䅧䅊睁䑁䅁䅍灁䅁䅁䄹䅍䑁䅷䅁卂䝁䅕兙獂䍁䅁兒穂䡁䅑兙あ䝁䅕䅉䍂䝁䄸睢牂䍁䅁杖桂䝁䅷兤求䍁䅁䅋歁䑁䅁䅍睁䍁䅫䅁ㅄ睁䅁杅䅁䙁䅍杔䵂䙁䅅兤求䡁䅉入䅁䅁䅉䅁十䅁䅁睕佂䕁䅷䅖桂䝁䅉䅢求䅁䅁睃䅁䑁䄴䅁扂䕁䅉睢療䝁䅳免畁䡁䅧䅢穂䝁䄰兘䑂䝁䄸兢睂䝁䅅杢㕂䙁䄸䅔灂䡁䅍䅤桁䍁䅑村歁䑁䅅睍䅁䅁䅑䅁䭂䅁䅁睗䍂䝁䄸睢牂䑁䅅杌㑂䝁䅷督瑂䙁䄰睑療䝁䄰䅣桂䝁䄴入時䕁䅷兡穂䡁䅑光歁䕁䅑䅊硁䑁䅕杏歁䕁䅫䅊硁䑁䅕䅁䙁䅁䅁材䅁䙁䅳村療䝁䄸睡硁䍁䄴䅥獂䡁䅍兢摂䕁䅍睢瑂䡁䅁兙畂䡁䅫睘䵂䝁䅫督あ䍁䅅䅊佂䍁䅑免穁䅁䅁䅁䅁䕁䅁䅁扂䕁䅉睢療䝁䅳免畁䡁䅧䅢穂䝁䄰兘䩂䝁䄴督あ䡁䅉兤橂䡁䅑兡療䝁䄴督桁䍁䅑兑䉂䍁䅑睎ぁ䅁䅁杄䅁䑁䄴䅁扂䕁䅉睢療䝁䅳免畁䡁䅧䅢穂䝁䄰兘䩂䝁䄴督あ䡁䅉兤橂䡁䅑兡療䝁䄴督桁䍁䅑䅗歁䑁䅙李䅁䅁䅣䅁⭁䅁䅁睗䍂䝁䄸睢牂䑁䅅杌㑂䝁䅷督瑂䙁䄰兓畂䡁䅍䅤祂䡁䅕睙あ䝁䅫睢畂䡁䅍光歁䙁䅧䅊㉁䑁䅫䅁䥁䅁䅁䅔䅁䙁䅳村療䝁䄸睡硁䍁䄴䅥獂䡁䅍兢摂䕁䅫杢穂䡁䅑杣ㅂ䝁䅍䅤灂䝁䄸杢穂䍁䅅䅊婂䍁䅑李㉁䑁䅯䅊䉂䕁䅉䅊㉁䑁䅙䅁䩁䅁䅁䅔䅁䙁䅳村療䝁䄸睡硁䍁䄴䅥獂䡁䅍兢摂䕁䅫杢穂䡁䅑杣ㅂ䝁䅍䅤灂䝁䄸杢穂䍁䅅䅊婂䍁䅑李㍁䑁䅯䅊䉂䕁䅉䅊㉁䑁䅣䅁䭁䅁䅁材䅁䙁䅳村療䝁䄸睡硁䍁䄴䅥獂䡁䅍兢摂䕁䅫杢穂䡁䅑杣ㅂ䝁䅍䅤灂䝁䄸杢穂䍁䅅䅊婂䍁䅑睎祁䅁䅁䅄䅁䡁䅁䅁扂䕁䄰兓時䕁䅫杔呂䙁䄸睕啂䕁䅅䅖時䕁䅷兡浂䝁䅕睘䝂䝁䅫杢桂䝁䄴睙灂䝁䅅䅢穂䙁䄸杤硁䍁䄴䅥獂䡁䅍兢摂䕁䅉兙獂䝁䅅杢橂䝁䅕睘呂䝁䅧党求䡁䅑光歁䕁䅉䅊㉁䅁䅁杆䅁䥁䅁䅁扂䕁䄰兓時䕁䅫杔呂䙁䄸睕啂䕁䅅䅖時䕁䅷兡浂䝁䅕睘䝂䝁䅫杢桂䝁䄴睙灂䝁䅅䅢穂䙁䄸杤硁䍁䄴䅥獂䡁䅍兢摂䕁䅉兙獂䝁䅅杢橂䝁䅕睘呂䝁䅧党求䡁䅑光歁䕁䅍䅊硁䑁䅁杏歁䕁䅍䅊硁䑁䅁䅏䅁䉁䅧䅁⭂䅁䅁睗乂䕁䅫睘䩂䕁䄴睕時䙁䅍䅖䉂䙁䅑睘䵂䝁䅫杚求䙁䄸杒灂䝁䄴兙畂䝁䅍兡桂䝁䅷督時䡁䅙免畁䡁䅧䅢穂䝁䄰兘䍂䝁䅅䅢桂䝁䄴睙求䙁䄸睕潂䝁䅕党あ䍁䅅䅊䑂䍁䅑免睁䑁䅯䅊䑂䍁䅑睎硁䅁䅁公䅅䡁䅯䅁扂䕁䄰兓時䕁䅫杔呂䙁䄸睕啂䕁䅅䅖時䕁䅷兡浂䝁䅕睘䝂䝁䅫杢桂䝁䄴睙灂䝁䅅䅢穂䙁䄸杤硁䍁䄴䅥獂䡁䅍兢摂䕁䅉兙獂䝁䅅杢橂䝁䅕睘呂䝁䅧党求䡁䅑光歁䕁䅑䅊㉁䑁䅯䅊䥂䍁䅑李䅁䉁䅣䅁㙂䅁䅁睗乂䕁䅫睘䩂䕁䄴睕時䙁䅍䅖䉂䙁䅑睘䵂䝁䅫杚求䙁䄸杒灂䝁䄴兙畂䝁䅍兡桂䝁䅷督時䡁䅙免畁䡁䅧䅢穂䝁䄰兘䍂䝁䅅䅢桂䝁䄴睙求䙁䄸睕潂䝁䅕党あ䍁䅅䅊䕂䍁䅑睎㙁䍁䅑䅓歁䑁䅣䅁婁䅁䅁杤䅁䙁䅳兔䩂䙁䄸兓佂䙁䅍睘呂䙁䅑兑啂䙁䄸䅔灂䝁䅙党時䕁䅙兡畂䝁䅅杢橂䝁䅫兙獂䡁䅍睘㉂䑁䅅杌㑂䝁䅷督瑂䙁䄰睑桂䡁䅁兡あ䝁䅅䅢時䕁䅅䅚求䡁䅅兤桂䝁䅍入桁䍁䅑村歁䑁䅙䅁灁䅁䅁䅨䅁䙁䅳兔䩂䙁䄸兓佂䙁䅍睘呂䙁䅑兑啂䙁䄸䅔灂䝁䅙党時䕁䅙兡畂䝁䅅杢橂䝁䅫兙獂䡁䅍睘㉂䑁䅅杌㑂䝁䅷督瑂䙁䄰睑桂䡁䅁兡あ䝁䅅䅢時䕁䅅䅚求䡁䅅兤桂䝁䅍入桁䍁䅑睑歁䑁䅅䅍㙁䍁䅑睑歁䑁䅙李䅁䍁䅳䅁䅃䅁䅁睗乂䕁䅫睘䩂䕁䄴睕時䙁䅍䅖䉂䙁䅑睘䵂䝁䅫杚求䙁䄸杒灂䝁䄴兙畂䝁䅍兡桂䝁䅷督時䡁䅙免畁䡁䅧䅢穂䝁䄰兘䑂䝁䅅䅣灂䡁䅑兙獂䙁䄸兑歂䝁䅕兣ㅂ䝁䅅睙㕂䍁䅅䅊䕂䍁䅑李㙁䍁䅑䅓歁䑁䅙䅁煁䅁䅁䅧䅁䙁䅳兔䩂䙁䄸兓佂䙁䅍睘呂䙁䅑兑啂䙁䄸䅔灂䝁䅙党時䕁䅙兡畂䝁䅅杢橂䝁䅫兙獂䡁䅍睘㉂䑁䅅杌㑂䝁䅷督瑂䙁䄰睑桂䡁䅁兡あ䝁䅅䅢時䕁䅅䅚求䡁䅅兤桂䝁䅍入桁䍁䅑䅒歁䑁䅣杏歁䕁䅧䅊㍁䅁䅁䅌䅁䡁䄴䅁扂䕁䄰兓時䕁䅫杔呂䙁䄸睕啂䕁䅅䅖時䕁䅷兡浂䝁䅕睘䝂䝁䅫杢桂䝁䄴睙灂䝁䅅䅢穂䙁䄸杤硁䍁䄴䅥獂䡁䅍兢摂䕁䅙兡畂䝁䅅杢橂䝁䅫兙獂䙁䄸䅓灂䝁䅣䅡獂䝁䅫睚潂䡁䅑督桁䍁䅑村歁䑁䅙䅁允䅁䅁䅧䅁䙁䅳兔䩂䙁䄸兓佂䙁䅍睘呂䙁䅑兑啂䙁䄸䅔灂䝁䅙党時䕁䅙兡畂䝁䅅杢橂䝁䅫兙獂䡁䅍睘㉂䑁䅅杌㑂䝁䅷督瑂䙁䄰杒灂䝁䄴兙畂䝁䅍兡桂䝁䅷睘䥂䝁䅫睚潂䝁䅷兡湂䝁䅧䅤穂䍁䅅䅊䍂䍁䅑睎㉁䅁䅁睡䅁䥁䄴䅁扂䕁䄰兓時䕁䅫杔呂䙁䄸睕啂䕁䅅䅖時䕁䅷兡浂䝁䅕睘䝂䝁䅫杢桂䝁䄴睙灂䝁䅅䅢穂䙁䄸杤硁䍁䄴䅥獂䡁䅍兢摂䕁䅙兡畂䝁䅅杢橂䝁䅫兙獂䙁䄸䅓灂䝁䅣䅡獂䝁䅫睚潂䡁䅑督桁䍁䅑睑歁䑁䅅䅍㙁䍁䅑睑歁䑁䅅兎祁䅁䅁杅䅁䥁䄴䅁扂䕁䄰兓時䕁䅫杔呂䙁䄸睕啂䕁䅅䅖時䕁䅷兡浂䝁䅕睘䝂䝁䅫杢桂䝁䄴睙灂䝁䅅䅢穂䙁䄸杤硁䍁䄴䅥獂䡁䅍兢摂䕁䅙兡畂䝁䅅杢橂䝁䅫兙獂䙁䄸䅓灂䝁䅣䅡獂䝁䅫睚潂䡁䅑督桁䍁䅑睑歁䑁䅅䅍㙁䍁䅑睑歁䑁䅅兎穁䅁䅁兡䅁䥁䄴䅁扂䕁䄰兓時䕁䅫杔呂䙁䄸睕啂䕁䅅䅖時䕁䅷兡浂䝁䅕睘䝂䝁䅫杢桂䝁䄴睙灂䝁䅅䅢穂䙁䄸杤硁䍁䄴䅥獂䡁䅍兢摂䕁䅙兡畂䝁䅅杢橂䝁䅫兙獂䙁䄸䅓灂䝁䅣䅡獂䝁䅫睚潂䡁䅑督桁䍁䅑睑歁䑁䅣䅏㙁䍁䅑睑歁䑁䅅䅍睁䅁䅁兢䅁䥁䄴䅁扂䕁䄰兓時䕁䅫杔呂䙁䄸睕啂䕁䅅䅖時䕁䅷兡浂䝁䅕睘䝂䝁䅫杢桂䝁䄴睙灂䝁䅅䅢穂䙁䄸杤硁䍁䄴䅥獂䡁䅍兢摂䕁䅙兡畂䝁䅅杢橂䝁䅫兙獂䙁䄸䅓灂䝁䅣䅡獂䝁䅫睚潂䡁䅑督桁䍁䅑兒歁䑁䅅䅍㙁䍁䅑兒歁䑁䅅兎祁䅁䅁䅆䅁䥁䄴䅁扂䕁䄰兓時䕁䅫杔呂䙁䄸睕啂䕁䅅䅖時䕁䅷兡浂䝁䅕睘䝂䝁䅫杢桂䝁䄴睙灂䝁䅅䅢穂䙁䄸杤硁䍁䄴䅥獂䡁䅍兢摂䕁䅙兡畂䝁䅅杢橂䝁䅫兙獂䙁䄸䅓灂䝁䅣䅡獂䝁䅫睚潂䡁䅑督桁䍁䅑兒歁䑁䅅䅍㙁䍁䅑兒歁䑁䅅兎穁䅁䅁条䅁䥁䄴䅁扂䕁䄰兓時䕁䅫杔呂䙁䄸睕啂䕁䅅䅖時䕁䅷兡浂䝁䅕睘䝂䝁䅫杢桂䝁䄴睙灂䝁䅅䅢穂䙁䄸杤硁䍁䄴䅥獂䡁䅍兢摂䕁䅙兡畂䝁䅅杢橂䝁䅫兙獂䙁䄸䅓灂䝁䅣䅡獂䝁䅫睚潂䡁䅑督桁䍁䅑兒歁䑁䅣䅏㙁䍁䅑兒歁䑁䅅䅍睁䅁䅁睢䅁䥁䅧䅁扂䕁䄰兓時䕁䅫杔呂䙁䄸睕啂䕁䅅䅖時䕁䅷兡浂䝁䅕睘䝂䝁䅫杢桂䝁䄴睙灂䝁䅅䅢穂䙁䄸杤硁䍁䄴䅥獂䡁䅍兢摂䕁䅙兡畂䝁䅅杢橂䝁䅫兙獂䙁䄸䅓灂䝁䅣䅡獂䝁䅫睚潂䡁䅑督桁䍁䅑杒歁䑁䅙杏歁䕁䅯䅊㉁䅁䅁充䅁䥁䅷䅁扂䕁䄰兓時䕁䅫杔呂䙁䄸睕啂䕁䅅䅖時䕁䅷兡浂䝁䅕睘䝂䝁䅫杢桂䝁䄴睙灂䝁䅅䅢穂䙁䄸杤硁䍁䄴䅥獂䡁䅍兢摂䕁䅙兡畂䝁䅅杢橂䝁䅫兙獂䙁䄸䅓灂䝁䅣䅡獂䝁䅫睚潂䡁䅑督桁䍁䅑杒歁䑁䅣李㙁䍁䅑杓歁䑁䅣李䅁䝁䅷䅁䵃䅁䅁睗乂䕁䅫睘䩂䕁䄴睕時䙁䅍䅖䉂䙁䅑睘䵂䝁䅫杚求䙁䄸杒灂䝁䄴兙畂䝁䅍兡桂䝁䅷督時䡁䅙免畁䡁䅧䅢穂䝁䄰兘䝂䝁䅫杢桂䝁䄴睙灂䝁䅅䅢時䕁䅧兡湂䝁䅧䅢灂䝁䅣䅡あ䡁䅍光歁䕁䅙䅊㍁䑁䅣杏歁䕁䅯䅊㍁䑁䅣䅁畂䅁䅁䅩䅁䙁䅳兔䩂䙁䄸兓佂䙁䅍睘呂䙁䅑兑啂䙁䄸䅔灂䝁䅙党時䕁䅙兡畂䝁䅅杢橂䝁䅫兙獂䡁䅍睘㉂䑁䅅杌㑂䝁䅷督瑂䙁䄰杒灂䝁䄴兙畂䝁䅍兡桂䝁䅷睘䥂䝁䅫睚潂䝁䅷兡湂䝁䅧䅤穂䍁䅅䅊䝂䍁䅑睎㙁䍁䅑杓歁䑁䅣䅁呁䅁䅁䅥䅁䙁䅳兔䩂䙁䄸兓佂䙁䅍睘呂䙁䅑兑啂䙁䄸䅔灂䝁䅙党時䕁䅙兡畂䝁䅅杢橂䝁䅫兙獂䡁䅍睘㉂䑁䅅杌㑂䝁䅷督瑂䙁䄰兓畂䙁䄸杒療䡁䅉睙求䙁䄸兙畂䝁䅑睘呂䝁䅫来求䍁䅅䅊䍂䍁䅑李䅁䑁䅉䅁䝃䅁䅁睗乂䕁䅫睘䩂䕁䄴睕時䙁䅍䅖䉂䙁䅑睘䵂䝁䅫杚求䙁䄸杒灂䝁䄴兙畂䝁䅍兡桂䝁䅷督時䡁䅙免畁䡁䅧䅢穂䝁䄰兘䩂䝁䄴睘䝂䝁䄸杣橂䝁䅕睘桂䝁䄴䅚時䙁䅍兡㙂䝁䅕光歁䕁䅍䅊硁䑁䅁杏歁䕁䅍䅊ぁ䑁䅙䅁ぁ䅁䅁杧䅁䙁䅳兔䩂䙁䄸兓佂䙁䅍睘呂䙁䅑兑啂䙁䄸䅔灂䝁䅙党時䕁䅙兡畂䝁䅅杢橂䝁䅫兙獂䡁䅍睘㉂䑁䅅杌㑂䝁䅷督瑂䙁䄰兓畂䙁䄸杒療䡁䅉睙求䙁䄸兙畂䝁䅑睘呂䝁䅫来求䍁䅅䅊䕂䍁䅑李㙁䍁䅑䅓歁䑁䅙䅁穁䅁䅁杧䅁䙁䅳兔䩂䙁䄸兓佂䙁䅍睘呂䙁䅑兑啂䙁䄸䅔灂䝁䅙党時䕁䅙兡畂䝁䅅杢橂䝁䅫兙獂䡁䅍睘㉂䑁䅅杌㑂䝁䅷督瑂䙁䄰兓畂䙁䄸杒療䡁䅉睙求䙁䄸兙畂䝁䅑睘呂䝁䅫来求䍁䅅䅊䕂䍁䅑睎㙁䍁䅑䅓歁䑁䅣䅁ㅁ䅁䅁来䅁䙁䅳兔䩂䙁䄸兓佂䙁䅍睘呂䙁䅑兑啂䙁䄸䅔灂䝁䅙党時䕁䅙兡畂䝁䅅杢橂䝁䅫兙獂䡁䅍睘㉂䑁䅅杌㑂䝁䅷督瑂䙁䄰兓畂䝁䅍睢瑂䝁䅕睘呂䡁䅑兙あ䝁䅕兢求䝁䄴䅤桁䍁䅑村歁䑁䅅䅏ぁ䅁䅁內䅁䡁䅯䅁扂䕁䄰兓時䕁䅫杔呂䙁䄸睕啂䕁䅅䅖時䕁䅷兡浂䝁䅕睘䝂䝁䅫杢桂䝁䄴睙灂䝁䅅䅢穂䙁䄸杤硁䍁䄴䅥獂䡁䅍兢摂䕁䅫杢橂䝁䄸兢求䙁䄸睕あ䝁䅅䅤求䝁䄰党畂䡁䅑光歁䕁䅉䅊祁䑁䅅免䅁䥁䅙䅁㙂䅁䅁睗乂䕁䅫睘䩂䕁䄴睕時䙁䅍䅖䉂䙁䅑睘䵂䝁䅫杚求䙁䄸杒灂䝁䄴兙畂䝁䅍兡桂䝁䅷督時䡁䅙免畁䡁䅧䅢穂䝁䄰兘䩂䝁䄴睙療䝁䄰党時䙁䅍䅤桂䡁䅑党瑂䝁䅕杢あ䍁䅅䅊䍂䍁䅑杍ㅁ䑁䅁䅁祂䅁䅁䅥䅁䙁䅳兔䩂䙁䄸兓佂䙁䅍睘呂䙁䅑兑啂䙁䄸䅔灂䝁䅙党時䕁䅙兡畂䝁䅅杢橂䝁䅫兙獂䡁䅍睘㉂䑁䅅杌㑂䝁䅷督瑂䙁䄰兓畂䝁䅍睢瑂䝁䅕睘呂䡁䅑兙あ䝁䅕兢求䝁䄴䅤桁䍁䅑村歁䑁䅍兏䅁䡁䅣䅁㉂䅁䅁睗乂䕁䅫睘䩂䕁䄴睕時䙁䅍䅖䉂䙁䅑睘䵂䝁䅫杚求䙁䄸杒灂䝁䄴兙畂䝁䅍兡桂䝁䅷督時䡁䅙免畁䡁䅧䅢穂䝁䄰兘䩂䝁䄴睙療䝁䄰党時䙁䅍䅤桂䡁䅑党瑂䝁䅕杢あ䍁䅅䅊䍂䍁䅑李䅁䉁䅳䅁㑂䅁䅁睗乂䕁䅫睘䩂䕁䄴睕時䙁䅍䅖䉂䙁䅑睘䵂䝁䅫杚求䙁䄸杒灂䝁䄴兙畂䝁䅍兡桂䝁䅷督時䡁䅙免畁䡁䅧䅢穂䝁䄰兘䩂䝁䄴睙療䝁䄰党時䙁䅍䅤桂䡁䅑党瑂䝁䅕杢あ䍁䅅䅊䍂䍁䅑䅏ㅁ䅁䅁䅦䅁䥁䅙䅁扂䕁䄰兓時䕁䅫杔呂䙁䄸睕啂䕁䅅䅖時䕁䅷兡浂䝁䅕睘䝂䝁䅫杢桂䝁䄴睙灂䝁䅅䅢穂䙁䄸杤硁䍁䄴䅥獂䡁䅍兢摂䕁䅫杢橂䝁䄸兢求䙁䄸睕あ䝁䅅䅤求䝁䄰党畂䡁䅑光歁䕁䅍䅊硁䑁䅁杏歁䕁䅍䅊祁䑁䅧免䅁䉁䄰䅁䝃䅁䅁睗乂䕁䅫睘䩂䕁䄴睕時䙁䅍䅖䉂䙁䅑睘䵂䝁䅫杚求䙁䄸杒灂䝁䄴兙畂䝁䅍兡桂䝁䅷督時䡁䅙免畁䡁䅧䅢穂䝁䄰兘䩂䝁䄴睙療䝁䄰党時䙁䅍䅤桂䡁䅑党瑂䝁䅕杢あ䍁䅅䅊䑂䍁䅑免睁䑁䅯䅊䑂䍁䅑杍㕁䑁䅁䅁睂䅁䅁䅩䅁䙁䅳兔䩂䙁䄸兓佂䙁䅍睘呂䙁䅑兑啂䙁䄸䅔灂䝁䅙党時䕁䅙兡畂䝁䅅杢橂䝁䅫兙獂䡁䅍睘㉂䑁䅅杌㑂䝁䅷督瑂䙁䄰兓畂䝁䅍睢瑂䝁䅕睘呂䡁䅑兙あ䝁䅕兢求䝁䄴䅤桁䍁䅑睑歁䑁䅅䅏㉁䑁䅯䅊䑂䍁䅑免㕁䑁䅙䅁䑃䅁䅁䅩䅁䙁䅳兔䩂䙁䄸兓佂䙁䅍睘呂䙁䅑兑啂䙁䄸䅔灂䝁䅙党時䕁䅙兡畂䝁䅅杢橂䝁䅫兙獂䡁䅍睘㉂䑁䅅杌㑂䝁䅷督瑂䙁䄰兓畂䝁䅍睢瑂䝁䅕睘呂䡁䅑兙あ䝁䅕兢求䝁䄴䅤桁䍁䅑睑歁䑁䅉免穁䑁䅯䅊䑂䍁䅑杍穁䑁䅕䅁䥃䅁䅁䅩䅁䙁䅳兔䩂䙁䄸兓佂䙁䅍睘呂䙁䅑兑啂䙁䄸䅔灂䝁䅙党時䕁䅙兡畂䝁䅅杢橂䝁䅫兙獂䡁䅍睘㉂䑁䅅杌㑂䝁䅷督瑂䙁䄰兓畂䝁䅍睢瑂䝁䅕睘呂䡁䅑兙あ䝁䅕兢求䝁䄴䅤桁䍁䅑睑歁䑁䅉兎祁䑁䅯䅊䑂䍁䅑杍㉁䑁䅉䅁あ䅁䅁䅨䅁䙁䅳兔䩂䙁䄸兓佂䙁䅍睘呂䙁䅑兑啂䙁䄸䅔灂䝁䅙党時䕁䅙兡畂䝁䅅杢橂䝁䅫兙獂䡁䅍睘㉂䑁䅅杌㑂䝁䅷督瑂䙁䄰兓畂䝁䅍睢瑂䝁䅕睘呂䡁䅑兙あ䝁䅕兢求䝁䄴䅤桁䍁䅑睑歁䑁䅑免㙁䍁䅑睑歁䑁䅙睍䅁䡁䅫䅁䝃䅁䅁睗乂䕁䅫睘䩂䕁䄴睕時䙁䅍䅖䉂䙁䅑睘䵂䝁䅫杚求䙁䄸杒灂䝁䄴兙畂䝁䅍兡桂䝁䅷督時䡁䅙免畁䡁䅧䅢穂䝁䄰兘䩂䝁䄴睙療䝁䄰党時䙁䅍䅤桂䡁䅑党瑂䝁䅕杢あ䍁䅅䅊䑂䍁䅑䅏㍁䑁䅯䅊䑂䍁䅑免㉁䑁䅫䅁⭂䅁䅁䅧䅁䙁䅳兔䩂䙁䄸兓佂䙁䅍睘呂䙁䅑兑啂䙁䄸䅔灂䝁䅙党時䕁䅙兡畂䝁䅅杢橂䝁䅫兙獂䡁䅍睘㉂䑁䅅杌㑂䝁䅷督瑂䙁䄰兓畂䝁䅍睢瑂䝁䅕睘呂䡁䅑兙あ䝁䅕兢求䝁䄴䅤桁䍁䅑䅒歁䑁䅙杏歁䕁䅧䅊㉁䅁䅁䅈䅁䥁䅁䅁扂䕁䄰兓時䕁䅫杔呂䙁䄸睕啂䕁䅅䅖時䕁䅷兡浂䝁䅕睘䝂䝁䅫杢桂䝁䄴睙灂䝁䅅䅢穂䙁䄸杤硁䍁䄴䅥獂䡁䅍兢摂䕁䅫杢橂䝁䄸兢求䙁䄸睕あ䝁䅅䅤求䝁䄰党畂䡁䅑光歁䕁䅑䅊㍁䑁䅯䅊䥂䍁䅑睎䅁䉁䄴䅁䝃䅁䅁睗乂䕁䅫睘䩂䕁䄴睕時䙁䅍䅖䉂䙁䅑睘䵂䝁䅫杚求䙁䄸杒灂䝁䄴兙畂䝁䅍兡桂䝁䅷督時䡁䅙免畁䡁䅧䅢穂䝁䄰兘䩂䝁䄴睙療䝁䄰党時䙁䅍䅤桂䡁䅑党瑂䝁䅕杢あ䍁䅅䅊䙂䍁䅑免睁䑁䅯䅊䙂䍁䅑杍㑁䑁䅅䅁晁䅁䅁杨䅁䙁䅳兔䩂䙁䄸兓佂䙁䅍睘呂䙁䅑兑啂䙁䄸䅔灂䝁䅙党時䕁䅙兡畂䝁䅅杢橂䝁䅫兙獂䡁䅍睘㉂䑁䅅杌㑂䝁䅷督瑂䙁䄰兓畂䝁䅍睢瑂䝁䅕睘呂䡁䅑兙あ䝁䅕兢求䝁䄴䅤桁䍁䅑兒歁䑁䅅䅍㙁䍁䅑兒歁䑁䅉兏睁䅁䅁兣䅁䥁䅧䅁扂䕁䄰兓時䕁䅫杔呂䙁䄸睕啂䕁䅅䅖時䕁䅷兡浂䝁䅕睘䝂䝁䅫杢桂䝁䄴睙灂䝁䅅䅢穂䙁䄸杤硁䍁䄴䅥獂䡁䅍兢摂䕁䅫杢橂䝁䄸兢求䙁䄸睕あ䝁䅅䅤求䝁䄰党畂䡁䅑光歁䕁䅕䅊硁䑁䅧李㙁䍁䅑兒歁䑁䅅兏㉁䅁䅁全䅁䥁䅧䅁扂䕁䄰兓時䕁䅫杔呂䙁䄸睕啂䕁䅅䅖時䕁䅷兡浂䝁䅕睘䝂䝁䅫杢桂䝁䄴睙灂䝁䅅䅢穂䙁䄸杤硁䍁䄴䅥獂䡁䅍兢摂䕁䅫杢橂䝁䄸兢求䙁䄸睕あ䝁䅅䅤求䝁䄰党畂䡁䅑光歁䕁䅕䅊祁䑁䅅睍㙁䍁䅑兒歁䑁䅉睍ㅁ䅁䅁杩䅁䥁䅧䅁扂䕁䄰兓時䕁䅫杔呂䙁䄸睕啂䕁䅅䅖時䕁䅷兡浂䝁䅕睘䝂䝁䅫杢桂䝁䄴睙灂䝁䅅䅢穂䙁䄸杤硁䍁䄴䅥獂䡁䅍兢摂䕁䅫杢橂䝁䄸兢求䙁䄸睕あ䝁䅅䅤求䝁䄰党畂䡁䅑光歁䕁䅕䅊祁䑁䅕杍㙁䍁䅑兒歁䑁䅉李祁䅁䅁杤䅁䥁䅑䅁扂䕁䄰兓時䕁䅫杔呂䙁䄸睕啂䕁䅅䅖時䕁䅷兡浂䝁䅕睘䝂䝁䅫杢桂䝁䄴睙灂䝁䅅䅢穂䙁䄸杤硁䍁䄴䅥獂䡁䅍兢摂䕁䅫杢橂䝁䄸兢求䙁䄸睕あ䝁䅅䅤求䝁䄰党畂䡁䅑光歁䕁䅕䅊ぁ䑁䅅杏歁䕁䅕䅊㉁䑁䅍䅁㝂䅁䅁杨䅁䙁䅳兔䩂䙁䄸兓佂䙁䅍睘呂䙁䅑兑啂䙁䄸䅔灂䝁䅙党時䕁䅙兡畂䝁䅅杢橂䝁䅫兙獂䡁䅍睘㉂䑁䅅杌㑂䝁䅷督瑂䙁䄰兓畂䝁䅍睢瑂䝁䅕睘呂䡁䅑兙あ䝁䅕兢求䝁䄴䅤桁䍁䅑兒歁䑁䅧睎㙁䍁䅑兒歁䑁䅅李㕁䅁䅁䅧䅁䥁䅧䅁扂䕁䄰兓時䕁䅫杔呂䙁䄸睕啂䕁䅅䅖時䕁䅷兡浂䝁䅕睘䝂䝁䅫杢桂䝁䄴睙灂䝁䅅䅢穂䙁䄸杤硁䍁䄴䅥獂䡁䅍兢摂䕁䅫杢橂䝁䄸兢求䙁䄸睕あ䝁䅅䅤求䝁䄰党畂䡁䅑光歁䕁䅙䅊硁䑁䅧䅎㙁䍁䅑杓歁䑁䅅䅏ぁ䅁䅁杧䅁䥁䅧䅁扂䕁䄰兓時䕁䅫杔呂䙁䄸睕啂䕁䅅䅖時䕁䅷兡浂䝁䅕睘䝂䝁䅫杢桂䝁䄴睙灂䝁䅅䅢穂䙁䄸杤硁䍁䄴䅥獂䡁䅍兢摂䕁䅫杢橂䝁䄸兢求䙁䄸睕あ䝁䅅䅤求䝁䄰党畂䡁䅑光歁䕁䅙䅊硁䑁䅧兎㙁䍁䅑杓歁䑁䅅䅏ㅁ䅁䅁䅨䅁䥁䅧䅁扂䕁䄰兓時䕁䅫杔呂䙁䄸睕啂䕁䅅䅖時䕁䅷兡浂䝁䅕睘䝂䝁䅫杢桂䝁䄴睙灂䝁䅅䅢穂䙁䄸杤硁䍁䄴䅥獂䡁䅍兢摂䕁䅫杢橂䝁䄸兢求䙁䄸睕あ䝁䅅䅤求䝁䄰党畂䡁䅑光歁䕁䅙䅊祁䑁䅅免㙁䍁䅑杓歁䑁䅉免硁䅁䅁睨䅁䥁䅧䅁扂䕁䄰兓時䕁䅫杔呂䙁䄸睕啂䕁䅅䅖時䕁䅷兡浂䝁䅕睘䝂䝁䅫杢桂䝁䄴睙灂䝁䅅䅢穂䙁䄸杤硁䍁䄴䅥獂䡁䅍兢摂䕁䅫杢橂䝁䄸兢求䙁䄸睕あ䝁䅅䅤求䝁䄰党畂䡁䅑光歁䕁䅙䅊祁䑁䅅杍㙁䍁䅑杓歁䑁䅉免祁䅁䅁兩䅁䥁䅧䅁扂䕁䄰兓時䕁䅫杔呂䙁䄸睕啂䕁䅅䅖時䕁䅷兡浂䝁䅕睘䝂䝁䅫杢桂䝁䄴睙灂䝁䅅䅢穂䙁䄸杤硁䍁䄴䅥獂䡁䅍兢摂䕁䅫杢橂䝁䄸兢求䙁䄸睕あ䝁䅅䅤求䝁䄰党畂䡁䅑光歁䕁䅙䅊祁䑁䅕䅍㙁䍁䅑杓歁䑁䅉兎睁䅁䅁督䅁䥁䅧䅁扂䕁䄰兓時䕁䅫杔呂䙁䄸睕啂䕁䅅䅖時䕁䅷兡浂䝁䅕睘䝂䝁䅫杢桂䝁䄴睙灂䝁䅅䅢穂䙁䄸杤硁䍁䄴䅥獂䡁䅍兢摂䕁䅫杢橂䝁䄸兢求䙁䄸睕あ䝁䅅䅤求䝁䄰党畂䡁䅑光歁䕁䅙䅊祁䑁䅕免㙁䍁䅑杓歁䑁䅉兎硁䅁䅁兤䅁䥁䅑䅁扂䕁䄰兓時䕁䅫杔呂䙁䄸睕啂䕁䅅䅖時䕁䅷兡浂䝁䅕睘䝂䝁䅫杢桂䝁䄴睙灂䝁䅅䅢穂䙁䄸杤硁䍁䄴䅥獂䡁䅍兢摂䕁䅫杢橂䝁䄸兢求䙁䄸睕あ䝁䅅䅤求䝁䄰党畂䡁䅑光歁䕁䅙䅊穁䑁䅫杏歁䕁䅯䅊穁䑁䅫䅁㑂䅁䅁䅨䅁䙁䅳兔䩂䙁䄸兓佂䙁䅍睘呂䙁䅑兑啂䙁䄸䅔灂䝁䅙党時䕁䅙兡畂䝁䅅杢橂䝁䅫兙獂䡁䅍睘㉂䑁䅅杌㑂䝁䅷督瑂䙁䄰兓畂䝁䅍睢瑂䝁䅕睘呂䡁䅑兙あ䝁䅕兢求䝁䄴䅤桁䍁䅑杒歁䑁䅑䅍㙁䍁䅑杓歁䑁䅑䅍䅁䡁䅯䅁䅃䅁䅁睗乂䕁䅫睘䩂䕁䄴睕時䙁䅍䅖䉂䙁䅑睘䵂䝁䅫杚求䙁䄸杒灂䝁䄴兙畂䝁䅍兡桂䝁䅷督時䡁䅙免畁䡁䅧䅢穂䝁䄰兘䩂䝁䄴睙療䝁䄰党時䙁䅍䅤桂䡁䅑党瑂䝁䅕杢あ䍁䅅䅊䝂䍁䅑李㙁䍁䅑杓歁䑁䅙䅁湂䅁䅁䅧䅁䙁䅳兔䩂䙁䄸兓佂䙁䅍睘呂䙁䅑兑啂䙁䄸䅔灂䝁䅙党時䕁䅙兡畂䝁䅅杢橂䝁䅫兙獂䡁䅍睘㉂䑁䅅杌㑂䝁䅷督瑂䙁䄰兓畂䝁䅍睢瑂䝁䅕睘呂䡁䅑兙あ䝁䅕兢求䝁䄴䅤桁䍁䅑杒歁䑁䅣杏歁䕁䅯䅊㍁䅁䅁䅡䅁䥁䅑䅁扂䕁䄰兓時䕁䅫杔呂䙁䄸睕啂䕁䅅䅖時䕁䅷兡浂䝁䅕睘䝂䝁䅫杢桂䝁䄴睙灂䝁䅅䅢穂䙁䄸杤硁䍁䄴䅥獂䡁䅍兢摂䕁䅫杢橂䝁䄸兢求䙁䄸睕あ䝁䅅䅤求䝁䄰党畂䡁䅑光歁䕁䅙䅊㑁䑁䅕杏歁䕁䅯䅊㑁䑁䅕䅁㥂䅁䅁䅨䅁䙁䅳兔䩂䙁䄸兓佂䙁䅍睘呂䙁䅑兑啂䙁䄸䅔灂䝁䅙党時䕁䅙兡畂䝁䅅杢橂䝁䅫兙獂䡁䅍睘㉂䑁䅅杌㑂䝁䅷督瑂䙁䄰兓畂䝁䅍睢瑂䝁䅕睘呂䡁䅑兙あ䝁䅕兢求䝁䄴䅤桁䍁䅑杒歁䑁䅧李㙁䍁䅑杓歁䑁䅧李䅁䡁䄸䅁祂䅁䅁睗乂䕁䅫睘䩂䕁䄴睕時䙁䅍䅖䉂䙁䅑睘䵂䝁䅫杚求䙁䄸杒灂䝁䄴兙畂䝁䅍兡桂䝁䅷督時䡁䅙免畁䡁䅧䅢穂䝁䄰兘䩂䝁䄴督あ䡁䅉兤橂䡁䅑兡療䝁䄴督桁䍁䅑兑䉂䍁䅑睎ぁ䅁䅁睦䅅䡁䅁䅁扂䕁䄰兓時䕁䅫杔呂䙁䄸睕啂䕁䅅䅖時䕁䅷兡浂䝁䅕睘䝂䝁䅫杢桂䝁䄴睙灂䝁䅅䅢穂䙁䄸杤硁䍁䄴䅥獂䡁䅍兢摂䕁䅫杢穂䡁䅑杣ㅂ䝁䅍䅤灂䝁䄸杢穂䍁䅅䅊奂䍁䅑李㉁䅁䅁来䅅䡁䅁䅁扂䕁䄰兓時䕁䅫杔呂䙁䄸睕啂䕁䅅䅖時䕁䅷兡浂䝁䅕睘䝂䝁䅫杢桂䝁䄴睙灂䝁䅅䅢穂䙁䄸杤硁䍁䄴䅥獂䡁䅍兢摂䕁䅫杢穂䡁䅑杣ㅂ䝁䅍䅤灂䝁䄸杢穂䍁䅅䅊奂䍁䅑李㕁䅁䅁睥䅅䡁䄴䅁扂䕁䄰兓時䕁䅫杔呂䙁䄸睕啂䕁䅅䅖時䕁䅷兡浂䝁䅕睘䝂䝁䅫杢桂䝁䄴睙灂䝁䅅䅢穂䙁䄸杤硁䍁䄴䅥獂䡁䅍兢摂䕁䅫杢穂䡁䅑杣ㅂ䝁䅍䅤灂䝁䄸杢穂䍁䅅䅊婂䍁䅑李㉁䑁䅯䅊䉂䕁䅉䅊㉁䑁䅙䅁㡂允䅁杦䅁䙁䅳兔䩂䙁䄸兓佂䙁䅍睘呂䙁䅑兑啂䙁䄸䅔灂䝁䅙党時䕁䅙兡畂䝁䅅杢橂䝁䅫兙獂䡁䅍睘㉂䑁䅅杌㑂䝁䅷督瑂䙁䄰兓畂䡁䅍䅤祂䡁䅕睙あ䝁䅫睢畂䡁䅍光歁䙁䅫䅊㉁䑁䅣杏歁䕁䅅村歁䑁䅙睎䅁䡁䈰䅁睂䅁䅁睗乂䕁䅫睘䩂䕁䄴睕時䙁䅍䅖䉂䙁䅑睘䵂䝁䅫杚求䙁䄸杒灂䝁䄴兙畂䝁䅍兡桂䝁䅷督時䡁䅙免畁䡁䅧䅢穂䝁䄰兘䩂䝁䄴督あ䡁䅉兤橂䡁䅑兡療䝁䄴督桁䍁䅑兗歁䑁䅣杍䅁䡁䈴䅁㡂䅁䅁睗乂䕁䅫睘䩂䕁䄴睕時䙁䅍䅖䉂䙁䅑睘䵂䝁䅫杚求䙁䄸杒灂䝁䄴兙畂䝁䅍兡桂䝁䅷督時䡁䅙免畁䡁䅧䅢穂䝁䄰兘䩂䝁䄴杤求䡁䅍䅤瑂䝁䅕杢あ䙁䄸兑畂䝁䅅䅢㕂䡁䅍兡穂䍁䅅䅊䍂䍁䅑李䅁䍁䅕䅁䵃䅁䅁睗乂䕁䅫睘䩂䕁䄴睕時䙁䅍䅖䉂䙁䅑睘䵂䝁䅫杚求䙁䄸杒灂䝁䄴兙畂䝁䅍兡桂䝁䅷督時䡁䅙免畁䡁䅧䅢穂䝁䄰兘䩂䝁䄴杤求䡁䅍䅤瑂䝁䅕杢あ䙁䄸兑畂䝁䅅䅢㕂䡁䅍兡穂䍁䅅䅊䑂䍁䅑免睁䑁䅯䅊䑂䍁䅑免睁䑁䅧䅁湁䅁䅁杨䅁䙁䅳兔䩂䙁䄸兓佂䙁䅍睘呂䙁䅑兑啂䙁䄸䅔灂䝁䅙党時䕁䅙兡畂䝁䅅杢橂䝁䅫兙獂䡁䅍睘㉂䑁䅅杌㑂䝁䅷督瑂䙁䄰兓畂䡁䅙党穂䡁䅑兢求䝁䄴䅤時䕁䅅杢桂䝁䅷入穂䝁䅫督桁䍁䅑䅒歁䑁䅙杏歁䕁䅧䅊㉁䅁䅁杊䅁䥁䅙䅁扂䕁䄰兓時䕁䅫杔呂䙁䄸睕啂䕁䅅䅖時䕁䅷兡浂䝁䅕睘䝂䝁䅫杢桂䝁䄴睙灂䝁䅅䅢穂䙁䄸杤硁䍁䄴䅥獂䡁䅍兢摂䕁䅫杢㉂䝁䅕督あ䝁䄰党畂䡁䅑睘䉂䝁䄴兙獂䡁䅫督灂䡁䅍光歁䕁䅑䅊㍁䑁䅯䅊䥂䍁䅑睎䅁䍁䅧䅁㉂䅁䅁睗乂䕁䅫睘䩂䕁䄴睕時䙁䅍䅖䉂䙁䅑睘䵂䝁䅫杚求䙁䄸杒灂䝁䄴兙畂䝁䅍兡桂䝁䅷督時䡁䅙免畁䡁䅧䅢穂䝁䄰兘兂䝁䅕党祂䙁䄸兑畂䝁䅅䅢㕂䡁䅍兡穂䍁䅅䅊䍂䍁䅑免睁䑁䅙䅍䅁䭁䉷䅁㉂䅁䅁睗乂䕁䅫睘䩂䕁䄴睕時䙁䅍䅖䉂䙁䅑睘䵂䝁䅫杚求䙁䄸杒灂䝁䄴兙畂䝁䅍兡桂䝁䅷督時䡁䅙免畁䡁䅧䅢穂䝁䄰兘兂䝁䅕党祂䙁䄸兑畂䝁䅅䅢㕂䡁䅍兡穂䍁䅅䅊䍂䍁䅑免睁䑁䅙杍䅁䕁䉳䅁㉂䅁䅁睗乂䕁䅫睘䩂䕁䄴睕時䙁䅍䅖䉂䙁䅑睘䵂䝁䅫杚求䙁䄸杒灂䝁䄴兙畂䝁䅍兡桂䝁䅷督時䡁䅙免畁䡁䅧䅢穂䝁䄰兘兂䝁䅕党祂䙁䄸兑畂䝁䅅䅢㕂䡁䅍兡穂䍁䅅䅊䍂䍁䅑免睁䑁䅙睍䅁䅁䉯䅁㉂䅁䅁睗乂䕁䅫睘䩂䕁䄴睕時䙁䅍䅖䉂䙁䅑睘䵂䝁䅫杚求䙁䄸杒灂䝁䄴兙畂䝁䅍兡桂䝁䅷督時䡁䅙免畁䡁䅧䅢穂䝁䄰兘兂䝁䅕党祂䙁䄸兑畂䝁䅅䅢㕂䡁䅍兡穂䍁䅅䅊䍂䍁䅑免睁䑁䅧李䅁䱁䉅䅁㉂䅁䅁睗乂䕁䅫睘䩂䕁䄴睕時䙁䅍䅖䉂䙁䅑睘䵂䝁䅫杚求䙁䄸杒灂䝁䄴兙畂䝁䅍兡桂䝁䅷督時䡁䅙免畁䡁䅧䅢穂䝁䄰兘兂䝁䅕党祂䙁䄸兑畂䝁䅅䅢㕂䡁䅍兡穂䍁䅅䅊䍂䍁䅑免睁䑁䅧䅏䅁䕁䈸䅁㉂䅁䅁睗乂䕁䅫睘䩂䕁䄴睕時䙁䅍䅖䉂䙁䅑睘䵂䝁䅫杚求䙁䄸杒灂䝁䄴兙畂䝁䅍兡桂䝁䅷督時䡁䅙免畁䡁䅧䅢穂䝁䄰兘兂䝁䅕党祂䙁䄸兑畂䝁䅅䅢㕂䡁䅍兡穂䍁䅅䅊䍂䍁䅑免睁䑁䅧兏䅁䅁䈸䅁㉂䅁䅁睗乂䕁䅫睘䩂䕁䄴睕時䙁䅍䅖䉂䙁䅑睘䵂䝁䅫杚求䙁䄸杒灂䝁䄴兙畂䝁䅍兡桂䝁䅷督時䡁䅙免畁䡁䅧䅢穂䝁䄰兘兂䝁䅕党祂䙁䄸兑畂䝁䅅䅢㕂䡁䅍兡穂䍁䅅䅊䍂䍁䅑免硁䑁䅁免䅁䱁䉙䅁㉂䅁䅁睗乂䕁䅫睘䩂䕁䄴睕時䙁䅍䅖䉂䙁䅑睘䵂䝁䅫杚求䙁䄸杒灂䝁䄴兙畂䝁䅍兡桂䝁䅷督時䡁䅙免畁䡁䅧䅢穂䝁䄰兘兂䝁䅕党祂䙁䄸兑畂䝁䅅䅢㕂䡁䅍兡穂䍁䅅䅊䍂䍁䅑免硁䑁䅁睍䅁䙁䉍䅁㉂䅁䅁睗乂䕁䅫睘䩂䕁䄴睕時䙁䅍䅖䉂䙁䅑睘䵂䝁䅫杚求䙁䄸杒灂䝁䄴兙畂䝁䅍兡桂䝁䅷督時䡁䅙免畁䡁䅧䅢穂䝁䄰兘兂䝁䅕党祂䙁䄸兑畂䝁䅅䅢㕂䡁䅍兡穂䍁䅅䅊䍂䍁䅑免硁䑁䅁䅎䅁䉁䉑䅁㉂䅁䅁睗乂䕁䅫睘䩂䕁䄴睕時䙁䅍䅖䉂䙁䅑睘䵂䝁䅫杚求䙁䄸杒灂䝁䄴兙畂䝁䅍兡桂䝁䅷督時䡁䅙免畁䡁䅧䅢穂䝁䄰兘兂䝁䅕党祂䙁䄸兑畂䝁䅅䅢㕂䡁䅍兡穂䍁䅅䅊䍂䍁䅑免硁䑁䅍䅎䅁䱁䉳䅁㉂䅁䅁睗乂䕁䅫睘䩂䕁䄴睕時䙁䅍䅖䉂䙁䅑睘䵂䝁䅫杚求䙁䄸杒灂䝁䄴兙畂䝁䅍兡桂䝁䅷督時䡁䅙免畁䡁䅧䅢穂䝁䄰兘兂䝁䅕党祂䙁䄸兑畂䝁䅅䅢㕂䡁䅍兡穂䍁䅅䅊䍂䍁䅑免硁䑁䅍李䅁䙁䉣䅁㉂䅁䅁睗乂䕁䅫睘䩂䕁䄴睕時䙁䅍䅖䉂䙁䅑睘䵂䝁䅫杚求䙁䄸杒灂䝁䄴兙畂䝁䅍兡桂䝁䅷督時䡁䅙免畁䡁䅧䅢穂䝁䄰兘兂䝁䅕党祂䙁䄸兑畂䝁䅅䅢㕂䡁䅍兡穂䍁䅅䅊䍂䍁䅑免硁䑁䅍睎䅁䉁䉫䅁㉂䅁䅁睗乂䕁䅫睘䩂䕁䄴睕時䙁䅍䅖䉂䙁䅑睘䵂䝁䅫杚求䙁䄸杒灂䝁䄴兙畂䝁䅍兡桂䝁䅷督時䡁䅙免畁䡁䅧䅢穂䝁䄰兘兂䝁䅕党祂䙁䄸兑畂䝁䅅䅢㕂䡁䅍兡穂䍁䅅䅊䍂䍁䅑免硁䑁䅣兏䅁䝁䉉䅁㉂䅁䅁睗乂䕁䅫睘䩂䕁䄴睕時䙁䅍䅖䉂䙁䅑睘䵂䝁䅫杚求䙁䄸杒灂䝁䄴兙畂䝁䅍兡桂䝁䅷督時䡁䅙免畁䡁䅧䅢穂䝁䄰兘兂䝁䅕党祂䙁䄸兑畂䝁䅅䅢㕂䡁䅍兡穂䍁䅅䅊䍂䍁䅑免硁䑁䅧䅍䅁䡁䉑䅁㉂䅁䅁睗乂䕁䅫睘䩂䕁䄴睕時䙁䅍䅖䉂䙁䅑睘䵂䝁䅫杚求䙁䄸杒灂䝁䄴兙畂䝁䅍兡桂䝁䅷督時䡁䅙免畁䡁䅧䅢穂䝁䄰兘兂䝁䅕党祂䙁䄸兑畂䝁䅅䅢㕂䡁䅍兡穂䍁䅅䅊䍂䍁䅑免祁䑁䅧睍䅁䵁䉁䅁あ䅁䅁睗乂䕁䅫睘䩂䕁䄴睕時䙁䅍䅖䉂䙁䅑睘䵂䝁䅫杚求䙁䄸杒灂䝁䄴兙畂䝁䅍兡桂䝁䅷督時䡁䅙免畁䡁䅧䅢穂䝁䄰兘兂䝁䅕党祂䙁䄸兑畂䝁䅅䅢㕂䡁䅍兡穂䍁䅅䅊䍂䍁䅑杍ぁ䑁䅑䅁牁允䅁䅤䅁䙁䅳兔䩂䙁䄸兓佂䙁䅍睘呂䙁䅑兑啂䙁䄸䅔灂䝁䅙党時䕁䅙兡畂䝁䅅杢橂䝁䅫兙獂䡁䅍睘㉂䑁䅅杌㑂䝁䅷督瑂䙁䄰䅕求䝁䅕杣時䕁䅅杢桂䝁䅷入穂䝁䅫督桁䍁䅑村歁䑁䅉䅎ㅁ䅁䅁䄲䅁䡁䅑䅁扂䕁䄰兓時䕁䅫杔呂䙁䄸睕啂䕁䅅䅖時䕁䅷兡浂䝁䅕睘䝂䝁䅫杢桂䝁䄴睙灂䝁䅅䅢穂䙁䄸杤硁䍁䄴䅥獂䡁䅍兢摂䙁䅁党求䡁䅉睘䉂䝁䄴兙獂䡁䅫督灂䡁䅍光歁䕁䅉䅊祁䑁䅫䅍䅁䉁䈸䅁あ䅁䅁睗乂䕁䅫睘䩂䕁䄴睕時䙁䅍䅖䉂䙁䅑睘䵂䝁䅫杚求䙁䄸杒灂䝁䄴兙畂䝁䅍兡桂䝁䅷督時䡁䅙免畁䡁䅧䅢穂䝁䄰兘兂䝁䅕党祂䙁䄸兑畂䝁䅅䅢㕂䡁䅍兡穂䍁䅅䅊䍂䍁䅑杍㕁䑁䅅䅁摄䅁䅁䅤䅁䙁䅳兔䩂䙁䄸兓佂䙁䅍睘呂䙁䅑兑啂䙁䄸䅔灂䝁䅙党時䕁䅙兡畂䝁䅅杢橂䝁䅫兙獂䡁䅍睘㉂䑁䅅杌㑂䝁䅷督瑂䙁䄰䅕求䝁䅕杣時䕁䅅杢桂䝁䅷入穂䝁䅫督桁䍁䅑村歁䑁䅍䅏㕁䅁䅁睌䅅䡁䅑䅁扂䕁䄰兓時䕁䅫杔呂䙁䄸睕啂䕁䅅䅖時䕁䅷兡浂䝁䅕睘䝂䝁䅫杢桂䝁䄴睙灂䝁䅅䅢穂䙁䄸杤硁䍁䄴䅥獂䡁䅍兢摂䙁䅁党求䡁䅉睘䉂䝁䄴兙獂䡁䅫督灂䡁䅍光歁䕁䅉䅊穁䑁䅫䅍䅁佁䅣䅁あ䅁䅁睗乂䕁䅫睘䩂䕁䄴睕時䙁䅍䅖䉂䙁䅑睘䵂䝁䅫杚求䙁䄸杒灂䝁䄴兙畂䝁䅍兡桂䝁䅷督時䡁䅙免畁䡁䅧䅢穂䝁䄰兘兂䝁䅕党祂䙁䄸兑畂䝁䅅䅢㕂䡁䅍兡穂䍁䅅䅊䍂䍁䅑䅎硁䑁䅙䅁穁允䅁䅤䅁䙁䅳兔䩂䙁䄸兓佂䙁䅍睘呂䙁䅑兑啂䙁䄸䅔灂䝁䅙党時䕁䅙兡畂䝁䅅杢橂䝁䅫兙獂䡁䅍睘㉂䑁䅅杌㑂䝁䅷督瑂䙁䄰䅕求䝁䅕杣時䕁䅅杢桂䝁䅷入穂䝁䅫督桁䍁䅑村歁䑁䅑免㍁䅁䅁䄷䅁䡁䅑䅁扂䕁䄰兓時䕁䅫杔呂䙁䄸睕啂䕁䅅䅖時䕁䅷兡浂䝁䅕睘䝂䝁䅫杢桂䝁䄴睙灂䝁䅅䅢穂䙁䄸杤硁䍁䄴䅥獂䡁䅍兢摂䙁䅁党求䡁䅉睘䉂䝁䄴兙獂䡁䅫督灂䡁䅍光歁䕁䅉䅊ぁ䑁䅕兎䅁䑁䉣䅁あ䅁䅁睗乂䕁䅫睘䩂䕁䄴睕時䙁䅍䅖䉂䙁䅑睘䵂䝁䅫杚求䙁䄸杒灂䝁䄴兙畂䝁䅍兡桂䝁䅷督時䡁䅙免畁䡁䅧䅢穂䝁䄰兘兂䝁䅕党祂䙁䄸兑畂䝁䅅䅢㕂䡁䅍兡穂䍁䅅䅊䍂䍁䅑䅎ㅁ䑁䅙䅁㉄䅁䅁䅣䅁䙁䅳兔䩂䙁䄸兓佂䙁䅍睘呂䙁䅑兑啂䙁䄸䅔灂䝁䅙党時䕁䅙兡畂䝁䅅杢橂䝁䅫兙獂䡁䅍睘㉂䑁䅅杌㑂䝁䅷督瑂䙁䄰䅕求䝁䅕杣時䕁䅅杢桂䝁䅷入穂䝁䅫督桁䍁䅑村歁䑁䅕䅁㙁䅁䅁䅤䅁䙁䅳兔䩂䙁䄸兓佂䙁䅍睘呂䙁䅑兑啂䙁䄸䅔灂䝁䅙党時䕁䅙兡畂䝁䅅杢橂䝁䅫兙獂䡁䅍睘㉂䑁䅅杌㑂䝁䅷督瑂䙁䄰䅕求䝁䅕杣時䕁䅅杢桂䝁䅷入穂䝁䅫督桁䍁䅑村歁䑁䅕李硁䅁䅁睉䅅䡁䅑䅁扂䕁䄰兓時䕁䅫杔呂䙁䄸睕啂䕁䅅䅖時䕁䅷兡浂䝁䅕睘䝂䝁䅫杢桂䝁䄴睙灂䝁䅅䅢穂䙁䄸杤硁䍁䄴䅥獂䡁䅍兢摂䙁䅁党求䡁䅉睘䉂䝁䄴兙獂䡁䅫督灂䡁䅍光歁䕁䅉䅊ㅁ䑁䅙杍䅁偁䅳䅁あ䅁䅁睗乂䕁䅫睘䩂䕁䄴睕時䙁䅍䅖䉂䙁䅑睘䵂䝁䅫杚求䙁䄸杒灂䝁䄴兙畂䝁䅍兡桂䝁䅷督時䡁䅙免畁䡁䅧䅢穂䝁䄰兘兂䝁䅕党祂䙁䄸兑畂䝁䅅䅢㕂䡁䅍兡穂䍁䅅䅊䍂䍁䅑李硁䑁䅁䅁⽁允䅁䅤䅁䙁䅳兔䩂䙁䄸兓佂䙁䅍睘呂䙁䅑兑啂䙁䄸䅔灂䝁䅙党時䕁䅙兡畂䝁䅅杢橂䝁䅫兙獂䡁䅍睘㉂䑁䅅杌㑂䝁䅷督瑂䙁䄰䅕求䝁䅕杣時䕁䅅杢桂䝁䅷入穂䝁䅫督桁䍁䅑村歁䑁䅙免硁䅁䅁朴䅁䡁䅑䅁扂䕁䄰兓時䕁䅫杔呂䙁䄸睕啂䕁䅅䅖時䕁䅷兡浂䝁䅕睘䝂䝁䅫杢桂䝁䄴睙灂䝁䅅䅢穂䙁䄸杤硁䍁䄴䅥獂䡁䅍兢摂䙁䅁党求䡁䅉睘䉂䝁䄴兙獂䡁䅫督灂䡁䅍光歁䕁䅉䅊㍁䑁䅑睍䅁䕁䉍䅁あ䅁䅁睗乂䕁䅫睘䩂䕁䄴睕時䙁䅍䅖䉂䙁䅑睘䵂䝁䅫杚求䙁䄸杒灂䝁䄴兙畂䝁䅍兡桂䝁䅷督時䡁䅙免畁䡁䅧䅢穂䝁䄰兘兂䝁䅕党祂䙁䄸兑畂䝁䅅䅢㕂䡁䅍兡穂䍁䅅䅊䍂䍁䅑睎ぁ䑁䅑䅁硄䅁䅁杣䅁䙁䅳兔䩂䙁䄸兓佂䙁䅍睘呂䙁䅑兑啂䙁䄸䅔灂䝁䅙党時䕁䅙兡畂䝁䅅杢橂䝁䅫兙獂䡁䅍睘㉂䑁䅅杌㑂䝁䅷督瑂䙁䄰䅕求䝁䅕杣時䕁䅅杢桂䝁䅷入穂䝁䅫督桁䍁䅑村歁䑁䅣李䅁䍁䉣䅁祂䅁䅁睗乂䕁䅫睘䩂䕁䄴睕時䙁䅍䅖䉂䙁䅑睘䵂䝁䅫杚求䙁䄸杒灂䝁䄴兙畂䝁䅍兡桂䝁䅷督時䡁䅙免畁䡁䅧䅢穂䝁䄰兘兂䝁䅕党祂䙁䄸兑畂䝁䅅䅢㕂䡁䅍兡穂䍁䅅䅊䍂䍁䅑睎㍁䅁䅁眰䅁䡁䅑䅁扂䕁䄰兓時䕁䅫杔呂䙁䄸睕啂䕁䅅䅖時䕁䅷兡浂䝁䅕睘䝂䝁䅫杢桂䝁䄴睙灂䝁䅅䅢穂䙁䄸杤硁䍁䄴䅥獂䡁䅍兢摂䙁䅁党求䡁䅉睘䉂䝁䄴兙獂䡁䅫督灂䡁䅍光歁䕁䅉䅊㑁䑁䅁䅎䅁䑁䉳䅁あ䅁䅁睗乂䕁䅫睘䩂䕁䄴睕時䙁䅍䅖䉂䙁䅑睘䵂䝁䅫杚求䙁䄸杒灂䝁䄴兙畂䝁䅍兡桂䝁䅷督時䡁䅙免畁䡁䅧䅢穂䝁䄰兘兂䝁䅕党祂䙁䄸兑畂䝁䅅䅢㕂䡁䅍兡穂䍁䅅䅊䍂䍁䅑䅏睁䑁䅕䅁䅁允䅁䅤䅁䙁䅳兔䩂䙁䄸兓佂䙁䅍睘呂䙁䅑兑啂䙁䄸䅔灂䝁䅙党時䕁䅙兡畂䝁䅅杢橂䝁䅫兙獂䡁䅍睘㉂䑁䅅杌㑂䝁䅷督瑂䙁䄰䅕求䝁䅕杣時䕁䅅杢桂䝁䅷入穂䝁䅫督桁䍁䅑村歁䑁䅧李穁䅁䅁睒䅅䡁䅑䅁扂䕁䄰兓時䕁䅫杔呂䙁䄸睕啂䕁䅅䅖時䕁䅷兡浂䝁䅕睘䝂䝁䅫杢桂䝁䄴睙灂䝁䅅䅢穂䙁䄸杤硁䍁䄴䅥獂䡁䅍兢摂䙁䅁党求䡁䅉睘䉂䝁䄴兙獂䡁䅫督灂䡁䅍光歁䕁䅉䅊㑁䑁䅙䅎䅁䅁䉕䅁䝃䅁䅁睗乂䕁䅫睘䩂䕁䄴睕時䙁䅍䅖䉂䙁䅑睘䵂䝁䅫杚求䙁䄸杒灂䝁䄴兙畂䝁䅍兡桂䝁䅷督時䡁䅙免畁䡁䅧䅢穂䝁䄰兘兂䝁䅕党祂䙁䄸兑畂䝁䅅䅢㕂䡁䅍兡穂䍁䅅䅊䑂䍁䅑免睁䑁䅙杍㙁䍁䅑睑歁䑁䅅䅍㉁䑁䅙䅁畃允䅁杨䅁䙁䅳兔䩂䙁䄸兓佂䙁䅍睘呂䙁䅑兑啂䙁䄸䅔灂䝁䅙党時䕁䅙兡畂䝁䅅杢橂䝁䅫兙獂䡁䅍睘㉂䑁䅅杌㑂䝁䅷督瑂䙁䄰䅕求䝁䅕杣時䕁䅅杢桂䝁䅷入穂䝁䅫督桁䍁䅑睑歁䑁䅅䅍㉁䑁䅑杏歁䕁䅍䅊硁䑁䅁李㑁䅁䅁兔䅅䥁䅙䅁扂䕁䄰兓時䕁䅫杔呂䙁䄸睕啂䕁䅅䅖時䕁䅷兡浂䝁䅕睘䝂䝁䅫杢桂䝁䄴睙灂䝁䅅䅢穂䙁䄸杤硁䍁䄴䅥獂䡁䅍兢摂䙁䅁党求䡁䅉睘䉂䝁䄴兙獂䡁䅫督灂䡁䅍光歁䕁䅍䅊硁䑁䅁李ㅁ䑁䅯䅊䑂䍁䅑免睁䑁䅙兏䅁䅁䉷䅁䝃䅁䅁睗乂䕁䅫睘䩂䕁䄴睕時䙁䅍䅖䉂䙁䅑睘䵂䝁䅫杚求䙁䄸杒灂䝁䄴兙畂䝁䅍兡桂䝁䅷督時䡁䅙免畁䡁䅧䅢穂䝁䄰兘兂䝁䅕党祂䙁䄸兑畂䝁䅅䅢㕂䡁䅍兡穂䍁䅅䅊䑂䍁䅑免睁䑁䅧䅏㙁䍁䅑睑歁䑁䅅䅍㕁䑁䅉䅁穃允䅁杨䅁䙁䅳兔䩂䙁䄸兓佂䙁䅍睘呂䙁䅑兑啂䙁䄸䅔灂䝁䅙党時䕁䅙兡畂䝁䅅杢橂䝁䅫兙獂䡁䅍睘㉂䑁䅅杌㑂䝁䅷督瑂䙁䄰䅕求䝁䅕杣時䕁䅅杢桂䝁䅷入穂䝁䅫督桁䍁䅑睑歁䑁䅅䅍㕁䑁䅁杏歁䕁䅍䅊硁䑁䅁兏ぁ䅁䅁兕䅅䥁䅙䅁扂䕁䄰兓時䕁䅫杔呂䙁䄸睕啂䕁䅅䅖時䕁䅷兡浂䝁䅕睘䝂䝁䅫杢桂䝁䄴睙灂䝁䅅䅢穂䙁䄸杤硁䍁䄴䅥獂䡁䅍兢摂䙁䅁党求䡁䅉睘䉂䝁䄴兙獂䡁䅫督灂䡁䅍光歁䕁䅍䅊硁䑁䅁兏硁䑁䅯䅊䑂䍁䅑免睁䑁䅫兎䅁䉁䉅䅁䍃䅁䅁睗乂䕁䅫睘䩂䕁䄴睕時䙁䅍䅖䉂䙁䅑睘䵂䝁䅫杚求䙁䄸杒灂䝁䄴兙畂䝁䅍兡桂䝁䅷督時䡁䅙免畁䡁䅧䅢穂䝁䄰兘兂䝁䅕党祂䙁䄸兑畂䝁䅅䅢㕂䡁䅍兡穂䍁䅅䅊䑂䍁䅑免睁䑁䅯䅊䑂䍁䅑免祁䑁䅧䅍䅁䭁䉳䅁䍃䅁䅁睗乂䕁䅫睘䩂䕁䄴睕時䙁䅍䅖䉂䙁䅑睘䵂䝁䅫杚求䙁䄸杒灂䝁䄴兙畂䝁䅍兡桂䝁䅷督時䡁䅙免畁䡁䅧䅢穂䝁䄰兘兂䝁䅕党祂䙁䄸兑畂䝁䅅䅢㕂䡁䅍兡穂䍁䅅䅊䑂䍁䅑免睁䑁䅯䅊䑂䍁䅑免祁䑁䅧杍䅁䉁䈴䅁䍃䅁䅁睗乂䕁䅫睘䩂䕁䄴睕時䙁䅍䅖䉂䙁䅑睘䵂䝁䅫杚求䙁䄸杒灂䝁䄴兙畂䝁䅍兡桂䝁䅷督時䡁䅙免畁䡁䅧䅢穂䝁䄰兘兂䝁䅕党祂䙁䄸兑畂䝁䅅䅢㕂䡁䅍兡穂䍁䅅䅊䑂䍁䅑免睁䑁䅯䅊䑂䍁䅑免祁䑁䅧李䅁䩁䉑䅁䝃䅁䅁睗乂䕁䅫睘䩂䕁䄴睕時䙁䅍䅖䉂䙁䅑睘䵂䝁䅫杚求䙁䄸杒灂䝁䄴兙畂䝁䅍兡桂䝁䅷督時䡁䅙免畁䡁䅧䅢穂䝁䄰兘兂䝁䅕党祂䙁䄸兑畂䝁䅅䅢㕂䡁䅍兡穂䍁䅅䅊䑂䍁䅑免硁䑁䅁睍㙁䍁䅑睑歁䑁䅅免穁䑁䅅䅁㑃允䅁杨䅁䙁䅳兔䩂䙁䄸兓佂䙁䅍睘呂䙁䅑兑啂䙁䄸䅔灂䝁䅙党時䕁䅙兡畂䝁䅅杢橂䝁䅫兙獂䡁䅍睘㉂䑁䅅杌㑂䝁䅷督瑂䙁䄰䅕求䝁䅕杣時䕁䅅杢桂䝁䅷入穂䝁䅫督桁䍁䅑睑歁䑁䅅免睁䑁䅕杏歁䕁䅍䅊硁䑁䅅睍穁䅁䅁兖䅅䥁䅙䅁扂䕁䄰兓時䕁䅫杔呂䙁䄸睕啂䕁䅅䅖時䕁䅷兡浂䝁䅕睘䝂䝁䅫杢桂䝁䄴睙灂䝁䅅䅢穂䙁䄸杤硁䍁䄴䅥獂䡁䅍兢摂䙁䅁党求䡁䅉睘䉂䝁䄴兙獂䡁䅫督灂䡁䅍光歁䕁䅍䅊硁䑁䅅䅍㉁䑁䅯䅊䑂䍁䅑免硁䑁䅍䅎䅁䉁䉙䅁䝃䅁䅁睗乂䕁䅫睘䩂䕁䄴睕時䙁䅍䅖䉂䙁䅑睘䵂䝁䅫杚求䙁䄸杒灂䝁䄴兙畂䝁䅍兡桂䝁䅷督時䡁䅙免畁䡁䅧䅢穂䝁䄰兘兂䝁䅕党祂䙁䄸兑畂䝁䅅䅢㕂䡁䅍兡穂䍁䅅䅊䑂䍁䅑免硁䑁䅍李㙁䍁䅑睑歁䑁䅅免ぁ䑁䅁䅁㥃允䅁杨䅁䙁䅳兔䩂䙁䄸兓佂䙁䅍睘呂䙁䅑兑啂䙁䄸䅔灂䝁䅙党時䕁䅙兡畂䝁䅅杢橂䝁䅫兙獂䡁䅍睘㉂䑁䅅杌㑂䝁䅷督瑂䙁䄰䅕求䝁䅕杣時䕁䅅杢桂䝁䅷入穂䝁䅫督桁䍁䅑睑歁䑁䅅免穁䑁䅧杏歁䕁䅍䅊硁䑁䅅䅎祁䅁䅁兗䅅䥁䅙䅁扂䕁䄰兓時䕁䅫杔呂䙁䄸睕啂䕁䅅䅖時䕁䅷兡浂䝁䅕睘䝂䝁䅫杢桂䝁䄴睙灂䝁䅅䅢穂䙁䄸杤硁䍁䄴䅥獂䡁䅍兢摂䙁䅁党求䡁䅉睘䉂䝁䄴兙獂䡁䅫督灂䡁䅍光歁䕁䅍䅊硁䑁䅅睍㕁䑁䅯䅊䑂䍁䅑免硁䑁䅑睍䅁䉁䉳䅁㉂䅁䅁睗乂䕁䅫睘䩂䕁䄴睕時䙁䅍䅖䉂䙁䅑睘䵂䝁䅫杚求䙁䄸杒灂䝁䄴兙畂䝁䅍兡桂䝁䅷督時䡁䅙免畁䡁䅧䅢穂䝁䄰兘兂䝁䅕党祂䙁䄸兑畂䝁䅅䅢㕂䡁䅍兡穂䍁䅅䅊䑂䍁䅑免硁䑁䅧免䅁䝁䉑䅁㉂䅁䅁睗乂䕁䅫睘䩂䕁䄴睕時䙁䅍䅖䉂䙁䅑睘䵂䝁䅫杚求䙁䄸杒灂䝁䄴兙畂䝁䅍兡桂䝁䅷督時䡁䅙免畁䡁䅧䅢穂䝁䄰兘兂䝁䅕党祂䙁䄸兑畂䝁䅅䅢㕂䡁䅍兡穂䍁䅅䅊䑂䍁䅑免硁䑁䅧睍䅁䡁䉕䅁䍃䅁䅁睗乂䕁䅫睘䩂䕁䄴睕時䙁䅍䅖䉂䙁䅑睘䵂䝁䅫杚求䙁䄸杒灂䝁䄴兙畂䝁䅍兡桂䝁䅷督時䡁䅙免畁䡁䅧䅢穂䝁䄰兘兂䝁䅕党祂䙁䄸兑畂䝁䅅䅢㕂䡁䅍兡穂䍁䅅䅊䑂䍁䅑免硁䑁䅯䅊䑂䍁䅑免硁䑁䅫睍䅁乁䅉䅁䍃䅁䅁睗乂䕁䅫睘䩂䕁䄴睕時䙁䅍䅖䉂䙁䅑睘䵂䝁䅫杚求䙁䄸杒灂䝁䄴兙畂䝁䅍兡桂䝁䅷督時䡁䅙免畁䡁䅧䅢穂䝁䄰兘兂䝁䅕党祂䙁䄸兑畂䝁䅅䅢㕂䡁䅍兡穂䍁䅅䅊䑂䍁䅑免硁䑁䅯䅊䑂䍁䅑免祁䑁䅁䅍䅁䑁䅷䅁㉂䅁䅁睗乂䕁䅫睘䩂䕁䄴睕時䙁䅍䅖䉂䙁䅑睘䵂䝁䅫杚求䙁䄸杒灂䝁䄴兙畂䝁䅍兡桂䝁䅷督時䡁䅙免畁䡁䅧䅢穂䝁䄰兘兂䝁䅕党祂䙁䄸兑畂䝁䅅䅢㕂䡁䅍兡穂䍁䅅䅊䑂䍁䅑免祁䑁䅧李䅁䵁䉉䅁䍃䅁䅁睗乂䕁䅫睘䩂䕁䄴睕時䙁䅍䅖䉂䙁䅑睘䵂䝁䅫杚求䙁䄸杒灂䝁䄴兙畂䝁䅍兡桂䝁䅷督時䡁䅙免畁䡁䅧䅢穂䝁䄰兘兂䝁䅕党祂䙁䄸兑畂䝁䅅䅢㕂䡁䅍兡穂䍁䅅䅊䑂䍁䅑杍ぁ䑁䅙杏歁䕁䅍䅊祁䑁䅙䅏䅁䍁䈰䅁䍃䅁䅁睗乂䕁䅫睘䩂䕁䄴睕時䙁䅍䅖䉂䙁䅑睘䵂䝁䅫杚求䙁䄸杒灂䝁䄴兙畂䝁䅍兡桂䝁䅷督時䡁䅙免畁䡁䅧䅢穂䝁䄰兘兂䝁䅕党祂䙁䄸兑畂䝁䅅䅢㕂䡁䅍兡穂䍁䅅䅊䑂䍁䅑杍ぁ䑁䅣杏歁䕁䅍䅊祁䑁䅙兏䅁乁䅯䅁䍃䅁䅁睗乂䕁䅫睘䩂䕁䄴睕時䙁䅍䅖䉂䙁䅑睘䵂䝁䅫杚求䙁䄸杒灂䝁䄴兙畂䝁䅍兡桂䝁䅷督時䡁䅙免畁䡁䅧䅢穂䝁䄰兘兂䝁䅕党祂䙁䄸兑畂䝁䅅䅢㕂䡁䅍兡穂䍁䅅䅊䑂䍁䅑杍㕁䑁䅉杏歁䕁䅍䅊穁䑁䅣䅎䅁䍁䉅䅁䍃䅁䅁睗乂䕁䅫睘䩂䕁䄴睕時䙁䅍䅖䉂䙁䅑睘䵂䝁䅫杚求䙁䄸杒灂䝁䄴兙畂䝁䅍兡桂䝁䅷督時䡁䅙免畁䡁䅧䅢穂䝁䄰兘兂䝁䅕党祂䙁䄸兑畂䝁䅅䅢㕂䡁䅍兡穂䍁䅅䅊䑂䍁䅑杍㕁䑁䅍杏歁䕁䅍䅊穁䑁䅣兎䅁乁䄸䅁䍃䅁䅁睗乂䕁䅫睘䩂䕁䄴睕時䙁䅍䅖䉂䙁䅑睘䵂䝁䅫杚求䙁䄸杒灂䝁䄴兙畂䝁䅍兡桂䝁䅷督時䡁䅙免畁䡁䅧䅢穂䝁䄰兘兂䝁䅕党祂䙁䄸兑畂䝁䅅䅢㕂䡁䅍兡穂䍁䅅䅊䑂䍁䅑睍㕁䑁䅅杏歁䕁䅍䅊ぁ䑁䅁免䅁䑁䉅䅁䍃䅁䅁睗乂䕁䅫睘䩂䕁䄴睕時䙁䅍䅖䉂䙁䅑睘䵂䝁䅫杚求䙁䄸杒灂䝁䄴兙畂䝁䅍兡桂䝁䅷督時䡁䅙免畁䡁䅧䅢穂䝁䄰兘兂䝁䅕党祂䙁䄸兑畂䝁䅅䅢㕂䡁䅍兡穂䍁䅅䅊䑂䍁䅑睍㕁䑁䅉杏歁䕁䅍䅊ぁ䑁䅁杍䅁佁䅫䅁䍃䅁䅁睗乂䕁䅫睘䩂䕁䄴睕時䙁䅍䅖䉂䙁䅑睘䵂䝁䅫杚求䙁䄸杒灂䝁䄴兙畂䝁䅍兡桂䝁䅷督時䡁䅙免畁䡁䅧䅢穂䝁䄰兘兂䝁䅕党祂䙁䄸兑畂䝁䅅䅢㕂䡁䅍兡穂䍁䅅䅊䑂䍁䅑䅎硁䑁䅧杏歁䕁䅍䅊ぁ䑁䅑䅍䅁䑁䉕䅁䍃䅁䅁睗乂䕁䅫睘䩂䕁䄴睕時䙁䅍䅖䉂䙁䅑睘䵂䝁䅫杚求䙁䄸杒灂䝁䄴兙畂䝁䅍兡桂䝁䅷督時䡁䅙免畁䡁䅧䅢穂䝁䄰兘兂䝁䅕党祂䙁䄸兑畂䝁䅅䅢㕂䡁䅍兡穂䍁䅅䅊䑂䍁䅑䅎硁䑁䅫杏歁䕁䅍䅊ぁ䑁䅑免䅁佁䄴䅁䍃䅁䅁睗乂䕁䅫睘䩂䕁䄴睕時䙁䅍䅖䉂䙁䅑睘䵂䝁䅫杚求䙁䄸杒灂䝁䄴兙畂䝁䅍兡桂䝁䅷督時䡁䅙免畁䡁䅧䅢穂䝁䄰兘兂䝁䅕党祂䙁䄸兑畂䝁䅅䅢㕂䡁䅍兡穂䍁䅅䅊䑂䍁䅑䅎ㅁ䑁䅣杏歁䕁䅍䅊ぁ䑁䅙睎䅁䑁䉫䅁䍃䅁䅁睗乂䕁䅫睘䩂䕁䄴睕時䙁䅍䅖䉂䙁䅑睘䵂䝁䅫杚求䙁䄸杒灂䝁䄴兙畂䝁䅍兡桂䝁䅷督時䡁䅙免畁䡁䅧䅢穂䝁䄰兘兂䝁䅕党祂䙁䄸兑畂䝁䅅䅢㕂䡁䅍兡穂䍁䅅䅊䑂䍁䅑䅎ㅁ䑁䅧杏歁䕁䅍䅊ぁ䑁䅙䅏䅁偁䅧䅁䍃䅁䅁睗乂䕁䅫睘䩂䕁䄴睕時䙁䅍䅖䉂䙁䅑睘䵂䝁䅫杚求䙁䄸杒灂䝁䄴兙畂䝁䅍兡桂䝁䅷督時䡁䅙免畁䡁䅧䅢穂䝁䄰兘兂䝁䅕党祂䙁䄸兑畂䝁䅅䅢㕂䡁䅍兡穂䍁䅅䅊䑂䍁䅑兎㉁䑁䅍杏歁䕁䅍䅊ㅁ䑁䅧兎䅁䍁䉕䅁䍃䅁䅁睗乂䕁䅫睘䩂䕁䄴睕時䙁䅍䅖䉂䙁䅑睘䵂䝁䅫杚求䙁䄸杒灂䝁䄴兙畂䝁䅍兡桂䝁䅷督時䡁䅙免畁䡁䅧䅢穂䝁䄰兘兂䝁䅕党祂䙁䄸兑畂䝁䅅䅢㕂䡁䅍兡穂䍁䅅䅊䑂䍁䅑兎㉁䑁䅑杏歁䕁䅍䅊ㅁ䑁䅧李䅁偁䄰䅁䍃䅁䅁睗乂䕁䅫睘䩂䕁䄴睕時䙁䅍䅖䉂䙁䅑睘䵂䝁䅫杚求䙁䄸杒灂䝁䄴兙畂䝁䅍兡桂䝁䅷督時䡁䅙免畁䡁䅧䅢穂䝁䄰兘兂䝁䅕党祂䙁䄸兑畂䝁䅅䅢㕂䡁䅍兡穂䍁䅅䅊䑂䍁䅑李硁䑁䅉杏歁䕁䅍䅊㍁䑁䅅䅏䅁䕁䉅䅁䍃䅁䅁睗乂䕁䅫睘䩂䕁䄴睕時䙁䅍䅖䉂䙁䅑睘䵂䝁䅫杚求䙁䄸杒灂䝁䄴兙畂䝁䅍兡桂䝁䅷督時䡁䅙免畁䡁䅧䅢穂䝁䄰兘兂䝁䅕党祂䙁䄸兑畂䝁䅅䅢㕂䡁䅍兡穂䍁䅅䅊䑂䍁䅑李硁䑁䅍杏歁䕁䅍䅊㍁䑁䅅兏䅁佁䅑䅁䍃䅁䅁睗乂䕁䅫睘䩂䕁䄴睕時䙁䅍䅖䉂䙁䅑睘䵂䝁䅫杚求䙁䄸杒灂䝁䄴兙畂䝁䅍兡桂䝁䅷督時䡁䅙免畁䡁䅧䅢穂䝁䄰兘兂䝁䅕党祂䙁䄸兑畂䝁䅅䅢㕂䡁䅍兡穂䍁䅅䅊䑂䍁䅑睎ぁ䑁䅕杏歁䕁䅍䅊㍁䑁䅣兏䅁䕁䉕䅁䍃䅁䅁睗乂䕁䅫睘䩂䕁䄴睕時䙁䅍䅖䉂䙁䅑睘䵂䝁䅫杚求䙁䄸杒灂䝁䄴兙畂䝁䅍兡桂䝁䅷督時䡁䅙免畁䡁䅧䅢穂䝁䄰兘兂䝁䅕党祂䙁䄸兑畂䝁䅅䅢㕂䡁䅍兡穂䍁䅅䅊䑂䍁䅑睎ぁ䑁䅙杏歁䕁䅍䅊㍁䑁䅧䅍䅁偁䅍䅁䅃䅁䅁睗乂䕁䅫睘䩂䕁䄴睕時䙁䅍䅖䉂䙁䅑睘䵂䝁䅫杚求䙁䄸杒灂䝁䄴兙畂䝁䅍兡桂䝁䅷督時䡁䅙免畁䡁䅧䅢穂䝁䄰兘兂䝁䅕党祂䙁䄸兑畂䝁䅅䅢㕂䡁䅍兡穂䍁䅅䅊䑂䍁䅑睎㑁䑁䅯䅊䑂䍁䅑免睁䑁䅁䅁灁允䅁䅧䅁䙁䅳兔䩂䙁䄸兓佂䙁䅍睘呂䙁䅑兑啂䙁䄸䅔灂䝁䅙党時䕁䅙兡畂䝁䅅杢橂䝁䅫兙獂䡁䅍睘㉂䑁䅅杌㑂䝁䅷督瑂䙁䄰䅕求䝁䅕杣時䕁䅅杢桂䝁䅷入穂䝁䅫督桁䍁䅑睑歁䑁䅣兏㙁䍁䅑睑歁䑁䅅䅍硁䅁䅁儱䅁䥁䅉䅁扂䕁䄰兓時䕁䅫杔呂䙁䄸睕啂䕁䅅䅖時䕁䅷兡浂䝁䅕睘䝂䝁䅫杢桂䝁䄴睙灂䝁䅅䅢穂䙁䄸杤硁䍁䄴䅥獂䡁䅍兢摂䙁䅁党求䡁䅉睘䉂䝁䄴兙獂䡁䅫督灂䡁䅍光歁䕁䅍䅊㑁䑁䅁李㙁䍁䅑睑歁䑁䅧兎祁䅁䅁児䅅䥁䅉䅁扂䕁䄰兓時䕁䅫杔呂䙁䄸睕啂䕁䅅䅖時䕁䅷兡浂䝁䅕睘䝂䝁䅫杢桂䝁䄴睙灂䝁䅅䅢穂䙁䄸杤硁䍁䄴䅥獂䡁䅍兢摂䙁䅁党求䡁䅉睘䉂䝁䄴兙獂䡁䅫督灂䡁䅍光歁䕁䅍䅊㑁䑁䅁睎㙁䍁䅑睑歁䑁䅧兎穁䅁䅁杁䅅䡁䅑䅁扂䕁䄰兓時䕁䅫杔呂䙁䄸睕啂䕁䅅䅖時䕁䅷兡浂䝁䅕睘䝂䝁䅫杢桂䝁䄴睙灂䝁䅅䅢穂䙁䄸杤硁䍁䄴䅥獂䡁䅍兢摂䙁䅁党求䡁䅉睘䉂䝁䄴兙獂䡁䅫督灂䡁䅍光歁䕁䅍䅊㑁䑁䅙兎䅁䕁䉫䅁あ䅁䅁睗乂䕁䅫睘䩂䕁䄴睕時䙁䅍䅖䉂䙁䅑睘䵂䝁䅫杚求䙁䄸杒灂䝁䄴兙畂䝁䅍兡桂䝁䅷督時䡁䅙免畁䡁䅧䅢穂䝁䄰兘兂䝁䅕党祂䙁䄸兑畂䝁䅅䅢㕂䡁䅍兡穂䍁䅅䅊䑂䍁䅑䅏㉁䑁䅙䅁䡁允䅁杤䅁䙁䅳兔䩂䙁䄸兓佂䙁䅍睘呂䙁䅑兑啂䙁䄸䅔灂䝁䅙党時䕁䅙兡畂䝁䅅杢橂䝁䅫兙獂䡁䅍睘㉂䑁䅅杌㑂䝁䅷督瑂䙁䄰䅕求䝁䅕杣時䕁䅅杢桂䝁䅷入穂䝁䅫督桁䍁䅑䅒歁䑁䅅免㑁䑁䅅䅁浂允䅁䅤䅁䙁䅳兔䩂䙁䄸兓佂䙁䅍睘呂䙁䅑兑啂䙁䄸䅔灂䝁䅙党時䕁䅙兡畂䝁䅅杢橂䝁䅫兙獂䡁䅍睘㉂䑁䅅杌㑂䝁䅷督瑂䙁䄰䅕求䝁䅕杣時䕁䅅杢桂䝁䅷入穂䝁䅫督桁䍁䅑䅒歁䑁䅧李ㅁ䅁䅁杓䅅䡁䅑䅁扂䕁䄰兓時䕁䅫杔呂䙁䄸睕啂䕁䅅䅖時䕁䅷兡浂䝁䅕睘䝂䝁䅫杢桂䝁䄴睙灂䝁䅅䅢穂䙁䄸杤硁䍁䄴䅥獂䡁䅍兢摂䙁䅁党求䡁䅉睘䉂䝁䄴兙獂䡁䅫督灂䡁䅍光歁䕁䅑䅊㑁䑁䅙李䅁䅁䉫䅁䝃䅁䅁睗乂䕁䅫睘䩂䕁䄴睕時䙁䅍䅖䉂䙁䅑睘䵂䝁䅫杚求䙁䄸杒灂䝁䄴兙畂䝁䅍兡桂䝁䅷督時䡁䅙免畁䡁䅧䅢穂䝁䄰兘兂䝁䅕党祂䙁䄸兑畂䝁䅅䅢㕂䡁䅍兡穂䍁䅅䅊䙂䍁䅑免睁䑁䅙杍㙁䍁䅑兒歁䑁䅅䅍㉁䑁䅙䅁睃允䅁杨䅁䙁䅳兔䩂䙁䄸兓佂䙁䅍睘呂䙁䅑兑啂䙁䄸䅔灂䝁䅙党時䕁䅙兡畂䝁䅅杢橂䝁䅫兙獂䡁䅍睘㉂䑁䅅杌㑂䝁䅷督瑂䙁䄰䅕求䝁䅕杣時䕁䅅杢桂䝁䅷入穂䝁䅫督桁䍁䅑兒歁䑁䅅䅍㉁䑁䅑杏歁䕁䅕䅊硁䑁䅁李㑁䅁䅁杔䅅䥁䅙䅁扂䕁䄰兓時䕁䅫杔呂䙁䄸睕啂䕁䅅䅖時䕁䅷兡浂䝁䅕睘䝂䝁䅫杢桂䝁䄴睙灂䝁䅅䅢穂䙁䄸杤硁䍁䄴䅥獂䡁䅍兢摂䙁䅁党求䡁䅉睘䉂䝁䄴兙獂䡁䅫督灂䡁䅍光歁䕁䅕䅊硁䑁䅁李ㅁ䑁䅯䅊䙂䍁䅑免睁䑁䅙兏䅁䅁䈴䅁䝃䅁䅁睗乂䕁䅫睘䩂䕁䄴睕時䙁䅍䅖䉂䙁䅑睘䵂䝁䅫杚求䙁䄸杒灂䝁䄴兙畂䝁䅍兡桂䝁䅷督時䡁䅙免畁䡁䅧䅢穂䝁䄰兘兂䝁䅕党祂䙁䄸兑畂䝁䅅䅢㕂䡁䅍兡穂䍁䅅䅊䙂䍁䅑免睁䑁䅧䅏㙁䍁䅑兒歁䑁䅅䅍㕁䑁䅉䅁ㅃ允䅁杨䅁䙁䅳兔䩂䙁䄸兓佂䙁䅍睘呂䙁䅑兑啂䙁䄸䅔灂䝁䅙党時䕁䅙兡畂䝁䅅杢橂䝁䅫兙獂䡁䅍睘㉂䑁䅅杌㑂䝁䅷督瑂䙁䄰䅕求䝁䅕杣時䕁䅅杢桂䝁䅷入穂䝁䅫督桁䍁䅑兒歁䑁䅅䅍㕁䑁䅁杏歁䕁䅕䅊硁䑁䅁兏ぁ䅁䅁杕䅅䥁䅙䅁扂䕁䄰兓時䕁䅫杔呂䙁䄸睕啂䕁䅅䅖時䕁䅷兡浂䝁䅕睘䝂䝁䅫杢桂䝁䄴睙灂䝁䅅䅢穂䙁䄸杤硁䍁䄴䅥獂䡁䅍兢摂䙁䅁党求䡁䅉睘䉂䝁䄴兙獂䡁䅫督灂䡁䅍光歁䕁䅕䅊硁䑁䅁兏硁䑁䅯䅊䙂䍁䅑免睁䑁䅫兎䅁䉁䉍䅁䝃䅁䅁睗乂䕁䅫睘䩂䕁䄴睕時䙁䅍䅖䉂䙁䅑睘䵂䝁䅫杚求䙁䄸杒灂䝁䄴兙畂䝁䅍兡桂䝁䅷督時䡁䅙免畁䡁䅧䅢穂䝁䄰兘兂䝁䅕党祂䙁䄸兑畂䝁䅅䅢㕂䡁䅍兡穂䍁䅅䅊䙂䍁䅑免硁䑁䅁睍㙁䍁䅑兒歁䑁䅅免穁䑁䅅䅁㙃允䅁杨䅁䙁䅳兔䩂䙁䄸兓佂䙁䅍睘呂䙁䅑兑啂䙁䄸䅔灂䝁䅙党時䕁䅙兡畂䝁䅅杢橂䝁䅫兙獂䡁䅍睘㉂䑁䅅杌㑂䝁䅷督瑂䙁䄰䅕求䝁䅕杣時䕁䅅杢桂䝁䅷入穂䝁䅫督桁䍁䅑兒歁䑁䅅免睁䑁䅕杏歁䕁䅕䅊硁䑁䅅睍穁䅁䅁杖䅅䥁䅙䅁扂䕁䄰兓時䕁䅫杔呂䙁䄸睕啂䕁䅅䅖時䕁䅷兡浂䝁䅕睘䝂䝁䅫杢桂䝁䄴睙灂䝁䅅䅢穂䙁䄸杤硁䍁䄴䅥獂䡁䅍兢摂䙁䅁党求䡁䅉睘䉂䝁䄴兙獂䡁䅫督灂䡁䅍光歁䕁䅕䅊硁䑁䅅䅍㉁䑁䅯䅊䙂䍁䅑免硁䑁䅍䅎䅁䉁䉧䅁䝃䅁䅁睗乂䕁䅫睘䩂䕁䄴睕時䙁䅍䅖䉂䙁䅑睘䵂䝁䅫杚求䙁䄸杒灂䝁䄴兙畂䝁䅍兡桂䝁䅷督時䡁䅙免畁䡁䅧䅢穂䝁䄰兘兂䝁䅕党祂䙁䄸兑畂䝁䅅䅢㕂䡁䅍兡穂䍁䅅䅊䙂䍁䅑免硁䑁䅍李㙁䍁䅑兒歁䑁䅅免ぁ䑁䅁䅁⽃允䅁杨䅁䙁䅳兔䩂䙁䄸兓佂䙁䅍睘呂䙁䅑兑啂䙁䄸䅔灂䝁䅙党時䕁䅙兡畂䝁䅅杢橂䝁䅫兙獂䡁䅍睘㉂䑁䅅杌㑂䝁䅷督瑂䙁䄰䅕求䝁䅕杣時䕁䅅杢桂䝁䅷入穂䝁䅫督桁䍁䅑兒歁䑁䅅免穁䑁䅧杏歁䕁䅕䅊硁䑁䅅䅎祁䅁䅁杗䅅䥁䅙䅁扂䕁䄰兓時䕁䅫杔呂䙁䄸睕啂䕁䅅䅖時䕁䅷兡浂䝁䅕睘䝂䝁䅫杢桂䝁䄴睙灂䝁䅅䅢穂䙁䄸杤硁䍁䄴䅥獂䡁䅍兢摂䙁䅁党求䡁䅉睘䉂䝁䄴兙獂䡁䅫督灂䡁䅍光歁䕁䅕䅊硁䑁䅅睍㕁䑁䅯䅊䙂䍁䅑免硁䑁䅑睍䅁䉁䈰䅁㉂䅁䅁睗乂䕁䅫睘䩂䕁䄴睕時䙁䅍䅖䉂䙁䅑睘䵂䝁䅫杚求䙁䄸杒灂䝁䄴兙畂䝁䅍兡桂䝁䅷督時䡁䅙免畁䡁䅧䅢穂䝁䄰兘兂䝁䅕党祂䙁䄸兑畂䝁䅅䅢㕂䡁䅍兡穂䍁䅅䅊䙂䍁䅑免硁䑁䅧免䅁䝁䉫䅁䍃䅁䅁睗乂䕁䅫睘䩂䕁䄴睕時䙁䅍䅖䉂䙁䅑睘䵂䝁䅫杚求䙁䄸杒灂䝁䄴兙畂䝁䅍兡桂䝁䅷督時䡁䅙免畁䡁䅧䅢穂䝁䄰兘兂䝁䅕党祂䙁䄸兑畂䝁䅅䅢㕂䡁䅍兡穂䍁䅅䅊䙂䍁䅑免硁䑁䅯䅊䙂䍁䅑免祁䑁䅁䅍䅁䑁䄴䅁䍃䅁䅁睗乂䕁䅫睘䩂䕁䄴睕時䙁䅍䅖䉂䙁䅑睘䵂䝁䅫杚求䙁䄸杒灂䝁䄴兙畂䝁䅍兡桂䝁䅷督時䡁䅙免畁䡁䅧䅢穂䝁䄰兘兂䝁䅕党祂䙁䄸兑畂䝁䅅䅢㕂䡁䅍兡穂䍁䅅䅊䙂䍁䅑杍ぁ䑁䅙杏歁䕁䅕䅊祁䑁䅙䅏䅁䍁䈴䅁䍃䅁䅁睗乂䕁䅫睘䩂䕁䄴睕時䙁䅍䅖䉂䙁䅑睘䵂䝁䅫杚求䙁䄸杒灂䝁䄴兙畂䝁䅍兡桂䝁䅷督時䡁䅙免畁䡁䅧䅢穂䝁䄰兘兂䝁䅕党祂䙁䄸兑畂䝁䅅䅢㕂䡁䅍兡穂䍁䅅䅊䙂䍁䅑杍ぁ䑁䅣杏歁䕁䅕䅊祁䑁䅙兏䅁乁䅷䅁䍃䅁䅁睗乂䕁䅫睘䩂䕁䄴睕時䙁䅍䅖䉂䙁䅑睘䵂䝁䅫杚求䙁䄸杒灂䝁䄴兙畂䝁䅍兡桂䝁䅷督時䡁䅙免畁䡁䅧䅢穂䝁䄰兘兂䝁䅕党祂䙁䄸兑畂䝁䅅䅢㕂䡁䅍兡穂䍁䅅䅊䙂䍁䅑杍㕁䑁䅉杏歁䕁䅕䅊穁䑁䅣䅎䅁䍁䉉䅁䍃䅁䅁睗乂䕁䅫睘䩂䕁䄴睕時䙁䅍䅖䉂䙁䅑睘䵂䝁䅫杚求䙁䄸杒灂䝁䄴兙畂䝁䅍兡桂䝁䅷督時䡁䅙免畁䡁䅧䅢穂䝁䄰兘兂䝁䅕党祂䙁䄸兑畂䝁䅅䅢㕂䡁䅍兡穂䍁䅅䅊䙂䍁䅑杍㕁䑁䅍杏歁䕁䅕䅊穁䑁䅣兎䅁佁䅅䅁䍃䅁䅁睗乂䕁䅫睘䩂䕁䄴睕時䙁䅍䅖䉂䙁䅑睘䵂䝁䅫杚求䙁䄸杒灂䝁䄴兙畂䝁䅍兡桂䝁䅷督時䡁䅙免畁䡁䅧䅢穂䝁䄰兘兂䝁䅕党祂䙁䄸兑畂䝁䅅䅢㕂䡁䅍兡穂䍁䅅䅊䙂䍁䅑睍㕁䑁䅅杏歁䕁䅕䅊ぁ䑁䅁免䅁䑁䉉䅁䍃䅁䅁睗乂䕁䅫睘䩂䕁䄴睕時䙁䅍䅖䉂䙁䅑睘䵂䝁䅫杚求䙁䄸杒灂䝁䄴兙畂䝁䅍兡桂䝁䅷督時䡁䅙免畁䡁䅧䅢穂䝁䄰兘兂䝁䅕党祂䙁䄸兑畂䝁䅅䅢㕂䡁䅍兡穂䍁䅅䅊䙂䍁䅑睍㕁䑁䅉杏歁䕁䅕䅊ぁ䑁䅁杍䅁佁䅳䅁䍃䅁䅁睗乂䕁䅫睘䩂䕁䄴睕時䙁䅍䅖䉂䙁䅑睘䵂䝁䅫杚求䙁䄸杒灂䝁䄴兙畂䝁䅍兡桂䝁䅷督時䡁䅙免畁䡁䅧䅢穂䝁䄰兘兂䝁䅕党祂䙁䄸兑畂䝁䅅䅢㕂䡁䅍兡穂䍁䅅䅊䙂䍁䅑䅎硁䑁䅧杏歁䕁䅕䅊ぁ䑁䅑䅍䅁䑁䉙䅁䍃䅁䅁睗乂䕁䅫睘䩂䕁䄴睕時䙁䅍䅖䉂䙁䅑睘䵂䝁䅫杚求䙁䄸杒灂䝁䄴兙畂䝁䅍兡桂䝁䅷督時䡁䅙免畁䡁䅧䅢穂䝁䄰兘兂䝁䅕党祂䙁䄸兑畂䝁䅅䅢㕂䡁䅍兡穂䍁䅅䅊䙂䍁䅑䅎硁䑁䅫杏歁䕁䅕䅊ぁ䑁䅑免䅁偁䅁䅁䍃䅁䅁睗乂䕁䅫睘䩂䕁䄴睕時䙁䅍䅖䉂䙁䅑睘䵂䝁䅫杚求䙁䄸杒灂䝁䄴兙畂䝁䅍兡桂䝁䅷督時䡁䅙免畁䡁䅧䅢穂䝁䄰兘兂䝁䅕党祂䙁䄸兑畂䝁䅅䅢㕂䡁䅍兡穂䍁䅅䅊䙂䍁䅑䅎ㅁ䑁䅣杏歁䕁䅕䅊ぁ䑁䅙睎䅁䑁䉯䅁䍃䅁䅁睗乂䕁䅫睘䩂䕁䄴睕時䙁䅍䅖䉂䙁䅑睘䵂䝁䅫杚求䙁䄸杒灂䝁䄴兙畂䝁䅍兡桂䝁䅷督時䡁䅙免畁䡁䅧䅢穂䝁䄰兘兂䝁䅕党祂䙁䄸兑畂䝁䅅䅢㕂䡁䅍兡穂䍁䅅䅊䙂䍁䅑䅎ㅁ䑁䅧杏歁䕁䅕䅊ぁ䑁䅙䅏䅁偁䅯䅁䍃䅁䅁睗乂䕁䅫睘䩂䕁䄴睕時䙁䅍䅖䉂䙁䅑睘䵂䝁䅫杚求䙁䄸杒灂䝁䄴兙畂䝁䅍兡桂䝁䅷督時䡁䅙免畁䡁䅧䅢穂䝁䄰兘兂䝁䅕党祂䙁䄸兑畂䝁䅅䅢㕂䡁䅍兡穂䍁䅅䅊䙂䍁䅑兎㉁䑁䅍杏歁䕁䅕䅊ㅁ䑁䅧兎䅁䍁䉙䅁䍃䅁䅁睗乂䕁䅫睘䩂䕁䄴睕時䙁䅍䅖䉂䙁䅑睘䵂䝁䅫杚求䙁䄸杒灂䝁䄴兙畂䝁䅍兡桂䝁䅷督時䡁䅙免畁䡁䅧䅢穂䝁䄰兘兂䝁䅕党祂䙁䄸兑畂䝁䅅䅢㕂䡁䅍兡穂䍁䅅䅊䙂䍁䅑兎㉁䑁䅑杏歁䕁䅕䅊ㅁ䑁䅧李䅁偁䄸䅁䍃䅁䅁睗乂䕁䅫睘䩂䕁䄴睕時䙁䅍䅖䉂䙁䅑睘䵂䝁䅫杚求䙁䄸杒灂䝁䄴兙畂䝁䅍兡桂䝁䅷督時䡁䅙免畁䡁䅧䅢穂䝁䄰兘兂䝁䅕党祂䙁䄸兑畂䝁䅅䅢㕂䡁䅍兡穂䍁䅅䅊䙂䍁䅑李硁䑁䅉杏歁䕁䅕䅊㍁䑁䅅䅏䅁䕁䉉䅁䍃䅁䅁睗乂䕁䅫睘䩂䕁䄴睕時䙁䅍䅖䉂䙁䅑睘䵂䝁䅫杚求䙁䄸杒灂䝁䄴兙畂䝁䅍兡桂䝁䅷督時䡁䅙免畁䡁䅧䅢穂䝁䄰兘兂䝁䅕党祂䙁䄸兑畂䝁䅅䅢㕂䡁䅍兡穂䍁䅅䅊䙂䍁䅑李硁䑁䅍杏歁䕁䅕䅊㍁䑁䅅兏䅁佁䅙䅁䍃䅁䅁睗乂䕁䅫睘䩂䕁䄴睕時䙁䅍䅖䉂䙁䅑睘䵂䝁䅫杚求䙁䄸杒灂䝁䄴兙畂䝁䅍兡桂䝁䅷督時䡁䅙免畁䡁䅧䅢穂䝁䄰兘兂䝁䅕党祂䙁䄸兑畂䝁䅅䅢㕂䡁䅍兡穂䍁䅅䅊䙂䍁䅑睎ぁ䑁䅕杏歁䕁䅕䅊㍁䑁䅣兏䅁䕁䉙䅁䍃䅁䅁睗乂䕁䅫睘䩂䕁䄴睕時䙁䅍䅖䉂䙁䅑睘䵂䝁䅫杚求䙁䄸杒灂䝁䄴兙畂䝁䅍兡桂䝁䅷督時䡁䅙免畁䡁䅧䅢穂䝁䄰兘兂䝁䅕党祂䙁䄸兑畂䝁䅅䅢㕂䡁䅍兡穂䍁䅅䅊䙂䍁䅑睎ぁ䑁䅙杏歁䕁䅕䅊㍁䑁䅧䅍䅁偁䅕䅁䅃䅁䅁睗乂䕁䅫睘䩂䕁䄴睕時䙁䅍䅖䉂䙁䅑睘䵂䝁䅫杚求䙁䄸杒灂䝁䄴兙畂䝁䅍兡桂䝁䅷督時䡁䅙免畁䡁䅧䅢穂䝁䄰兘兂䝁䅕党祂䙁䄸兑畂䝁䅅䅢㕂䡁䅍兡穂䍁䅅䅊䙂䍁䅑睎㑁䑁䅯䅊䙂䍁䅑免睁䑁䅁䅁煁允䅁䅧䅁䙁䅳兔䩂䙁䄸兓佂䙁䅍睘呂䙁䅑兑啂䙁䄸䅔灂䝁䅙党時䕁䅙兡畂䝁䅅杢橂䝁䅫兙獂䡁䅍睘㉂䑁䅅杌㑂䝁䅷督瑂䙁䄰䅕求䝁䅕杣時䕁䅅杢桂䝁䅷入穂䝁䅫督桁䍁䅑兒歁䑁䅣兏㙁䍁䅑兒歁䑁䅅䅍硁䅁䅁眱䅁䥁䅉䅁扂䕁䄰兓時䕁䅫杔呂䙁䄸睕啂䕁䅅䅖時䕁䅷兡浂䝁䅕睘䝂䝁䅫杢桂䝁䄴睙灂䝁䅅䅢穂䙁䄸杤硁䍁䄴䅥獂䡁䅍兢摂䙁䅁党求䡁䅉睘䉂䝁䄴兙獂䡁䅫督灂䡁䅍光歁䕁䅕䅊㑁䑁䅁李㙁䍁䅑兒歁䑁䅧兎祁䅁䅁材䅅䥁䅉䅁扂䕁䄰兓時䕁䅫杔呂䙁䄸睕啂䕁䅅䅖時䕁䅷兡浂䝁䅕睘䝂䝁䅫杢桂䝁䄴睙灂䝁䅅䅢穂䙁䄸杤硁䍁䄴䅥獂䡁䅍兢摂䙁䅁党求䡁䅉睘䉂䝁䄴兙獂䡁䅫督灂䡁䅍光歁䕁䅕䅊㑁䑁䅁睎㙁䍁䅑兒歁䑁䅧兎穁䅁䅁䅂䅅䥁䅙䅁扂䕁䄰兓時䕁䅫杔呂䙁䄸睕啂䕁䅅䅖時䕁䅷兡浂䝁䅕睘䝂䝁䅫杢桂䝁䄴睙灂䝁䅅䅢穂䙁䄸杤硁䍁䄴䅥獂䡁䅍兢摂䙁䅁党求䡁䅉睘䉂䝁䄴兙獂䡁䅫督灂䡁䅍光歁䕁䅙䅊硁䑁䅁李睁䑁䅯䅊兂䍁䅑免睁䑁䅙䅍䅁䭁䈰䅁䝃䅁䅁睗乂䕁䅫睘䩂䕁䄴睕時䙁䅍䅖䉂䙁䅑睘䵂䝁䅫杚求䙁䄸杒灂䝁䄴兙畂䝁䅍兡桂䝁䅷督時䡁䅙免畁䡁䅧䅢穂䝁䄰兘兂䝁䅕党祂䙁䄸兑畂䝁䅅䅢㕂䡁䅍兡穂䍁䅅䅊䝂䍁䅑免睁䑁䅙免㙁䍁䅑䅕歁䑁䅅䅍㉁䑁䅅䅁癃允䅁杨䅁䙁䅳兔䩂䙁䄸兓佂䙁䅍睘呂䙁䅑兑啂䙁䄸䅔灂䝁䅙党時䕁䅙兡畂䝁䅅杢橂䝁䅫兙獂䡁䅍睘㉂䑁䅅杌㑂䝁䅷督瑂䙁䄰䅕求䝁䅕杣時䕁䅅杢桂䝁䅷入穂䝁䅫督桁䍁䅑杒歁䑁䅅䅍㉁䑁䅉杏歁䙁䅁䅊硁䑁䅁李祁䅁䅁䅔䅅䥁䅙䅁扂䕁䄰兓時䕁䅫杔呂䙁䄸睕啂䕁䅅䅖時䕁䅷兡浂䝁䅕睘䝂䝁䅫杢桂䝁䄴睙灂䝁䅅䅢穂䙁䄸杤硁䍁䄴䅥獂䡁䅍兢摂䙁䅁党求䡁䅉睘䉂䝁䄴兙獂䡁䅫督灂䡁䅍光歁䕁䅙䅊硁䑁䅁李穁䑁䅯䅊兂䍁䅑免睁䑁䅙睍䅁䅁䉳䅁䝃䅁䅁睗乂䕁䅫睘䩂䕁䄴睕時䙁䅍䅖䉂䙁䅑睘䵂䝁䅫杚求䙁䄸杒灂䝁䄴兙畂䝁䅍兡桂䝁䅷督時䡁䅙免畁䡁䅧䅢穂䝁䄰兘兂䝁䅕党祂䙁䄸兑畂䝁䅅䅢㕂䡁䅍兡穂䍁䅅䅊䝂䍁䅑免睁䑁䅙䅎㙁䍁䅑䅕歁䑁䅅䅍㉁䑁䅑䅁乁允䅁杨䅁䙁䅳兔䩂䙁䄸兓佂䙁䅍睘呂䙁䅑兑啂䙁䄸䅔灂䝁䅙党時䕁䅙兡畂䝁䅅杢橂䝁䅫兙獂䡁䅍睘㉂䑁䅅杌㑂䝁䅷督瑂䙁䄰䅕求䝁䅕杣時䕁䅅杢桂䝁䅷入穂䝁䅫督桁䍁䅑杒歁䑁䅅䅍㑁䑁䅙杏歁䙁䅁䅊硁䑁䅁䅏㉁䅁䅁杳䅅䥁䅙䅁扂䕁䄰兓時䕁䅫杔呂䙁䄸睕啂䕁䅅䅖時䕁䅷兡浂䝁䅕睘䝂䝁䅫杢桂䝁䄴睙灂䝁䅅䅢穂䙁䄸杤硁䍁䄴䅥獂䡁䅍兢摂䙁䅁党求䡁䅉睘䉂䝁䄴兙獂䡁䅫督灂䡁䅍光歁䕁䅙䅊硁䑁䅁䅏㍁䑁䅯䅊兂䍁䅑免睁䑁䅧睎䅁䱁䉑䅁䝃䅁䅁睗乂䕁䅫睘䩂䕁䄴睕時䙁䅍䅖䉂䙁䅑睘䵂䝁䅫杚求䙁䄸杒灂䝁䄴兙畂䝁䅍兡桂䝁䅷督時䡁䅙免畁䡁䅧䅢穂䝁䄰兘兂䝁䅕党祂䙁䄸兑畂䝁䅅䅢㕂䡁䅍兡穂䍁䅅䅊䝂䍁䅑免睁䑁䅧䅏㙁䍁䅑䅕歁䑁䅅䅍㑁䑁䅧䅁兂允䅁杨䅁䙁䅳兔䩂䙁䄸兓佂䙁䅍睘呂䙁䅑兑啂䙁䄸䅔灂䝁䅙党時䕁䅙兡畂䝁䅅杢橂䝁䅫兙獂䡁䅍睘㉂䑁䅅杌㑂䝁䅷督瑂䙁䄰䅕求䝁䅕杣時䕁䅅杢桂䝁䅷入穂䝁䅫督桁䍁䅑杒歁䑁䅅䅍㑁䑁䅫杏歁䙁䅁䅊硁䑁䅁䅏㕁䅁䅁䅅䅅䥁䅙䅁扂䕁䄰兓時䕁䅫杔呂䙁䄸睕啂䕁䅅䅖時䕁䅷兡浂䝁䅕睘䝂䝁䅫杢桂䝁䄴睙灂䝁䅅䅢穂䙁䄸杤硁䍁䄴䅥獂䡁䅍兢摂䙁䅁党求䡁䅉睘䉂䝁䄴兙獂䡁䅫督灂䡁䅍光歁䕁䅙䅊硁䑁䅁兏睁䑁䅯䅊兂䍁䅑免睁䑁䅫䅍䅁䉁䉉䅁䝃䅁䅁睗乂䕁䅫睘䩂䕁䄴睕時䙁䅍䅖䉂䙁䅑睘䵂䝁䅫杚求䙁䄸杒灂䝁䄴兙畂䝁䅍兡桂䝁䅷督時䡁䅙免畁䡁䅧䅢穂䝁䄰兘兂䝁䅕党祂䙁䄸兑畂䝁䅅䅢㕂䡁䅍兡穂䍁䅅䅊䝂䍁䅑免硁䑁䅁免㙁䍁䅑䅕歁䑁䅅免睁䑁䅅䅁㍃允䅁杨䅁䙁䅳兔䩂䙁䄸兓佂䙁䅍睘呂䙁䅑兑啂䙁䄸䅔灂䝁䅙党時䕁䅙兡畂䝁䅅杢橂䝁䅫兙獂䡁䅍睘㉂䑁䅅杌㑂䝁䅷督瑂䙁䄰䅕求䝁䅕杣時䕁䅅杢桂䝁䅷入穂䝁䅫督桁䍁䅑杒歁䑁䅅免睁䑁䅉杏歁䙁䅁䅊硁䑁䅅䅍祁䅁䅁兵䅅䥁䅙䅁扂䕁䄰兓時䕁䅫杔呂䙁䄸睕啂䕁䅅䅖時䕁䅷兡浂䝁䅕睘䝂䝁䅫杢桂䝁䄴睙灂䝁䅅䅢穂䙁䄸杤硁䍁䄴䅥獂䡁䅍兢摂䙁䅁党求䡁䅉睘䉂䝁䄴兙獂䡁䅫督灂䡁䅍光歁䕁䅙䅊硁䑁䅅䅍穁䑁䅯䅊兂䍁䅑免硁䑁䅁睍䅁䙁䉑䅁䝃䅁䅁睗乂䕁䅫睘䩂䕁䄴睕時䙁䅍䅖䉂䙁䅑睘䵂䝁䅫杚求䙁䄸杒灂䝁䄴兙畂䝁䅍兡桂䝁䅷督時䡁䅙免畁䡁䅧䅢穂䝁䄰兘兂䝁䅕党祂䙁䄸兑畂䝁䅅䅢㕂䡁䅍兡穂䍁䅅䅊䝂䍁䅑免硁䑁䅁䅎㙁䍁䅑䅕歁䑁䅅免睁䑁䅑䅁噁允䅁杨䅁䙁䅳兔䩂䙁䄸兓佂䙁䅍睘呂䙁䅑兑啂䙁䄸䅔灂䝁䅙党時䕁䅙兡畂䝁䅅杢橂䝁䅫兙獂䡁䅍睘㉂䑁䅅杌㑂䝁䅷督瑂䙁䄰䅕求䝁䅕杣時䕁䅅杢桂䝁䅷入穂䝁䅫督桁䍁䅑杒歁䑁䅅免睁䑁䅕杏歁䙁䅁䅊硁䑁䅅䅍ㅁ䅁䅁睆䅅䥁䅙䅁扂䕁䄰兓時䕁䅫杔呂䙁䄸睕啂䕁䅅䅖時䕁䅷兡浂䝁䅕睘䝂䝁䅫杢桂䝁䄴睙灂䝁䅅䅢穂䙁䄸杤硁䍁䄴䅥獂䡁䅍兢摂䙁䅁党求䡁䅉睘䉂䝁䄴兙獂䡁䅫督灂䡁䅍光歁䕁䅙䅊硁䑁䅅睍ぁ䑁䅯䅊兂䍁䅑免硁䑁䅍䅎䅁䱁䉷䅁䝃䅁䅁睗乂䕁䅫睘䩂䕁䄴睕時䙁䅍䅖䉂䙁䅑睘䵂䝁䅫杚求䙁䄸杒灂䝁䄴兙畂䝁䅍兡桂䝁䅷督時䡁䅙免畁䡁䅧䅢穂䝁䄰兘兂䝁䅕党祂䙁䄸兑畂䝁䅅䅢㕂䡁䅍兡穂䍁䅅䅊䝂䍁䅑免硁䑁䅍兎㙁䍁䅑䅕歁䑁䅅免穁䑁䅕䅁⭃允䅁杨䅁䙁䅳兔䩂䙁䄸兓佂䙁䅍睘呂䙁䅑兑啂䙁䄸䅔灂䝁䅙党時䕁䅙兡畂䝁䅅杢橂䝁䅫兙獂䡁䅍睘㉂䑁䅅杌㑂䝁䅷督瑂䙁䄰䅕求䝁䅕杣時䕁䅅杢桂䝁䅷入穂䝁䅫督桁䍁䅑杒歁䑁䅅免穁䑁䅙杏歁䙁䅁䅊硁䑁䅅睍㉁䅁䅁䅗䅅䥁䅙䅁扂䕁䄰兓時䕁䅫杔呂䙁䄸睕啂䕁䅅䅖時䕁䅷兡浂䝁䅕睘䝂䝁䅫杢桂</t>
  </si>
  <si>
    <t>2014Y</t>
  </si>
  <si>
    <t>䝁䄴睙灂䝁䅅䅢穂䙁䄸杤硁䍁䄴䅥獂䡁䅍兢摂䙁䅁党求䡁䅉睘䉂䝁䄴兙獂䡁䅫督灂䡁䅍光歁䕁䅙䅊硁䑁䅅睍㍁䑁䅯䅊兂䍁䅑免硁䑁䅍睎䅁䉁䉯䅁䝃䅁䅁睗乂䕁䅫睘䩂䕁䄴睕時䙁䅍䅖䉂䙁䅑睘䵂䝁䅫杚求䙁䄸杒灂䝁䄴兙畂䝁䅍兡桂䝁䅷督時䡁䅙免畁䡁䅧䅢穂䝁䄰兘兂䝁䅕党祂䙁䄸兑畂䝁䅅䅢㕂䡁䅍兡穂䍁䅅䅊䝂䍁䅑免硁䑁䅍䅏㙁䍁䅑䅕歁䑁䅅免穁䑁䅧䅁捁允䅁杨䅁䙁䅳兔䩂䙁䄸兓佂䙁䅍睘呂䙁䅑兑啂䙁䄸䅔灂䝁䅙党時䕁䅙兡畂䝁䅅杢橂䝁䅫兙獂䡁䅍睘㉂䑁䅅杌㑂䝁䅷督瑂䙁䄰䅕求䝁䅕杣時䕁䅅杢桂䝁䅷入穂䝁䅫督桁䍁䅑杒歁䑁䅅免㍁䑁䅫杏歁䙁䅁䅊硁䑁䅅睎㕁䅁䅁睙䅅䥁䅙䅁扂䕁䄰兓時䕁䅫杔呂䙁䄸睕啂䕁䅅䅖時䕁䅷兡浂䝁䅕睘䝂䝁䅫杢桂䝁䄴睙灂䝁䅅䅢穂䙁䄸杤硁䍁䄴䅥獂䡁䅍兢摂䙁䅁党求䡁䅉睘䉂䝁䄴兙獂䡁䅫督灂䡁䅍光歁䕁䅙䅊硁䑁䅅䅏睁䑁䅯䅊兂䍁䅑免硁䑁䅧䅍䅁䝁䉕䅁䝃䅁䅁睗乂䕁䅫睘䩂䕁䄴睕時䙁䅍䅖䉂䙁䅑睘䵂䝁䅫杚求䙁䄸杒灂䝁䄴兙畂䝁䅍兡桂䝁䅷督時䡁䅙免畁䡁䅧䅢穂䝁䄰兘兂䝁䅕党祂䙁䄸兑畂䝁䅅䅢㕂䡁䅍兡穂䍁䅅䅊䝂䍁䅑免硁䑁䅧免㙁䍁䅑䅕歁䑁䅅免㑁䑁䅅䅁㉂允䅁杨䅁䙁䅳兔䩂䙁䄸兓佂䙁䅍睘呂䙁䅑兑啂䙁䄸䅔灂䝁䅙党時䕁䅙兡畂䝁䅅杢橂䝁䅫兙獂䡁䅍睘㉂䑁䅅杌㑂䝁䅷督瑂䙁䄰䅕求䝁䅕杣時䕁䅅杢桂䝁䅷入穂䝁䅫督桁䍁䅑杒歁䑁䅅免㑁䑁䅉杏歁䙁䅁䅊硁䑁䅅䅏祁䅁䅁睤䅅䥁䅙䅁扂䕁䄰兓時䕁䅫杔呂䙁䄸睕啂䕁䅅䅖時䕁䅷兡浂䝁䅕睘䝂䝁䅫杢桂䝁䄴睙灂䝁䅅䅢穂䙁䄸杤硁䍁䄴䅥獂䡁䅍兢摂䙁䅁党求䡁䅉睘䉂䝁䄴兙獂䡁䅫督灂䡁䅍光歁䕁䅙䅊硁䑁䅉䅏穁䑁䅯䅊兂䍁䅑免祁䑁䅧睍䅁䵁䉅䅁䝃䅁䅁睗乂䕁䅫睘䩂䕁䄴睕時䙁䅍䅖䉂䙁䅑睘䵂䝁䅫杚求䙁䄸杒灂䝁䄴兙畂䝁䅍兡桂䝁䅷督時䡁䅙免畁䡁䅧䅢穂䝁䄰兘兂䝁䅕党祂䙁䄸兑畂䝁䅅䅢㕂䡁䅍兡穂䍁䅅䅊䝂䍁䅑免祁䑁䅧䅎㙁䍁䅑䅕歁䑁䅅杍㑁䑁䅑䅁䑄允䅁杨䅁䙁䅳兔䩂䙁䄸兓佂䙁䅍睘呂䙁䅑兑啂䙁䄸䅔灂䝁䅙党時䕁䅙兡畂䝁䅅杢橂䝁䅫兙獂䡁䅍睘㉂䑁䅅杌㑂䝁䅷督瑂䙁䄰䅕求䝁䅕杣時䕁䅅杢桂䝁䅷入穂䝁䅫督桁䍁䅑杒歁䑁䅅杍㑁䑁䅕杏歁䙁䅁䅊硁䑁䅉䅏ㅁ䅁䅁䅸䅅䥁䅉䅁扂䕁䄰兓時䕁䅫杔呂䙁䄸睕啂䕁䅅䅖時䕁䅷兡浂䝁䅕睘䝂䝁䅫杢桂䝁䄴睙灂䝁䅅䅢穂䙁䄸杤硁䍁䄴䅥獂䡁䅍兢摂䙁䅁党求䡁䅉睘䉂䝁䄴兙獂䡁䅫督灂䡁䅍光歁䕁䅙䅊祁䑁䅑䅎㙁䍁䅑䅕歁䑁䅉䅎ぁ䅁䅁䅌䅅䥁䅉䅁扂䕁䄰兓時䕁䅫杔呂䙁䄸睕啂䕁䅅䅖時䕁䅷兡浂䝁䅕睘䝂䝁䅫杢桂䝁䄴睙灂䝁䅅䅢穂䙁䄸杤硁䍁䄴䅥獂䡁䅍兢摂䙁䅁党求䡁䅉睘䉂䝁䄴兙獂䡁䅫督灂䡁䅍光歁䕁䅙䅊祁䑁䅑兎㙁䍁䅑䅕歁䑁䅉䅎ㅁ䅁䅁儲䅁䥁䅉䅁扂䕁䄰兓時䕁䅫杔呂䙁䄸睕啂䕁䅅䅖時䕁䅷兡浂䝁䅕睘䝂䝁䅫杢桂䝁䄴睙灂䝁䅅䅢穂䙁䄸杤硁䍁䄴䅥獂䡁䅍兢摂䙁䅁党求䡁䅉睘䉂䝁䄴兙獂䡁䅫督灂䡁䅍光歁䕁䅙䅊祁䑁䅑李㙁䍁䅑䅕歁䑁䅉䅎㉁䅁䅁眲䅁䥁䅉䅁扂䕁䄰兓時䕁䅫杔呂䙁䄸睕啂䕁䅅䅖時䕁䅷兡浂䝁䅕睘䝂䝁䅫杢桂䝁䄴睙灂䝁䅅䅢穂䙁䄸杤硁䍁䄴䅥獂䡁䅍兢摂䙁䅁党求䡁䅉睘䉂䝁䄴兙獂䡁䅫督灂䡁䅍光歁䕁䅙䅊祁䑁䅫䅍㙁䍁䅑䅕歁䑁䅉兏睁䅁䅁䅉䅅䥁䅉䅁扂䕁䄰兓時䕁䅫杔呂䙁䄸睕啂䕁䅅䅖時䕁䅷兡浂䝁䅕睘䝂䝁䅫杢桂䝁䄴睙灂䝁䅅䅢穂䙁䄸杤硁䍁䄴䅥獂䡁䅍兢摂䙁䅁党求䡁䅉睘䉂䝁䄴兙獂䡁䅫督灂䡁䅍光歁䕁䅙䅊祁䑁䅫免㙁䍁䅑䅕歁䑁䅉兏硁䅁䅁朳䅁䥁䅉䅁扂䕁䄰兓時䕁䅫杔呂䙁䄸睕啂䕁䅅䅖時䕁䅷兡浂䝁䅕睘䝂䝁䅫杢桂䝁䄴睙灂䝁䅅䅢穂䙁䄸杤硁䍁䄴䅥獂䡁䅍兢摂䙁䅁党求䡁䅉睘䉂䝁䄴兙獂䡁䅫督灂䡁䅍光歁䕁䅙䅊祁䑁䅫杍㙁䍁䅑䅕歁䑁䅉兏祁䅁䅁䄴䅁䥁䅉䅁扂䕁䄰兓時䕁䅫杔呂䙁䄸睕啂䕁䅅䅖時䕁䅷兡浂䝁䅕睘䝂䝁䅫杢桂䝁䄴睙灂䝁䅅䅢穂䙁䄸杤硁䍁䄴䅥獂䡁䅍兢摂䙁䅁党求䡁䅉睘䉂䝁䄴兙獂䡁䅫督灂䡁䅍光歁䕁䅙䅊穁䑁䅧兏㙁䍁䅑䅕歁䑁䅍䅏㕁䅁䅁䅍䅅䥁䅉䅁扂䕁䄰兓時䕁䅫杔呂䙁䄸睕啂䕁䅅䅖時䕁䅷兡浂䝁䅕睘䝂䝁䅫杢桂䝁䄴睙灂䝁䅅䅢穂䙁䄸杤硁䍁䄴䅥獂䡁䅍兢摂䙁䅁党求䡁䅉睘䉂䝁䄴兙獂䡁䅫督灂䡁䅍光歁䕁䅙䅊穁䑁䅫䅍㙁䍁䅑䅕歁䑁䅍兏睁䅁䅁䄶䅁䥁䅉䅁扂䕁䄰兓時䕁䅫杔呂䙁䄸睕啂䕁䅅䅖時䕁䅷兡浂䝁䅕睘䝂䝁䅫杢桂䝁䄴睙灂䝁䅅䅢穂䙁䄸杤硁䍁䄴䅥獂䡁䅍兢摂䙁䅁党求䡁䅉睘䉂䝁䄴兙獂䡁䅫督灂䡁䅍光歁䕁䅙䅊穁䑁䅫免㙁䍁䅑䅕歁䑁䅍兏硁䅁䅁朶䅁䥁䅉䅁扂䕁䄰兓時䕁䅫杔呂䙁䄸睕啂䕁䅅䅖時䕁䅷兡浂䝁䅕睘䝂䝁䅫杢桂䝁䄴睙灂䝁䅅䅢穂䙁䄸杤硁䍁䄴䅥獂䡁䅍兢摂䙁䅁党求䡁䅉睘䉂䝁䄴兙獂䡁䅫督灂䡁䅍光歁䕁䅙䅊ぁ䑁䅅李㙁䍁䅑䅕歁䑁䅑免㉁䅁䅁䅎䅅䥁䅉䅁扂䕁䄰兓時䕁䅫杔呂䙁䄸睕啂䕁䅅䅖時䕁䅷兡浂䝁䅕睘䝂䝁䅫杢桂䝁䄴睙灂䝁䅅䅢穂䙁䄸杤硁䍁䄴䅥獂䡁䅍兢摂䙁䅁党求䡁䅉睘䉂䝁䄴兙獂䡁䅫督灂䡁䅍光歁䕁䅙䅊ぁ䑁䅅睎㙁䍁䅑䅕歁䑁䅑免㍁䅁䅁儷䅁䥁䅉䅁扂䕁䄰兓時䕁䅫杔呂䙁䄸睕啂䕁䅅䅖時䕁䅷兡浂䝁䅕睘䝂䝁䅫杢桂䝁䄴睙灂䝁䅅䅢穂䙁䄸杤硁䍁䄴䅥獂䡁䅍兢摂䙁䅁党求䡁䅉睘䉂䝁䄴兙獂䡁䅫督灂䡁䅍光歁䕁䅙䅊ぁ䑁䅅䅏㙁䍁䅑䅕歁䑁䅑免㑁䅁䅁眷䅁䥁䅉䅁扂䕁䄰兓時䕁䅫杔呂䙁䄸睕啂䕁䅅䅖時䕁䅷兡浂䝁䅕睘䝂䝁䅫杢桂䝁䄴睙灂䝁䅅䅢穂䙁䄸杤硁䍁䄴䅥獂䡁䅍兢摂䙁䅁党求䡁䅉睘䉂䝁䄴兙獂䡁䅫督灂䡁䅍光歁䕁䅙䅊ぁ䑁䅕兎㙁䍁䅑䅕歁䑁䅑兎ㅁ䅁䅁䅏䅅䥁䅉䅁扂䕁䄰兓時䕁䅫杔呂䙁䄸睕啂䕁䅅䅖時䕁䅷兡浂䝁䅕睘䝂䝁䅫杢桂䝁䄴睙灂䝁䅅䅢穂䙁䄸杤硁䍁䄴䅥獂䡁䅍兢摂䙁䅁党求䡁䅉睘䉂䝁䄴兙獂䡁䅫督灂䡁䅍光歁䕁䅙䅊ぁ䑁䅕李㙁䍁䅑䅕歁䑁䅑兎㉁䅁䅁眹䅁䥁䅉䅁扂䕁䄰兓時䕁䅫杔呂䙁䄸睕啂䕁䅅䅖時䕁䅷兡浂䝁䅕睘䝂䝁䅫杢桂䝁䄴睙灂䝁䅅䅢穂䙁䄸杤硁䍁䄴䅥獂䡁䅍兢摂䙁䅁党求䡁䅉睘䉂䝁䄴兙獂䡁䅫督灂䡁䅍光歁䕁䅙䅊ぁ䑁䅕睎㙁䍁䅑䅕歁䑁䅑兎㍁䅁䅁儫䅁䥁䅉䅁扂䕁䄰兓時䕁䅫杔呂䙁䄸睕啂䕁䅅䅖時䕁䅷兡浂䝁䅕睘䝂䝁䅫杢桂䝁䄴睙灂䝁䅅䅢穂䙁䄸杤硁䍁䄴䅥獂䡁䅍兢摂䙁䅁党求䡁䅉睘䉂䝁䄴兙獂䡁䅫督灂䡁䅍光歁䕁䅙䅊ㅁ䑁䅙免㙁䍁䅑䅕歁䑁䅕李硁䅁䅁䅊䅅䥁䅉䅁扂䕁䄰兓時䕁䅫杔呂䙁䄸睕啂䕁䅅䅖時䕁䅷兡浂䝁䅕睘䝂䝁䅫杢桂䝁䄴睙灂䝁䅅䅢穂䙁䄸杤硁䍁䄴䅥獂䡁䅍兢摂䙁䅁党求䡁䅉睘䉂䝁䄴兙獂䡁䅫督灂䡁䅍光歁䕁䅙䅊ㅁ䑁䅙杍㙁䍁䅑䅕歁䑁䅕李祁䅁䅁䄯䅁䥁䅉䅁扂䕁䄰兓時䕁䅫杔呂䙁䄸睕啂䕁䅅䅖時䕁䅷兡浂䝁䅕睘䝂䝁䅫杢桂䝁䄴睙灂䝁䅅䅢穂䙁䄸杤硁䍁䄴䅥獂䡁䅍兢摂䙁䅁党求䡁䅉睘䉂䝁䄴兙獂䡁䅫督灂䡁䅍光歁䕁䅙䅊ㅁ䑁䅙睍㙁䍁䅑䅕歁䑁䅕李穁䅁䅁术䅁䡁䅯䅁扂䕁䄰兓時䕁䅫杔呂䙁䄸睕啂䕁䅅䅖時䕁䅷兡浂䝁䅕睘䝂䝁䅫杢桂䝁䄴睙灂䝁䅅䅢穂䙁䄸杤硁䍁䄴䅥獂䡁䅍兢摂䙁䅁党求䡁䅉睘䉂䝁䄴兙獂䡁䅫督灂䡁䅍光歁䕁䅙䅊ㅁ䑁䅯䅊兂䍁䅑兎䅁䑁䅳䅁䍃䅁䅁睗乂䕁䅫睘䩂䕁䄴睕時䙁䅍䅖䉂䙁䅑睘䵂䝁䅫杚求䙁䄸杒灂䝁䄴兙畂䝁䅍兡桂䝁䅷督時䡁䅙免畁䡁䅧䅢穂䝁䄰兘兂䝁䅕党祂䙁䄸兑畂䝁䅅䅢㕂䡁䅍兡穂䍁䅅䅊䝂䍁䅑李硁䑁䅁杏歁䙁䅁䅊㉁䑁䅅䅍䅁䕁䉁䅁䍃䅁䅁睗乂䕁䅫睘䩂䕁䄴睕時䙁䅍䅖䉂䙁䅑睘䵂䝁䅫杚求䙁䄸杒灂䝁䄴兙畂䝁䅍兡桂䝁䅷督時䡁䅙免畁䡁䅧䅢穂䝁䄰兘兂䝁䅕党祂䙁䄸兑畂䝁䅅䅢㕂䡁䅍兡穂䍁䅅䅊䝂䍁䅑李硁䑁䅅杏歁䙁䅁䅊㉁䑁䅅免䅁佁䅍䅁䍃䅁䅁睗乂䕁䅫睘䩂䕁䄴睕時䙁䅍䅖䉂䙁䅑睘䵂䝁䅫杚求䙁䄸杒灂䝁䄴兙畂䝁䅍兡桂䝁䅷督時䡁䅙免畁䡁䅧䅢穂䝁䄰兘兂䝁䅕党祂䙁䄸兑畂䝁䅅䅢㕂䡁䅍兡穂䍁䅅䅊䝂䍁䅑李硁䑁䅉杏歁䙁䅁䅊㉁䑁䅅杍䅁佁䅕䅁㙂䅁䅁睗乂䕁䅫睘䩂䕁䄴睕時䙁䅍䅖䉂䙁䅑睘䵂䝁䅫杚求䙁䄸杒灂䝁䄴兙畂䝁䅍兡桂䝁䅷督時䡁䅙免畁䡁䅧䅢穂䝁䄰兘兂䝁䅕党祂䙁䄸兑畂䝁䅅䅢㕂䡁䅍兡穂䍁䅅䅊䝂䍁䅑李㙁䍁䅑䅕歁䑁䅙䅁㥁䅁䅁杧䅁䙁䅳兔䩂䙁䄸兓佂䙁䅍睘呂䙁䅑兑啂䙁䄸䅔灂䝁䅙党時䕁䅙兡畂䝁䅅杢橂䝁䅫兙獂䡁䅍睘㉂䑁䅅杌㑂䝁䅷督瑂䙁䄰䅕求䝁䅕杣時䕁䅅杢桂䝁䅷入穂䝁䅫督桁䍁䅑杒歁䑁䅣䅎穁䑁䅯䅊兂䍁䅑睎ぁ䑁䅍䅁䕂允䅁杧䅁䙁䅳兔䩂䙁䄸兓佂䙁䅍睘呂䙁䅑兑啂䙁䄸䅔灂䝁䅙党時䕁䅙兡畂䝁䅅杢橂䝁䅫兙獂䡁䅍睘㉂䑁䅅杌㑂䝁䅷督瑂䙁䄰䅕求䝁䅕杣時䕁䅅杢桂䝁䅷入穂䝁䅫督桁䍁䅑杒歁䑁䅣䅎ぁ䑁䅯䅊兂䍁䅑睎ぁ䑁䅑䅁祄䅁䅁杧䅁䙁䅳兔䩂䙁䄸兓佂䙁䅍睘呂䙁䅑兑啂䙁䄸䅔灂䝁䅙党時䕁䅙兡畂䝁䅅杢橂䝁䅫兙獂䡁䅍睘㉂䑁䅅杌㑂䝁䅷督瑂䙁䄰䅕求䝁䅕杣時䕁䅅杢桂䝁䅷入穂䝁䅫督桁䍁䅑杒歁䑁䅣䅎ㅁ䑁䅯䅊兂䍁䅑睎ぁ䑁䅕䅁い䅁䅁杦䅁䙁䅳兔䩂䙁䄸兓佂䙁䅍睘呂䙁䅑兑啂䙁䄸䅔灂䝁䅙党時䕁䅙兡畂䝁䅅杢橂䝁䅫兙獂䡁䅍睘㉂䑁䅅杌㑂䝁䅷督瑂䙁䄰䅕求䝁䅕杣時䕁䅅杢桂䝁䅷入穂䝁䅫督桁䍁䅑杒歁䑁䅣李㙁䍁䅑䅕歁䑁䅣李䅁䍁䉧䅁⭂䅁䅁睗乂䕁䅫睘䩂䕁䄴睕時䙁䅍䅖䉂䙁䅑睘䵂䝁䅫杚求䙁䄸杒灂䝁䄴兙畂䝁䅍兡桂䝁䅷督時䡁䅙免畁䡁䅧䅢穂䝁䄰兘兂䝁䅕党祂䙁䄸兑畂䝁䅅䅢㕂䡁䅍兡穂䍁䅅䅊䝂䍁䅑睎㍁䑁䅯䅊兂䍁䅑睎㍁䅁䅁䄱䅁䡁䄴䅁扂䕁䄰兓時䕁䅫杔呂䙁䄸睕啂䕁䅅䅖時䕁䅷兡浂䝁䅕睘䝂䝁䅫杢桂䝁䄴睙灂䝁䅅䅢穂䙁䄸杤硁䍁䄴䅥獂䡁䅍兢摂䙁䅁党求䡁䅉睘䉂䝁䄴兙獂䡁䅫督灂䡁䅍光歁䕁䅙䅊㍁䑁䅧杏歁䙁䅁䅊㍁䑁䅧䅁坄䅁䅁杧䅁䙁䅳兔䩂䙁䄸兓佂䙁䅍睘呂䙁䅑兑啂䙁䄸䅔灂䝁䅙党時䕁䅙兡畂䝁䅅杢橂䝁䅫兙獂䡁䅍睘㉂䑁䅅杌㑂䝁䅷督瑂䙁䄰䅕求䝁䅕杣時䕁䅅杢桂䝁䅷入穂䝁䅫督桁䍁䅑杒歁䑁䅧䅍ぁ䑁䅯䅊兂䍁䅑䅏睁䑁䅑䅁㡁允䅁杧䅁䙁䅳兔䩂䙁䄸兓佂䙁䅍睘呂䙁䅑兑啂䙁䄸䅔灂䝁䅙党時䕁䅙兡畂䝁䅅杢橂䝁䅫兙獂䡁䅍睘㉂䑁䅅杌㑂䝁䅷督瑂䙁䄰䅕求䝁䅕杣時䕁䅅杢桂䝁䅷入穂䝁䅫督桁䍁䅑杒歁䑁䅧䅍ㅁ䑁䅯䅊兂䍁䅑䅏睁䑁䅕䅁䉁允䅁杧䅁䙁䅳兔䩂䙁䄸兓佂䙁䅍睘呂䙁䅑兑啂䙁䄸䅔灂䝁䅙党時䕁䅙兡畂䝁䅅杢橂䝁䅫兙獂䡁䅍睘㉂䑁䅅杌㑂䝁䅷督瑂䙁䄰䅕求䝁䅕杣時䕁䅅杢桂䝁䅷入穂䝁䅫督桁䍁䅑杒歁䑁䅧䅍㉁䑁䅯䅊兂䍁䅑䅏睁䑁䅙䅁䑁允䅁杧䅁䙁䅳兔䩂䙁䄸兓佂䙁䅍睘呂䙁䅑兑啂䙁䄸䅔灂䝁䅙党時䕁䅙兡畂䝁䅅杢橂䝁䅫兙獂䡁䅍睘㉂䑁䅅杌㑂䝁䅷督瑂䙁䄰䅕求䝁䅕杣時䕁䅅杢桂䝁䅷入穂䝁䅫督桁䍁䅑杒歁䑁䅧李穁䑁䅯䅊兂䍁䅑䅏㉁䑁䅍䅁䥂允䅁杧䅁䙁䅳兔䩂䙁䄸兓佂䙁䅍睘呂䙁䅑兑啂䙁䄸䅔灂䝁䅙党時䕁䅙兡畂䝁䅅杢橂䝁䅫兙獂䡁䅍睘㉂䑁䅅杌㑂䝁䅷督瑂䙁䄰䅕求䝁䅕杣時䕁䅅杢桂䝁䅷入穂䝁䅫督桁䍁䅑杒歁䑁䅧李ぁ䑁䅯䅊兂䍁䅑䅏㉁䑁䅑䅁䝁允䅁杧䅁䙁䅳兔䩂䙁䄸兓佂䙁䅍睘呂䙁䅑兑啂䙁䄸䅔灂䝁䅙党時䕁䅙兡畂䝁䅅杢橂䝁䅫兙獂䡁䅍睘㉂䑁䅅杌㑂䝁䅷督瑂䙁䄰䅕求䝁䅕杣時䕁䅅杢桂䝁䅷入穂䝁䅫督桁䍁䅑杒歁䑁䅧李ㅁ䑁䅯䅊兂䍁䅑䅏㉁䑁䅕䅁䥁允䅁杨䅁䙁䅳兔䩂䙁䄸兓佂䙁䅍睘呂䙁䅑兑啂䙁䄸䅔灂䝁䅙党時䕁䅙兡畂䝁䅅杢橂䝁䅫兙獂䡁䅍睘㉂䑁䅅杌㑂䝁䅷督瑂䙁䄰䅕求䝁䅕杣時䕁䅅杢桂䝁䅷入穂䝁䅫督桁䍁䅑睒歁䑁䅅免㍁䑁䅫杏歁䙁䅅䅊硁䑁䅅睎㕁䅁䅁睚䅅䥁䅙䅁扂䕁䄰兓時䕁䅫杔呂䙁䄸睕啂䕁䅅䅖時䕁䅷兡浂䝁䅕睘䝂䝁䅫杢桂䝁䄴睙灂䝁䅅䅢穂䙁䄸杤硁䍁䄴䅥獂䡁䅍兢摂䙁䅁党求䡁䅉睘䉂䝁䄴兙獂䡁䅫督灂䡁䅍光歁䕁䅣䅊硁䑁䅅䅏睁䑁䅯䅊剂䍁䅑免硁䑁䅧䅍䅁䝁䉧䅁獂䅁䅁睗乂䕁䅫睘䩂䕁䄴睕時䙁䅍䅖䉂䙁䅑睘䵂䝁䅫杚求䙁䄸杒灂䝁䄴兙畂䝁䅍兡桂䝁䅷督時䡁䅙免畁䡁䅧䅢穂䝁䄰兘卂䝁䅕兡畂䡁䅍兤祂䝁䅅杢橂䝁䅕光歁䕁䅉䅊㉁䅁䅁李䅁䡁䅯䅁扂䕁䄰兓時䕁䅫杔呂䙁䄸睕啂䕁䅅䅖時䕁䅷兡浂䝁䅕睘䝂䝁䅫杢桂䝁䄴睙灂䝁䅅䅢穂䙁䄸杤硁䍁䄴䅥獂䡁䅍兢摂䙁䅉党灂䝁䄴督ㅂ䡁䅉兙畂䝁䅍党桁䍁䅑睑歁䑁䅅䅍㙁䍁䅑睑歁䑁䅙李䅁䑁䅧䅁㉂䅁䅁睗乂䕁䅫睘䩂䕁䄴睕時䙁䅍䅖䉂䙁䅑睘䵂䝁䅫杚求䙁䄸杒灂䝁䄴兙畂䝁䅍兡桂䝁䅷督時䡁䅙免畁䡁䅧䅢穂䝁䄰兘卂䝁䅕兡畂䡁䅍兤祂䝁䅅杢橂䝁䅕光歁䕁䅑䅊㉁䑁䅯䅊䥂䍁䅑李䅁䑁䅣䅁㉂䅁䅁睗乂䕁䅫睘䩂䕁䄴睕時䙁䅍䅖䉂䙁䅑睘䵂䝁䅫杚求䙁䄸杒灂䝁䄴兙畂䝁䅍兡桂䝁䅷督時䡁䅙免畁䡁䅧䅢穂䝁䄰兘卂䝁䅕兡畂䡁䅍兤祂䝁䅅杢橂䝁䅕光歁䕁䅑䅊㍁䑁䅯䅊䥂䍁䅑睎䅁䑁䅫䅁㙂䅁䅁睗乂䕁䅫睘䩂䕁䄴睕時䙁䅍䅖䉂䙁䅑睘䵂䝁䅫杚求䙁䄸杒灂䝁䄴兙畂䝁䅍兡桂䝁䅷督時䡁䅙免畁䡁䅧䅢穂䝁䄰兘卂䝁䅕督求䡁䅉杤求䙁䄸兑畂䝁䅅䅢㕂䡁䅍兡穂䍁䅅䅊䍂䍁䅑免睁䑁䅑䅁䥄䅁䅁来䅁䙁䅳兔䩂䙁䄸兓佂䙁䅍睘呂䙁䅑兑啂䙁䄸䅔灂䝁䅙党時䕁䅙兡畂䝁䅅杢橂䝁䅫兙獂䡁䅍睘㉂䑁䅅杌㑂䝁䅷督瑂䙁䄰杕求䡁䅍党祂䡁䅙党時䕁䅅杢桂䝁䅷入穂䝁䅫督桁䍁䅑村歁䑁䅅䅎㍁䅁䅁兘䅅䡁䅯䅁扂䕁䄰兓時䕁䅫杔呂䙁䄸睕啂䕁䅅䅖時䕁䅷兡浂䝁䅕睘䝂䝁䅫杢桂䝁䄴睙灂䝁䅅䅢穂䙁䄸杤硁䍁䄴䅥獂䡁䅍兢摂䙁䅉党穂䝁䅕杣㉂䝁䅕睘䉂䝁䄴兙獂䡁䅫督灂䡁䅍光歁䕁䅉䅊硁䑁䅕兏䅁䭁䉙䅁㑂䅁䅁睗乂䕁䅫睘䩂䕁䄴睕時䙁䅍䅖䉂䙁䅑睘䵂䝁䅫杚求䙁䄸杒灂䝁䄴兙畂䝁䅍兡桂䝁䅷督時䡁䅙免畁䡁䅧䅢穂䝁䄰兘卂䝁䅕督求䡁䅉杤求䙁䄸兑畂䝁䅅䅢㕂䡁䅍兡穂䍁䅅䅊䍂䍁䅑睍睁䅁䅁杶䅁䡁䅧䅁扂䕁䄰兓時䕁䅫杔呂䙁䄸睕啂䕁䅅䅖時䕁䅷兡浂䝁䅕睘䝂䝁䅫杢桂䝁䄴睙灂䝁䅅䅢穂䙁䄸杤硁䍁䄴䅥獂䡁䅍兢摂䙁䅉党穂䝁䅕杣㉂䝁䅕睘䉂䝁䄴兙獂䡁䅫督灂䡁䅍光歁䕁䅉䅊ㅁ䑁䅙䅁乄䅁䅁杤䅁䙁䅳兔䩂䙁䄸兓佂䙁䅍睘呂䙁䅑兑啂䙁䄸䅔灂䝁䅙党時䕁䅙兡畂䝁䅅杢橂䝁䅫兙獂䡁䅍睘㉂䑁䅅杌㑂䝁䅷督瑂䙁䄰杕求䡁䅍党祂䡁䅙党時䕁䅅杢桂䝁䅷入穂䝁䅫督桁䍁䅑村歁䑁䅙䅁瑁䅁䅁䅥䅁䙁䅳兔䩂䙁䄸兓佂䙁䅍睘呂䙁䅑兑啂䙁䄸䅔灂䝁䅙党時䕁䅙兡畂䝁䅅杢橂䝁䅫兙獂䡁䅍睘㉂䑁䅅杌㑂䝁䅷督瑂䙁䄰杕求䡁䅍党祂䡁䅙党時䕁䅅杢桂䝁䅷入穂䝁䅫督桁䍁䅑村歁䑁䅣免䅁䵁䅍䅁䥃䅁䅁睗乂䕁䅫睘䩂䕁䄴睕時䙁䅍䅖䉂䙁䅑睘䵂䝁䅫杚求䙁䄸杒灂䝁䄴兙畂䝁䅍兡桂䝁䅷督時䡁䅙免畁䡁䅧䅢穂䝁䄰兘卂䝁䅕督求䡁䅉杤求䙁䄸兑畂䝁䅅䅢㕂䡁䅍兡穂䍁䅅䅊䑂䍁䅑免睁䑁䅙杏歁䕁䅍䅊硁䑁䅅䅍䅁䵁䅯䅁䝃䅁䅁睗乂䕁䅫睘䩂䕁䄴睕時䙁䅍䅖䉂䙁䅑睘䵂䝁䅫杚求䙁䄸杒灂䝁䄴兙畂䝁䅍兡桂䝁䅷督時䡁䅙免畁䡁䅧䅢穂䝁䄰兘卂䝁䅕督求䡁䅉杤求䙁䄸兑畂䝁䅅䅢㕂䡁䅍兡穂䍁䅅䅊䑂䍁䅑免睁䑁䅯䅊䑂䍁䅑免ㅁ䑁䅙䅁汃允䅁杨䅁䙁䅳兔䩂䙁䄸兓佂䙁䅍睘呂䙁䅑兑啂䙁䄸䅔灂䝁䅙党時䕁䅙兡畂䝁䅅杢橂䝁䅫兙獂䡁䅍睘㉂䑁䅅杌㑂䝁䅷督瑂䙁䄰杕求䡁䅍党祂䡁䅙党時䕁䅅杢桂䝁䅷入穂䝁䅫督桁䍁䅑睑歁䑁䅅䅍㙁䍁䅑睑歁䑁䅅兎㕁䅁䅁兮䅅䥁䅙䅁扂䕁䄰兓時䕁䅫杔呂䙁䄸睕啂䕁䅅䅖時䕁䅷兡浂䝁䅕睘䝂䝁䅫杢桂䝁䄴睙灂䝁䅅䅢穂䙁䄸杤硁䍁䄴䅥獂䡁䅍兢摂䙁䅉党穂䝁䅕杣㉂䝁䅕睘䉂䝁䄴兙獂䡁䅫督灂䡁䅍光歁䕁䅍䅊硁䑁䅁杏歁䕁䅍䅊硁䑁䅙䅍䅁䩁䉳䅁䝃䅁䅁睗乂䕁䅫睘䩂䕁䄴睕時䙁䅍䅖䉂䙁䅑睘䵂䝁䅫杚求䙁䄸杒灂䝁䄴兙畂䝁䅍兡桂䝁䅷督時䡁䅙免畁䡁䅧䅢穂䝁䄰兘卂䝁䅕督求䡁䅉杤求䙁䄸兑畂䝁䅅䅢㕂䡁䅍兡穂䍁䅅䅊䑂䍁䅑免睁䑁䅯䅊䑂䍁䅑免㉁䑁䅅䅁坃允䅁杨䅁䙁䅳兔䩂䙁䄸兓佂䙁䅍睘呂䙁䅑兑啂䙁䄸䅔灂䝁䅙党時䕁䅙兡畂䝁䅅杢橂䝁䅫兙獂䡁䅍睘㉂䑁䅅杌㑂䝁䅷督瑂䙁䄰杕求䡁䅍党祂䡁䅙党時䕁䅅杢桂䝁䅷入穂䝁䅫督桁䍁䅑睑歁䑁䅅䅍㙁䍁䅑睑歁䑁䅅李祁䅁䅁六䅅䥁䅙䅁扂䕁䄰兓時䕁䅫杔呂䙁䄸睕啂䕁䅅䅖時䕁䅷兡浂䝁䅕睘䝂䝁䅫杢桂䝁䄴睙灂䝁䅅䅢穂䙁䄸杤硁䍁䄴䅥獂䡁䅍兢摂䙁䅉党穂䝁䅕杣㉂䝁䅕睘䉂䝁䄴兙獂䡁䅫督灂䡁䅍光歁䕁䅍䅊硁䑁䅁杏歁䕁䅍䅊硁䑁䅣兏䅁䍁䄸䅁䝃䅁䅁睗乂䕁䅫睘䩂䕁䄴睕時䙁䅍䅖䉂䙁䅑睘䵂䝁䅫杚求䙁䄸杒灂䝁䄴兙畂䝁䅍兡桂䝁䅷督時䡁䅙免畁䡁䅧䅢穂䝁䄰兘卂䝁䅕督求䡁䅉杤求䙁䄸兑畂䝁䅅䅢㕂䡁䅍兡穂䍁䅅䅊䑂䍁䅑免睁䑁䅯䅊䑂䍁䅑免㑁䑁䅕䅁㡃䅁䅁杨䅁䙁䅳兔䩂䙁䄸兓佂䙁䅍睘呂䙁䅑兑啂䙁䄸䅔灂䝁䅙党時䕁䅙兡畂䝁䅅杢橂䝁䅫兙獂䡁䅍睘㉂䑁䅅杌㑂䝁䅷督瑂䙁䄰杕求䡁䅍党祂䡁䅙党時䕁䅅杢桂䝁䅷入穂䝁䅫督桁䍁䅑睑歁䑁䅅䅍㙁䍁䅑睑歁䑁䅅䅏㑁䅁䅁八䅅䡁䅯䅁扂䕁䄰兓時䕁䅫杔呂䙁䄸睕啂䕁䅅䅖時䕁䅷兡浂䝁䅕睘䝂䝁䅫杢桂䝁䄴睙灂䝁䅅䅢穂䙁䄸杤硁䍁䄴䅥獂䡁䅍兢摂䙁䅉党穂䝁䅕杣㉂䝁䅕睘䉂䝁䄴兙獂䡁䅫督灂䡁䅍光歁䕁䅍䅊硁䑁䅑兏䅁䙁䈸䅁㙂䅁䅁睗乂䕁䅫睘䩂䕁䄴睕時䙁䅍䅖䉂䙁䅑睘䵂䝁䅫杚求䙁䄸杒灂䝁䄴兙畂䝁䅍兡桂䝁䅷督時䡁䅙免畁䡁䅧䅢穂䝁䄰兘卂䝁䅕督求䡁䅉杤求䙁䄸兑畂䝁䅅䅢㕂䡁䅍兡穂䍁䅅䅊䑂䍁䅑免ㅁ䑁䅁䅁㑂允䅁来䅁䙁䅳兔䩂䙁䄸兓佂䙁䅍睘呂䙁䅑兑啂䙁䄸䅔灂䝁䅙党時䕁䅙兡畂䝁䅅杢橂䝁䅫兙獂䡁䅍睘㉂䑁䅅杌㑂䝁䅷督瑂䙁䄰杕求䡁䅍党祂䡁䅙党時䕁䅅杢桂䝁䅷入穂䝁䅫督桁䍁䅑睑歁䑁䅅兎硁䅁䅁䅭䅅䡁䅯䅁扂䕁䄰兓時䕁䅫杔呂䙁䄸睕啂䕁䅅䅖時䕁䅷兡浂䝁䅕睘䝂䝁䅫杢桂䝁䄴睙灂䝁䅅䅢穂䙁䄸杤硁䍁䄴䅥獂䡁䅍兢摂䙁䅉党穂䝁䅕杣㉂䝁䅕睘䉂䝁䄴兙獂䡁䅫督灂䡁䅍光歁䕁䅍䅊硁䑁䅙杍䅁䭁䉧䅁䕃䅁䅁睗乂䕁䅫睘䩂䕁䄴睕時䙁䅍䅖䉂䙁䅑睘䵂䝁䅫杚求䙁䄸杒灂䝁䄴兙畂䝁䅍兡桂䝁䅷督時䡁䅙免畁䡁䅧䅢穂䝁䄰兘卂䝁䅕督求䡁䅉杤求䙁䄸兑畂䝁䅅䅢㕂䡁䅍兡穂䍁䅅䅊䑂䍁䅑睍祁䑁䅯䅊䑂䍁䅑睍㉁䅁䅁䅷䅁䥁䅑䅁扂䕁䄰兓時䕁䅫杔呂䙁䄸睕啂䕁䅅䅖時䕁䅷兡浂䝁䅕睘䝂䝁䅫杢桂䝁䄴睙灂䝁䅅䅢穂䙁䄸杤硁䍁䄴䅥獂䡁䅍兢摂䙁䅉党穂䝁䅕杣㉂䝁䅕睘䉂䝁䄴兙獂䡁䅫督灂䡁䅍光歁䕁䅍䅊ㅁ䑁䅧杏歁䕁䅍䅊㉁䑁䅉䅁偄䅁䅁杨䅁䙁䅳兔䩂䙁䄸兓佂䙁䅍睘呂䙁䅑兑啂䙁䄸䅔灂䝁䅙党時䕁䅙兡畂䝁䅅杢橂䝁䅫兙獂䡁䅍睘㉂䑁䅅杌㑂䝁䅷督瑂䙁䄰杕求䡁䅍党祂䡁䅙党時䕁䅅杢桂䝁䅷入穂䝁䅫督桁䍁䅑睑歁䑁䅣睍㙁䍁䅑睑歁䑁䅅䅍硁䅁䅁典䅁䡁䅯䅁扂䕁䄰兓時䕁䅫杔呂䙁䄸睕啂䕁䅅䅖時䕁䅷兡浂䝁䅕睘䝂䝁䅫杢桂䝁䄴睙灂䝁䅅䅢穂䙁䄸杤硁䍁䄴䅥獂䡁䅍兢摂䙁䅉党穂䝁䅕杣㉂䝁䅕睘䉂䝁䄴兙獂䡁䅫督灂䡁䅍光歁䕁䅑䅊硁䑁䅑兏䅁䝁䉅䅁䥃䅁䅁睗乂䕁䅫睘䩂䕁䄴睕時䙁䅍䅖䉂䙁䅑睘䵂䝁䅫杚求䙁䄸杒灂䝁䄴兙畂䝁䅍兡桂䝁䅷督時䡁䅙免畁䡁䅧䅢穂䝁䄰兘卂䝁䅕督求䡁䅉杤求䙁䄸兑畂䝁䅅䅢㕂䡁䅍兡穂䍁䅅䅊䙂䍁䅑免睁䑁䅙杏歁䕁䅕䅊硁䑁䅅䅍䅁䵁䅷䅁䝃䅁䅁睗乂䕁䅫睘䩂䕁䄴睕時䙁䅍䅖䉂䙁䅑睘䵂䝁䅫杚求䙁䄸杒灂䝁䄴兙畂䝁䅍兡桂䝁䅷督時䡁䅙免畁䡁䅧䅢穂䝁䄰兘卂䝁䅕督求䡁䅉杤求䙁䄸兑畂䝁䅅䅢㕂䡁䅍兡穂䍁䅅䅊䙂䍁䅑免睁䑁䅯䅊䙂䍁䅑免ㅁ䑁䅫䅁敃允䅁杨䅁䙁䅳兔䩂䙁䄸兓佂䙁䅍睘呂䙁䅑兑啂䙁䄸䅔灂䝁䅙党時䕁䅙兡畂䝁䅅杢橂䝁䅫兙獂䡁䅍睘㉂䑁䅅杌㑂䝁䅷督瑂䙁䄰杕求䡁䅍党祂䡁䅙党時䕁䅅杢桂䝁䅷入穂䝁䅫督桁䍁䅑兒歁䑁䅅䅍㙁䍁䅑兒歁䑁䅅李睁䅁䅁䅮䅅䥁䅙䅁扂䕁䄰兓時䕁䅫杔呂䙁䄸睕啂䕁䅅䅖時䕁䅷兡浂䝁䅕睘䝂䝁䅫杢桂䝁䄴睙灂䝁䅅䅢穂䙁䄸杤硁䍁䄴䅥獂䡁䅍兢摂䙁䅉党穂䝁䅕杣㉂䝁䅕睘䉂䝁䄴兙獂䡁䅫督灂䡁䅍光歁䕁䅕䅊硁䑁䅁杏歁䕁䅕䅊硁䑁䅙免䅁䩁䉣䅁䝃䅁䅁睗乂䕁䅫睘䩂䕁䄴睕時䙁䅍䅖䉂䙁䅑睘䵂䝁䅫杚求䙁䄸杒灂䝁䄴兙畂䝁䅍兡桂䝁䅷督時䡁䅙免畁䡁䅧䅢穂䝁䄰兘卂䝁䅕督求䡁䅉杤求䙁䄸兑畂䝁䅅䅢㕂䡁䅍兡穂䍁䅅䅊䙂䍁䅑免睁䑁䅯䅊䙂䍁䅑免㉁䑁䅉䅁慃允䅁杨䅁䙁䅳兔䩂䙁䄸兓佂䙁䅍睘呂䙁䅑兑啂䙁䄸䅔灂䝁䅙党時䕁䅙兡畂䝁䅅杢橂䝁䅫兙獂䡁䅍睘㉂䑁䅅杌㑂䝁䅷督瑂䙁䄰杕求䡁䅍党祂䡁䅙党時䕁䅅杢桂䝁䅷入穂䝁䅫督桁䍁䅑兒歁䑁䅅䅍㙁䍁䅑兒歁䑁䅅䅏穁䅁䅁免䅁䥁䅙䅁扂䕁䄰兓時䕁䅫杔呂䙁䄸睕啂䕁䅅䅖時䕁䅷兡浂䝁䅕睘䝂䝁䅫杢桂䝁䄴睙灂䝁䅅䅢穂䙁䄸杤硁䍁䄴䅥獂䡁䅍兢摂䙁䅉党穂䝁䅕杣㉂䝁䅕睘䉂䝁䄴兙獂䡁䅫督灂䡁䅍光歁䕁䅕䅊硁䑁䅁杏歁䕁䅕䅊硁䑁䅧兏䅁䱁䄰䅁䝃䅁䅁睗乂䕁䅫睘䩂䕁䄴睕時䙁䅍䅖䉂䙁䅑睘䵂䝁䅫杚求䙁䄸杒灂䝁䄴兙畂䝁䅍兡桂䝁䅷督時䡁䅙免畁䡁䅧䅢穂䝁䄰兘卂䝁䅕督求䡁䅉杤求䙁䄸兑畂䝁䅅䅢㕂䡁䅍兡穂䍁䅅䅊䙂䍁䅑免睁䑁䅯䅊䙂䍁䅑免㕁䑁䅉䅁千允䅁来䅁䙁䅳兔䩂䙁䄸兓佂䙁䅍睘呂䙁䅑兑啂䙁䄸䅔灂䝁䅙党時䕁䅙兡畂䝁䅅杢橂䝁䅫兙獂䡁䅍睘㉂䑁䅅杌㑂䝁䅷督瑂䙁䄰杕求䡁䅍党祂䡁䅙党時䕁䅅杢桂䝁䅷入穂䝁䅫督桁䍁䅑兒歁䑁䅅䅎㕁䅁䅁䅢䅅䥁䅑䅁扂䕁䄰兓時䕁䅫杔呂䙁䄸睕啂䕁䅅䅖時䕁䅷兡浂䝁䅕睘䝂䝁䅫杢桂䝁䄴睙灂䝁䅅䅢穂䙁䄸杤硁䍁䄴䅥獂䡁䅍兢摂䙁䅉党穂䝁䅕杣㉂䝁䅕睘䉂䝁䄴兙獂䡁䅫督灂䡁䅍光歁䕁䅕䅊穁䑁䅉杏歁䕁䅕䅊穁䑁䅙䅁䍄䅁䅁䅨䅁䙁䅳兔䩂䙁䄸兓佂䙁䅍睘呂䙁䅑兑啂䙁䄸䅔灂䝁䅙党時䕁䅙兡畂䝁䅅杢橂䝁䅫兙獂䡁䅍睘㉂䑁䅅杌㑂䝁䅷督瑂䙁䄰杕求䡁䅍党祂䡁䅙党時䕁䅅杢桂䝁䅷入穂䝁䅫督桁䍁䅑兒歁䑁䅕䅏㙁䍁䅑兒歁䑁䅙杍䅁乁䅅䅁䝃䅁䅁睗乂䕁䅫睘䩂䕁䄴睕時䙁䅍䅖䉂䙁䅑睘䵂䝁䅫杚求䙁䄸杒灂䝁䄴兙畂䝁䅍兡桂䝁䅷督時䡁䅙免畁䡁䅧䅢穂䝁䄰兘卂䝁䅕督求䡁䅉杤求䙁䄸兑畂䝁䅅䅢㕂䡁䅍兡穂䍁䅅䅊䙂䍁䅑睎穁䑁䅯䅊䙂䍁䅑免睁䑁䅅䅁䡄䅁䅁䅩䅁䙁䅳兔䩂䙁䄸兓佂䙁䅍睘呂䙁䅑兑啂䙁䄸䅔灂䝁䅙党時䕁䅙兡畂䝁䅅杢橂䝁䅫兙獂䡁䅍睘㉂䑁䅅杌㑂䝁䅷督瑂䙁䄰杕求䡁䅍党祂䡁䅙党時䕁䅅杢桂䝁䅷入穂䝁䅫督桁䍁䅑杒歁䑁䅅䅍ぁ䑁䅯䅊䭂䍁䅑免睁䑁䅑䅁䩄䅁䅁䅩䅁䙁䅳兔䩂䙁䄸兓佂䙁䅍睘呂䙁䅑兑啂䙁䄸䅔灂䝁䅙党時䕁䅙兡畂䝁䅅杢橂䝁䅫兙獂䡁䅍睘㉂䑁䅅杌㑂䝁䅷督瑂䙁䄰杕求䡁䅍党祂䡁䅙党時䕁䅅杢桂䝁䅷入穂䝁䅫督桁䍁䅑杒歁䑁䅅䅍ㅁ䑁䅯䅊䭂䍁䅑免睁䑁䅕䅁䱄䅁䅁䅩䅁䙁䅳兔䩂䙁䄸兓佂䙁䅍睘呂䙁䅑兑啂䙁䄸䅔灂䝁䅙党時䕁䅙兡畂䝁䅅杢橂䝁䅫兙獂䡁䅍睘㉂䑁䅅杌㑂䝁䅷督瑂䙁䄰杕求䡁䅍党祂䡁䅙党時䕁䅅杢桂䝁䅷入穂䝁䅫督桁䍁䅑杒歁䑁䅅䅎㍁䑁䅯䅊䭂䍁䅑免ぁ䑁䅣䅁敂允䅁䅩䅁䙁䅳兔䩂䙁䄸兓佂䙁䅍睘呂䙁䅑兑啂䙁䄸䅔灂䝁䅙党時䕁䅙兡畂䝁䅅杢橂䝁䅫兙獂䡁䅍睘㉂䑁䅅杌㑂䝁䅷督瑂䙁䄰杕求䡁䅍党祂䡁䅙党時䕁䅅杢桂䝁䅷入穂䝁䅫督桁䍁䅑杒歁䑁䅅䅎㑁䑁䅯䅊䭂䍁䅑免ぁ䑁䅧䅁杂允䅁䅩䅁䙁䅳兔䩂䙁䄸兓佂䙁䅍睘呂䙁䅑兑啂䙁䄸䅔灂䝁䅙党時䕁䅙兡畂䝁䅅杢橂䝁䅫兙獂䡁䅍睘㉂䑁䅅杌㑂䝁䅷督瑂䙁䄰杕求䡁䅍党祂䡁䅙党時䕁䅅杢桂䝁䅷入穂䝁䅫督桁䍁䅑杒歁䑁䅅䅎㕁䑁䅯䅊䭂䍁䅑免ぁ䑁䅫䅁呃允䅁䅩䅁䙁䅳兔䩂䙁䄸兓佂䙁䅍睘呂䙁䅑兑啂䙁䄸䅔灂䝁䅙党時䕁䅙兡畂䝁䅅杢橂䝁䅫兙獂䡁䅍睘㉂䑁䅅杌㑂䝁䅷督瑂䙁䄰杕求䡁䅍党祂䡁䅙党時䕁䅅杢桂䝁䅷入穂䝁䅫督桁䍁䅑杒歁䑁䅅兎㕁䑁䅯䅊䭂䍁䅑免ㅁ䑁䅫䅁湃允䅁䅩䅁䙁䅳兔䩂䙁䄸兓佂䙁䅍睘呂䙁䅑兑啂䙁䄸䅔灂䝁䅙党時䕁䅙兡畂䝁䅅杢橂䝁䅫兙獂䡁䅍睘㉂䑁䅅杌㑂䝁䅷督瑂䙁䄰杕求䡁䅍党祂䡁䅙党時䕁䅅杢桂䝁䅷入穂䝁䅫督桁䍁䅑杒歁䑁䅅李睁䑁䅯䅊䭂䍁䅑免㉁䑁䅁䅁灃允䅁䅩䅁䙁䅳兔䩂䙁䄸兓佂䙁䅍睘呂䙁䅑兑啂䙁䄸䅔灂䝁䅙党時䕁䅙兡畂䝁䅅杢橂䝁䅫兙獂䡁䅍睘㉂䑁䅅杌㑂䝁䅷督瑂䙁䄰杕求䡁䅍党祂䡁䅙党時䕁䅅杢桂䝁䅷入穂䝁䅫督桁䍁䅑杒歁䑁䅅李硁䑁䅯䅊䭂䍁䅑免㉁䑁䅅䅁煃允䅁䅨䅁䙁䅳兔䩂䙁䄸兓佂䙁䅍睘呂䙁䅑兑啂䙁䄸䅔灂䝁䅙党時䕁䅙兡畂䝁䅅杢橂䝁䅫兙獂䡁䅍睘㉂䑁䅅杌㑂䝁䅷督瑂䙁䄰杕求䡁䅍党祂䡁䅙党時䕁䅅杢桂䝁䅷入穂䝁䅫督桁䍁䅑杒歁䑁䅍䅍㙁䍁䅑杓歁䑁䅍䅍䅁䱁䄸䅁䕃䅁䅁睗乂䕁䅫睘䩂䕁䄴睕時䙁䅍䅖䉂䙁䅑睘䵂䝁䅫杚求䙁䄸杒灂䝁䄴兙畂䝁䅍兡桂䝁䅷督時䡁䅙免畁䡁䅧䅢穂䝁䄰兘卂䝁䅕督求䡁䅉杤求䙁䄸兑畂䝁䅅䅢㕂䡁䅍兡穂䍁䅅䅊䝂䍁䅑睍硁䑁䅯䅊䭂䍁䅑睍硁䅁䅁具䅁䥁䅑䅁扂䕁䄰兓時䕁䅫杔呂䙁䄸睕啂䕁䅅䅖時䕁䅷兡浂䝁䅕睘䝂䝁䅫杢桂䝁䄴睙灂䝁䅅䅢穂䙁䄸杤硁䍁䄴䅥獂䡁䅍兢摂䙁䅉党穂䝁䅕杣㉂䝁䅕睘䉂䝁䄴兙獂䡁䅫督灂䡁䅍光歁䕁䅙䅊ㅁ䑁䅙杏歁䕁䅯䅊ㅁ䑁䅙䅁佄䅁䅁䅨䅁䙁䅳兔䩂䙁䄸兓佂䙁䅍睘呂䙁䅑兑啂䙁䄸䅔灂䝁䅙党時䕁䅙兡畂䝁䅅杢橂䝁䅫兙獂䡁䅍睘㉂䑁䅅杌㑂䝁䅷督瑂䙁䄰杕求䡁䅍党祂䡁䅙党時䕁䅅杢桂䝁䅷入穂䝁䅫督桁䍁䅑杒歁䑁䅕睎㙁䍁䅑杓歁䑁䅕睎䅁乁䅁䅁䅃䅁䅁睗乂䕁䅫睘䩂䕁䄴睕時䙁䅍䅖䉂䙁䅑睘䵂䝁䅫杚求䙁䄸杒灂䝁䄴兙畂䝁䅍兡桂䝁䅷督時䡁䅙免畁䡁䅧䅢穂䝁䄰兘卂䝁䅕督求䡁䅉杤求䙁䄸兑畂䝁䅅䅢㕂䡁䅍兡穂䍁䅅䅊䝂䍁䅑李㙁䍁䅑杓歁䑁䅙䅁畁䅁䅁䅨䅁䙁䅳兔䩂䙁䄸兓佂䙁䅍睘呂䙁䅑兑啂䙁䄸䅔灂䝁䅙党時䕁䅙兡畂䝁䅅杢橂䝁䅫兙獂䡁䅍睘㉂䑁䅅杌㑂䝁䅷督瑂䙁䄰杕求䡁䅍党祂䡁䅙党時䕁䅅杢桂䝁䅷入穂䝁䅫督桁䍁䅑杒歁䑁䅣免㙁䍁䅑杓歁䑁䅣免䅁䵁䅑䅁䕃䅁䅁睗乂䕁䅫睘䩂䕁䄴睕時䙁䅍䅖䉂䙁䅑睘䵂䝁䅫杚求䙁䄸杒灂䝁䄴兙畂䝁䅍兡桂䝁䅷督時䡁䅙免畁䡁䅧䅢穂䝁䄰兘卂䝁䅕督求䡁䅉杤求䙁䄸兑畂䝁䅅䅢㕂䡁䅍兡穂䍁䅅䅊䝂䍁䅑睎祁䑁䅯䅊䭂䍁䅑睎祁䅁䅁杸䅁䥁䅁䅁扂䕁䄰兓時䕁䅫杔呂䙁䄸睕啂䕁䅅䅖時䕁䅷兡浂䝁䅕睘䝂䝁䅫杢桂䝁䄴睙灂䝁䅅䅢穂䙁䄸杤硁䍁䄴䅥獂䡁䅍兢摂䙁䅉党穂䝁䅕杣㉂䝁䅕睘䉂䝁䄴兙獂䡁䅫督灂䡁䅍光歁䕁䅙䅊㍁䑁䅯䅊䭂䍁䅑睎䅁䑁䅁䅁䥃䅁䅁睗乂䕁䅫睘䩂䕁䄴睕時䙁䅍䅖䉂䙁䅑睘䵂䝁䅫杚求䙁䄸杒灂䝁䄴兙畂䝁䅍兡桂䝁䅷督時䡁䅙免畁䡁䅧䅢穂䝁䄰兘卂䝁䅕督求䡁䅉杤求䙁䄸兑畂䝁䅅䅢㕂䡁䅍兡穂䍁䅅䅊䡂䍁䅑免ぁ䑁䅣杏歁䕁䅳䅊硁䑁䅑睎䅁䝁䉯䅁䥃䅁䅁睗乂䕁䅫睘䩂䕁䄴睕時䙁䅍䅖䉂䙁䅑睘䵂䝁䅫杚求䙁䄸杒灂䝁䄴兙畂䝁䅍兡桂䝁䅷督時䡁䅙免畁䡁䅧䅢穂䝁䄰兘卂䝁䅕督求䡁䅉杤求䙁䄸兑畂䝁䅅䅢㕂䡁䅍兡穂䍁䅅䅊䡂䍁䅑免ぁ䑁䅧杏歁䕁䅳䅊硁䑁䅑䅏䅁䝁䉳䅁䥃䅁䅁睗乂䕁䅫睘䩂䕁䄴睕時䙁䅍䅖䉂䙁䅑睘䵂䝁䅫杚求䙁䄸杒灂䝁䄴兙畂䝁䅍兡桂䝁䅷督時䡁䅙免畁䡁䅧䅢穂䝁䄰兘卂䝁䅕督求䡁䅉杤求䙁䄸兑畂䝁䅅䅢㕂䡁䅍兡穂䍁䅅䅊䡂䍁䅑免ぁ䑁䅫杏歁䕁䅳䅊硁䑁䅑兏䅁䡁䉫䅁䕃䅁䅁睗乂䕁䅫睘䩂䕁䄴睕時䙁䅍䅖䉂䙁䅑睘䵂䝁䅫杚求䙁䄸杒灂䝁䄴兙畂䝁䅍兡桂䝁䅷督時䡁䅙免畁䡁䅧䅢穂䝁䄰兘噂䝁䄴䅚求䡁䅉睤祂䝁䅫䅤灂䝁䄴睚時䕁䅅杢桂䝁䅷入穂䝁䅫督桁䍁䅑村歁䑁䅅杍ぁ䅁䅁兩䅅䥁䅑䅁扂䕁䄰兓時䕁䅫杔呂䙁䄸睕啂䕁䅅䅖時䕁䅷兡浂䝁䅕睘䝂䝁䅫杢桂䝁䄴睙灂䝁䅅䅢穂䙁䄸杤硁䍁䄴䅥獂䡁䅍兢摂䙁䅕杢歂䝁䅕杣㍂䡁䅉兡あ䝁䅫杢湂䙁䄸兑畂䝁䅅䅢㕂䡁䅍兡穂䍁䅅䅊䍂䍁䅑免祁䑁䅕䅁剃䅁䅁䅨䅁䙁䅳兔䩂䙁䄸兓佂䙁䅍睘呂䙁䅑兑啂䙁䄸䅔灂䝁䅙党時䕁䅙兡畂䝁䅅杢橂䝁䅫兙獂䡁䅍睘㉂䑁䅅杌㑂䝁䅷督瑂䙁䄰兖畂䝁䅑党祂䡁䅣杣灂䡁䅑兡畂䝁䅣睘䉂䝁䄴兙獂䡁䅫督灂䡁䅍光歁䕁䅉䅊祁䑁䅕睎䅁䥁䉅䅁䕃䅁䅁睗乂䕁䅫睘䩂䕁䄴睕時䙁䅍䅖䉂䙁䅑睘䵂䝁䅫杚求䙁䄸杒灂䝁䄴兙畂䝁䅍兡桂䝁䅷督時䡁䅙免畁䡁䅧䅢穂䝁䄰兘噂䝁䄴䅚求䡁䅉睤祂䝁䅫䅤灂䝁䄴睚時䕁䅅杢桂䝁䅷入穂䝁䅫督桁䍁䅑村歁䑁䅉兎㑁䅁䅁杬䅁䥁䅑䅁扂䕁䄰兓時䕁䅫杔呂䙁䄸睕啂䕁䅅䅖時䕁䅷兡浂䝁䅕睘䝂䝁䅫杢桂䝁䄴睙灂䝁䅅䅢穂䙁䄸杤硁䍁䄴䅥獂䡁䅍兢摂䙁䅕杢歂䝁䅕杣㍂䡁䅉兡あ䝁䅫杢湂䙁䄸兑畂䝁䅅䅢㕂䡁䅍兡穂䍁䅅䅊䍂䍁䅑睍硁䑁䅧䅁乃允䅁䅨䅁䙁䅳兔䩂䙁䄸兓佂䙁䅍睘呂䙁䅑兑啂䙁䄸䅔灂䝁䅙党時䕁䅙兡畂䝁䅅杢橂䝁䅫兙獂䡁䅍睘㉂䑁䅅杌㑂䝁䅷督瑂䙁䄰兖畂䝁䅑党祂䡁䅣杣灂䡁䅑兡畂䝁䅣睘䉂䝁䄴兙獂䡁䅫督灂䡁䅍光歁䕁䅉䅊穁䑁䅅兏䅁䩁䅳䅁䕃䅁䅁睗乂䕁䅫睘䩂䕁䄴睕時䙁䅍䅖䉂䙁䅑睘䵂䝁䅫杚求䙁䄸杒灂䝁䄴兙畂䝁䅍兡桂䝁䅷督時䡁䅙免畁䡁䅧䅢穂䝁䄰兘噂䝁䄴䅚求䡁䅉睤祂䝁䅫䅤灂䝁䄴睚時䕁䅅杢桂䝁䅷入穂䝁䅫督桁䍁䅑村歁䑁䅍睎㍁䅁䅁兢䅅䥁䅑䅁扂䕁䄰兓時䕁䅫杔呂䙁䄸睕啂䕁䅅䅖時䕁䅷兡浂䝁䅕睘䝂䝁䅫杢桂䝁䄴睙灂䝁䅅䅢穂䙁䄸杤硁䍁䄴䅥獂䡁䅍兢摂䙁䅕杢歂䝁䅕杣㍂䡁䅉兡あ䝁䅫杢湂䙁䄸兑畂䝁䅅䅢㕂䡁䅍兡穂䍁䅅䅊䍂䍁䅑睍㍁䑁䅧䅁楃䅁䅁䅨䅁䙁䅳兔䩂䙁䄸兓佂䙁䅍睘呂䙁䅑兑啂䙁䄸䅔灂䝁䅙党時䕁䅙兡畂䝁䅅杢橂䝁䅫兙獂䡁䅍睘㉂䑁䅅杌㑂䝁䅷督瑂䙁䄰兖畂䝁䅑党祂䡁䅣杣灂䡁䅑兡畂䝁䅣睘䉂䝁䄴兙獂䡁䅫督灂䡁䅍光歁䕁䅉䅊穁䑁䅫䅎䅁䭁䉁䅁䅃䅁䅁睗乂䕁䅫睘䩂䕁䄴睕時䙁䅍䅖䉂䙁䅑睘䵂䝁䅫杚求䙁䄸杒灂䝁䄴兙畂䝁䅍兡桂䝁䅷督時䡁䅙免畁䡁䅧䅢穂䝁䄰兘噂䝁䄴䅚求䡁䅉睤祂䝁䅫䅤灂䝁䄴睚時䕁䅅杢桂䝁䅷入穂䝁䅫督桁䍁䅑村歁䑁䅙䅁杁䅁䅁杧䅁䙁䅳兔䩂䙁䄸兓佂䙁䅍睘呂䙁䅑兑啂䙁䄸䅔灂䝁䅙党時䕁䅙兡畂䝁䅅杢橂䝁䅫兙獂䡁䅍睘㉂䑁䅅杌㑂䝁䅷督瑂䙁䄰兖畂䝁䅑党祂䡁䅣杣灂䡁䅑兡畂䝁䅣睘䉂䝁䄴兙獂䡁䅫督灂䡁䅍光歁䕁䅉䅊㍁䑁䅕䅁䙃允䅁杧䅁䙁䅳兔䩂䙁䄸兓佂䙁䅍睘呂䙁䅑兑啂䙁䄸䅔灂䝁䅙党時䕁䅙兡畂䝁䅅杢橂䝁䅫兙獂䡁䅍睘㉂䑁䅅杌㑂䝁䅷督瑂䙁䄰兖畂䝁䅑党祂䡁䅣杣灂䡁䅑兡畂䝁䅣睘䉂䝁䄴兙獂䡁䅫督灂䡁䅍光歁䕁䅉䅊㍁䑁䅙䅁䵃䅁䅁䅫䅁䙁䅳兔䩂䙁䄸兓佂䙁䅍睘呂䙁䅑兑啂䙁䄸䅔灂䝁䅙党時䕁䅙兡畂䝁䅅杢橂䝁䅫兙獂䡁䅍睘㉂䑁䅅杌㑂䝁䅷督瑂䙁䄰兖畂䝁䅑党祂䡁䅣杣灂䡁䅑兡畂䝁䅣睘䉂䝁䄴兙獂䡁䅫督灂䡁䅍光歁䕁䅍䅊硁䑁䅁杏歁䕁䅍䅊穁䑁䅧䅎䅁䍁䅉䅁元䅁䅁睗乂䕁䅫睘䩂䕁䄴睕時䙁䅍䅖䉂䙁䅑睘䵂䝁䅫杚求䙁䄸杒灂䝁䄴兙畂䝁䅍兡桂䝁䅷督時䡁䅙免畁䡁䅧䅢穂䝁䄰兘噂䝁䄴䅚求䡁䅉睤祂䝁䅫䅤灂䝁䄴睚時䕁䅅杢桂䝁䅷入穂䝁䅫督桁䍁䅑睑歁䑁䅅䅍㙁䍁䅑睑歁䑁䅍兏硁䅁䅁睮䅅䩁䅁䅁扂䕁䄰兓時䕁䅫杔呂䙁䄸睕啂䕁䅅䅖時䕁䅷兡浂䝁䅕睘䝂䝁䅫杢桂䝁䄴睙灂䝁䅅䅢穂䙁䄸杤硁䍁䄴䅥獂䡁䅍兢摂䙁䅕杢歂䝁䅕杣㍂䡁䅉兡あ䝁䅫杢湂䙁䄸兑畂䝁䅅䅢㕂䡁䅍兡穂䍁䅅䅊䑂䍁䅑免睁䑁䅯䅊䑂䍁䅑睍㕁䑁䅉䅁䱃䅁䅁䅫䅁䙁䅳兔䩂䙁䄸兓佂䙁䅍睘呂䙁䅑兑啂䙁䄸䅔灂䝁䅙党時䕁䅙兡畂䝁䅅杢橂䝁䅫兙獂䡁䅍睘㉂䑁䅅杌㑂䝁䅷督瑂䙁䄰兖畂䝁䅑党祂䡁䅣杣灂䡁䅑兡畂䝁䅣睘䉂䝁䄴兙獂䡁䅫督灂䡁䅍光歁䕁䅍䅊硁䑁䅁杏歁䕁䅍䅊穁䑁䅫䅎䅁䥁䉁䅁千䅁䅁睗乂䕁䅫睘䩂䕁䄴睕時䙁䅍䅖䉂䙁䅑睘䵂䝁䅫杚求䙁䄸杒灂䝁䄴兙畂䝁䅍兡桂䝁䅷督時䡁䅙免畁䡁䅧䅢穂䝁䄰兘噂䝁䄴䅚求䡁䅉睤祂䝁䅫䅤灂䝁䄴睚時䕁䅅杢桂䝁䅷入穂䝁䅫督桁䍁䅑睑歁䑁䅅杍㉁䑁䅯䅊䑂䍁䅑杍穁䑁䅉䅁䱃允䅁杫䅁䙁䅳兔䩂䙁䄸兓佂䙁䅍睘呂䙁䅑兑啂䙁䄸䅔灂䝁䅙党時䕁䅙兡畂䝁䅅杢橂䝁䅫兙獂䡁䅍睘㉂䑁䅅杌㑂䝁䅷督瑂䙁䄰兖畂䝁䅑党祂䡁䅣杣灂䡁䅑兡畂䝁䅣睘䉂䝁䄴兙獂䡁䅫督灂䡁䅍光歁䕁䅍䅊硁䑁䅉睎㙁䍁䅑睑歁䑁䅉睍穁䅁䅁睫䅁䩁䅉䅁扂䕁䄰兓時䕁䅫杔呂䙁䄸睕啂䕁䅅䅖時䕁䅷兡浂䝁䅕睘䝂䝁䅫杢桂䝁䄴睙灂䝁䅅䅢穂䙁䄸杤硁䍁䄴䅥獂䡁䅍兢摂䙁䅕杢歂䝁䅕杣㍂䡁䅉兡あ䝁䅫杢湂䙁䄸兑畂䝁䅅䅢㕂䡁䅍兡穂䍁䅅䅊䑂䍁䅑杍ㅁ䑁䅫杏歁䕁䅍䅊祁䑁䅫睍䅁䥁䉍䅁千䅁䅁睗乂䕁䅫睘䩂䕁䄴睕時䙁䅍䅖䉂䙁䅑睘䵂䝁䅫杚求䙁䄸杒灂䝁䄴兙畂䝁䅍兡桂䝁䅷督時䡁䅙免畁䡁䅧䅢穂䝁䄰兘噂䝁䄴䅚求䡁䅉睤祂䝁䅫䅤灂䝁䄴睚時䕁䅅杢桂䝁䅷入穂䝁䅫督桁䍁䅑睑歁䑁䅉李睁䑁䅯䅊䑂䍁䅑杍㕁䑁䅑䅁奃䅁䅁杫䅁䙁䅳兔䩂䙁䄸兓佂䙁䅍睘呂䙁䅑兑啂䙁䄸䅔灂䝁䅙党時䕁䅙兡畂䝁䅅杢橂䝁䅫兙獂䡁䅍睘㉂䑁䅅杌㑂䝁䅷督瑂䙁䄰兖畂䝁䅑党祂䡁䅣杣灂䡁䅑兡畂䝁䅣睘䉂䝁䄴兙獂䡁䅫督灂䡁䅍光歁䕁䅍䅊穁䑁䅉䅍㙁䍁䅑睑歁䑁䅍李㉁䅁䅁睪䅅䩁䅉䅁扂䕁䄰兓時䕁䅫杔呂䙁䄸睕啂䕁䅅䅖時䕁䅷兡浂䝁䅕睘䝂䝁䅫杢桂䝁䄴睙灂䝁䅅䅢穂䙁䄸杤硁䍁䄴䅥獂䡁䅍兢摂䙁䅕杢歂䝁䅕杣㍂䡁䅉兡あ䝁䅫杢湂䙁䄸兑畂䝁䅅䅢㕂䡁䅍兡穂䍁䅅䅊䑂䍁䅑睍祁䑁䅅杏歁䕁䅍䅊穁䑁䅙睎䅁䩁䄰䅁千䅁䅁睗乂䕁䅫睘䩂䕁䄴睕時䙁䅍䅖䉂䙁䅑睘䵂䝁䅫杚求䙁䄸杒灂䝁䄴兙畂䝁䅍兡桂䝁䅷督時䡁䅙免畁䡁䅧䅢穂䝁䄰兘噂䝁䄴䅚求䡁䅉睤祂䝁䅫䅤灂䝁䄴睚時䕁䅅杢桂䝁䅷入穂䝁䅫督桁䍁䅑睑歁䑁䅍杍硁䑁䅯䅊䑂䍁䅑睍㍁䑁䅧䅁权䅁䅁䅨䅁䙁䅳兔䩂䙁䄸兓佂䙁䅍睘呂䙁䅑兑啂䙁䄸䅔灂䝁䅙党時䕁䅙兡畂䝁䅅杢橂䝁䅫兙獂䡁䅍睘㉂䑁䅅杌㑂䝁䅷督瑂䙁䄰兖畂䝁䅑党祂䡁䅣杣灂䡁䅑兡畂䝁䅣睘䉂䝁䄴兙獂䡁䅫督灂䡁䅍光歁䕁䅍䅊穁䑁䅣兏䅁䝁䈸䅁䕃䅁䅁睗乂䕁䅫睘䩂䕁䄴睕時䙁䅍䅖䉂䙁䅑睘䵂䝁䅫杚求䙁䄸杒灂䝁䄴兙畂䝁䅍兡桂䝁䅷督時䡁䅙免畁䡁䅧䅢穂䝁䄰兘噂䝁䄴䅚求䡁䅉睤祂䝁䅫䅤灂䝁䄴睚時䕁䅅杢桂䝁䅷入穂䝁䅫督桁䍁䅑睑歁䑁䅍䅏睁䅁䅁䅰䅁䥁䅑䅁扂䕁䄰兓時䕁䅫杔呂䙁䄸睕啂䕁䅅䅖時䕁䅷兡浂䝁䅕睘䝂䝁䅫杢桂䝁䄴睙灂䝁䅅䅢穂䙁䄸杤硁䍁䄴䅥獂䡁䅍兢摂䙁䅕杢歂䝁䅕杣㍂䡁䅉兡あ䝁䅫杢湂䙁䄸兑畂䝁䅅䅢㕂䡁䅍兡穂䍁䅅䅊䑂䍁䅑睍㑁䑁䅅䅁湃䅁䅁䅨䅁䙁䅳兔䩂䙁䄸兓佂䙁䅍睘呂䙁䅑兑啂䙁䄸䅔灂䝁䅙党時䕁䅙兡畂䝁䅅杢橂䝁䅫兙獂䡁䅍睘㉂䑁䅅杌㑂䝁䅷督瑂䙁䄰兖畂䝁䅑党祂䡁䅣杣灂䡁䅑兡畂䝁䅣睘䉂䝁䄴兙獂䡁䅫督灂䡁䅍光歁䕁䅍䅊穁䑁䅫睎䅁䭁䉉䅁佃䅁䅁睗乂䕁䅫睘䩂䕁䄴睕時䙁䅍䅖䉂䙁䅑睘䵂䝁䅫杚求䙁䄸杒灂䝁䄴兙畂䝁䅍兡桂䝁䅷督時䡁䅙免畁䡁䅧䅢穂䝁䄰兘噂䝁䄴䅚求䡁䅉睤祂䝁䅫䅤灂䝁䄴睚時䕁䅅杢桂䝁䅷入穂䝁䅫督桁䍁䅑睑歁䑁䅣睎㙁䍁䅑睑歁䑁䅫兏䅁䥁䉣䅁元䅁䅁睗乂䕁䅫睘䩂䕁䄴睕時䙁䅍䅖䉂䙁䅑睘䵂䝁䅫杚求䙁䄸杒灂䝁䄴兙畂䝁䅍兡桂䝁䅷督時䡁䅙免畁䡁䅧䅢穂䝁䄰兘噂䝁䄴䅚求䡁䅉睤祂䝁䅫䅤灂䝁䄴睚時䕁䅅杢桂䝁䅷入穂䝁䅫督桁䍁䅑睑歁䑁䅣䅏㙁䍁䅑睑歁䑁䅅䅍睁䅁䅁杪䅁䥁䅑䅁扂䕁䄰兓時䕁䅫杔呂䙁䄸睕啂䕁䅅䅖時䕁䅷兡浂䝁䅕睘䝂䝁䅫杢桂䝁䄴睙灂䝁䅅䅢穂䙁䄸杤硁䍁䄴䅥獂䡁䅍兢摂䙁䅕杢歂䝁䅕杣㍂䡁䅉兡あ䝁䅫杢湂䙁䄸兑畂䝁䅅䅢㕂䡁䅍兡穂䍁䅅䅊䕂䍁䅑睍㍁䑁䅫䅁睂允䅁䅨䅁䙁䅳兔䩂䙁䄸兓佂䙁䅍睘呂䙁䅑兑啂䙁䄸䅔灂䝁䅙党時䕁䅙兡畂䝁䅅杢橂䝁䅫兙獂䡁䅍睘㉂䑁䅅杌㑂䝁䅷督瑂䙁䄰兖畂䝁䅑党祂䡁䅣杣灂䡁䅑兡畂䝁䅣睘䉂䝁䄴兙獂䡁䅫督灂䡁䅍光歁䕁䅑䅊穁䑁䅧䅍䅁䭁䅫䅁䭃䅁䅁睗乂䕁䅫睘䩂䕁䄴睕時䙁䅍䅖䉂䙁䅑睘䵂䝁䅫杚求䙁䄸杒灂䝁䄴兙畂䝁䅍兡桂䝁䅷督時䡁䅙免畁䡁䅧䅢穂䝁䄰兘噂䝁䄴䅚求䡁䅉睤祂䝁䅫䅤灂䝁䄴睚時䕁䅅杢桂䝁䅷入穂䝁䅫督桁䍁䅑䅒歁䑁䅙杏歁䕁䅧䅊㉁䅁䅁光䅁䥁䅯䅁扂䕁䄰兓時䕁䅫杔呂䙁䄸睕啂䕁䅅䅖時䕁䅷兡浂䝁䅕睘䝂䝁䅫杢桂䝁䄴睙灂䝁䅅䅢穂䙁䄸杤硁䍁䄴䅥獂䡁䅍兢摂䙁䅕杢歂䝁䅕杣㍂䡁䅉兡あ䝁䅫杢湂䙁䄸兑畂䝁䅅䅢㕂䡁䅍兡穂䍁䅅䅊䕂䍁䅑睎㙁䍁䅑䅓歁䑁䅣䅁橁䅁䅁䅫䅁䙁䅳兔䩂䙁䄸兓佂䙁䅍睘呂䙁䅑兑啂䙁䄸䅔灂䝁䅙党時䕁䅙兡畂䝁䅅杢橂䝁䅫兙獂䡁䅍睘㉂䑁䅅杌㑂䝁䅷督瑂䙁䄰兖畂䝁䅑党祂䡁䅣杣灂䡁䅑兡畂䝁䅣睘䉂䝁䄴兙獂䡁䅫督灂䡁䅍光歁䕁䅕䅊硁䑁䅁杏歁䕁䅕䅊穁䑁䅧䅎䅁䍁䅑䅁千䅁䅁睗乂䕁䅫睘䩂䕁䄴睕時䙁䅍䅖䉂䙁䅑睘䵂䝁䅫杚求䙁䄸杒灂䝁䄴兙畂䝁䅍兡桂䝁䅷督時䡁䅙免畁䡁䅧䅢穂䝁䄰兘噂䝁䄴䅚求䡁䅉睤祂䝁䅫䅤灂䝁䄴睚時䕁䅅杢桂䝁䅷入穂䝁䅫督桁䍁䅑兒歁䑁䅅杍㉁䑁䅯䅊䙂䍁䅑杍穁䑁䅉䅁䵃允䅁杫䅁䙁䅳兔䩂䙁䄸兓佂䙁䅍睘呂䙁䅑兑啂䙁䄸䅔灂䝁䅙党時䕁䅙兡畂䝁䅅杢橂䝁䅫兙獂䡁䅍睘㉂䑁䅅杌㑂䝁䅷督瑂䙁䄰兖畂䝁䅑党祂䡁䅣杣灂䡁䅑兡畂䝁䅣睘䉂䝁䄴兙獂䡁䅫督灂䡁䅍光歁䕁䅕䅊硁䑁䅉睎㙁䍁䅑兒歁䑁䅉睍穁䅁䅁公䅁䩁䅉䅁扂䕁䄰兓時䕁䅫杔呂䙁䄸睕啂䕁䅅䅖時䕁䅷兡浂䝁䅕睘䝂䝁䅫杢桂䝁䄴睙灂䝁䅅䅢穂䙁䄸杤硁䍁䄴䅥獂䡁䅍兢摂䙁䅕杢歂䝁䅕杣㍂䡁䅉兡あ䝁䅫杢湂䙁䄸兑畂䝁䅅䅢㕂䡁䅍兡穂䍁䅅䅊䙂䍁䅑杍ㅁ䑁䅫杏歁䕁䅕䅊祁䑁䅫睍䅁䥁䉑䅁千䅁䅁睗乂䕁䅫睘䩂䕁䄴睕時䙁䅍䅖䉂䙁䅑睘䵂䝁䅫杚求䙁䄸杒灂䝁䄴兙畂䝁䅍兡桂䝁䅷督時䡁䅙免畁䡁䅧䅢穂䝁䄰兘噂䝁䄴䅚求䡁䅉睤祂䝁䅫䅤灂䝁䄴睚時䕁䅅杢桂䝁䅷入穂䝁䅫督桁䍁䅑兒歁䑁䅉李睁䑁䅯䅊䙂䍁䅑杍㕁䑁䅑䅁慃䅁䅁杫䅁䙁䅳兔䩂䙁䄸兓佂䙁䅍睘呂䙁䅑兑啂䙁䄸䅔灂䝁䅙党時䕁䅙兡畂䝁䅅杢橂䝁䅫兙獂䡁䅍睘㉂䑁䅅杌㑂䝁䅷督瑂䙁䄰兖畂䝁䅑党祂䡁䅣杣灂䡁䅑兡畂䝁䅣睘䉂䝁䄴兙獂䡁䅫督灂䡁䅍光歁䕁䅕䅊穁䑁䅉䅍㙁䍁䅑兒歁䑁䅍李㉁䅁䅁䅫䅅䩁䅉䅁扂䕁䄰兓時䕁䅫杔呂䙁䄸睕啂䕁䅅䅖時䕁䅷兡浂䝁䅕睘䝂䝁䅫杢桂䝁䄴睙灂䝁䅅䅢穂䙁䄸杤硁䍁䄴䅥獂䡁䅍兢摂䙁䅕杢歂䝁䅕杣㍂䡁䅉兡あ䝁䅫杢湂䙁䄸兑畂䝁䅅䅢㕂䡁䅍兡穂䍁䅅䅊䙂䍁䅑睍祁䑁䅅杏歁䕁䅕䅊穁䑁䅙睎䅁䩁䄸䅁千䅁䅁睗乂䕁䅫睘䩂䕁䄴睕時䙁䅍䅖䉂䙁䅑睘䵂䝁䅫杚求䙁䄸杒灂䝁䄴兙畂䝁䅍兡桂䝁䅷督時䡁䅙免畁䡁䅧䅢穂䝁䄰兘噂䝁䄴䅚求䡁䅉睤祂䝁䅫䅤灂䝁䄴睚時䕁䅅杢桂䝁䅷入穂䝁䅫督桁䍁䅑兒歁䑁䅍杍硁䑁䅯䅊䙂䍁䅑睍㍁䑁䅧䅁桃䅁䅁䅨䅁䙁䅳兔䩂䙁䄸兓佂䙁䅍睘呂䙁䅑兑啂䙁䄸䅔灂䝁䅙党時䕁䅙兡畂䝁䅅杢橂䝁䅫兙獂䡁䅍睘㉂䑁䅅杌㑂䝁䅷督瑂䙁䄰兖畂䝁䅑党祂䡁䅣杣灂䡁䅑兡畂䝁䅣睘䉂䝁䄴兙獂䡁䅫督灂䡁䅍光歁䕁䅕䅊穁䑁䅣兏䅁䡁䉍䅁䕃䅁䅁睗乂䕁䅫睘䩂䕁䄴睕時䙁䅍䅖䉂䙁䅑睘䵂䝁䅫杚求䙁䄸杒灂䝁䄴兙畂䝁䅍兡桂䝁䅷督時䡁䅙免畁䡁䅧䅢穂䝁䄰兘噂䝁䄴䅚求䡁䅉睤祂䝁䅫䅤灂䝁䄴睚時䕁䅅杢桂䝁䅷入穂䝁䅫督桁䍁䅑兒歁䑁䅍䅏睁䅁䅁杰䅁䥁䅑䅁扂䕁䄰兓時䕁䅫杔呂䙁䄸睕啂䕁䅅䅖時䕁䅷兡浂䝁䅕睘䝂䝁䅫杢桂䝁䄴睙灂䝁䅅䅢穂䙁䄸杤硁䍁䄴䅥獂䡁䅍兢摂䙁䅕杢歂䝁䅕杣㍂䡁䅉兡あ䝁䅫杢湂䙁䄸兑畂䝁䅅䅢㕂䡁䅍兡穂䍁䅅䅊䙂䍁䅑睍㑁䑁䅅䅁潃䅁䅁杪䅁䙁䅳兔䩂䙁䄸兓佂䙁䅍睘呂䙁䅑兑啂䙁䄸䅔灂䝁䅙党時䕁䅙兡畂䝁䅅杢橂䝁䅫兙獂䡁䅍睘㉂䑁䅅杌㑂䝁䅷督瑂䙁䄰兖畂䝁䅑党祂䡁䅣杣灂䡁䅑兡畂䝁䅣睘䉂䝁䄴兙獂䡁䅫督灂䡁䅍光歁䕁䅕䅊㍁䑁䅣杏歁䕁䅕䅊㕁䑁䅫䅁䥃允䅁䅫䅁䙁䅳兔䩂䙁䄸兓佂䙁䅍睘呂䙁䅑兑啂䙁䄸䅔灂䝁䅙党時䕁䅙兡畂䝁䅅杢橂䝁䅫兙獂䡁䅍睘㉂䑁䅅杌㑂䝁䅷督瑂䙁䄰兖畂䝁䅑党祂䡁䅣杣灂䡁䅑兡畂䝁䅣睘䉂䝁䄴兙獂䡁䅫督灂䡁䅍光歁䕁䅕䅊㍁䑁䅧杏歁䕁䅕䅊硁䑁䅁䅍䅁䩁䅁䅁千䅁䅁睗乂䕁䅫睘䩂䕁䄴睕時䙁䅍䅖䉂䙁䅑睘䵂䝁䅫杚求䙁䄸杒灂䝁䄴兙畂䝁䅍兡桂䝁䅷督時䡁䅙免畁䡁䅧䅢穂䝁䄰兘噂䝁䄴䅚求䡁䅉睤祂䝁䅫䅤灂䝁䄴睚時䕁䅅杢桂䝁䅷入穂䝁䅫督桁䍁䅑杒歁䑁䅅杍ぁ䑁䅯䅊䭂䍁䅑免祁䑁䅑䅁䭃允䅁杫䅁䙁䅳兔䩂䙁䄸兓佂䙁䅍睘呂䙁䅑兑啂䙁䄸䅔灂䝁䅙党時䕁䅙兡畂䝁䅅杢橂䝁䅫兙獂䡁䅍睘㉂䑁䅅杌㑂䝁䅷督瑂䙁䄰兖畂䝁䅑党祂䡁䅣杣灂䡁䅑兡畂䝁䅣睘䉂䝁䄴兙獂䡁䅫督灂䡁䅍光歁䕁䅙䅊硁䑁䅉兎㙁䍁䅑杓歁䑁䅅杍ㅁ䅁䅁杫䅁䩁䅉䅁扂䕁䄰兓時䕁䅫杔呂䙁䄸睕啂䕁䅅䅖時䕁䅷兡浂䝁䅕睘䝂䝁䅫杢桂䝁䄴睙灂䝁䅅䅢穂䙁䄸杤硁䍁䄴䅥獂䡁䅍兢摂䙁䅕杢歂䝁䅕杣㍂䡁䅉兡あ䝁䅫杢湂䙁䄸兑畂䝁䅅䅢㕂䡁䅍兡穂䍁䅅䅊䝂䍁䅑免祁䑁䅙杏歁䕁䅯䅊硁䑁䅉李䅁䩁䅑䅁千䅁䅁睗乂䕁䅫睘䩂䕁䄴睕時䙁䅍䅖䉂䙁䅑睘䵂䝁䅫杚求䙁䄸杒灂䝁䄴兙畂䝁䅍兡桂䝁䅷督時䡁䅙免畁䡁䅧䅢穂䝁䄰兘噂䝁䄴䅚求䡁䅉睤祂䝁䅫䅤灂䝁䄴睚時䕁䅅杢桂䝁䅷入穂䝁䅫督桁䍁䅑杒歁䑁䅉兎㍁䑁䅯䅊䭂䍁䅑杍ㅁ䑁䅣䅁䍃允䅁杫䅁䙁䅳兔䩂䙁䄸兓佂䙁䅍睘呂䙁䅑兑啂䙁䄸䅔灂䝁䅙党時䕁䅙兡畂䝁䅅杢橂䝁䅫兙獂䡁䅍睘㉂䑁䅅杌㑂䝁䅷督瑂䙁䄰兖畂䝁䅑党祂䡁䅣杣灂䡁䅑兡畂䝁䅣睘䉂䝁䄴兙獂䡁䅫督灂䡁䅍光歁䕁䅙䅊祁䑁䅕䅏㙁䍁䅑杓歁䑁䅉兎㑁䅁䅁睬䅁䩁䅉䅁扂䕁䄰兓時䕁䅫杔呂䙁䄸睕啂䕁䅅䅖時䕁䅷兡浂䝁䅕睘䝂䝁䅫杢桂䝁䄴睙灂䝁䅅䅢穂䙁䄸杤硁䍁䄴䅥獂䡁䅍兢摂䙁䅕杢歂䝁䅕杣㍂䡁䅉兡あ䝁䅫杢湂䙁䄸兑畂䝁䅅䅢㕂䡁䅍兡穂䍁䅅䅊䝂䍁䅑杍ㅁ䑁䅫杏歁䕁䅯䅊祁䑁䅕兏䅁䩁䅫䅁千䅁䅁睗乂䕁䅫睘䩂䕁䄴睕時䙁䅍䅖䉂䙁䅑睘䵂䝁䅫杚求䙁䄸杒灂䝁䄴兙畂䝁䅍兡桂䝁䅷督時䡁䅙免畁䡁䅧䅢穂䝁䄰兘噂䝁䄴䅚求䡁䅉睤祂䝁䅫䅤灂䝁䄴睚時䕁䅅杢桂䝁䅷入穂䝁䅫督桁䍁䅑杒歁䑁䅍免㑁䑁䅯䅊䭂䍁䅑睍硁䑁䅧䅁佃允䅁杫䅁䙁䅳兔䩂䙁䄸兓佂䙁䅍睘呂䙁䅑兑啂䙁䄸䅔灂䝁䅙党時䕁䅙兡畂䝁䅅杢橂䝁䅫兙獂䡁䅍睘㉂䑁䅅杌㑂䝁䅷督瑂䙁䄰兖畂䝁䅑党祂䡁䅣杣灂䡁䅑兡畂䝁䅣睘䉂䝁䄴兙獂䡁䅫督灂䡁䅍光歁䕁䅙䅊穁䑁䅅兏㙁䍁䅑杓歁䑁䅍免㕁䅁䅁䅮䅁䩁䅉䅁扂䕁䄰兓時䕁䅫杔呂䙁䄸睕啂䕁䅅䅖時䕁䅷兡浂䝁䅕睘䝂䝁䅫杢桂䝁䄴睙灂䝁䅅䅢穂䙁䄸杤硁䍁䄴䅥獂䡁䅍兢摂䙁䅕杢歂䝁䅕杣㍂䡁䅉兡あ䝁䅫杢湂䙁䄸兑畂䝁䅅䅢㕂䡁䅍兡穂䍁䅅䅊䝂䍁䅑睍祁䑁䅁杏歁䕁䅯䅊穁䑁䅉䅍䅁䩁䄴䅁千䅁䅁睗乂䕁䅫睘䩂䕁䄴睕時䙁䅍䅖䉂䙁䅑睘䵂䝁䅫杚求䙁䄸杒灂䝁䄴兙畂䝁䅍兡桂䝁䅷督時䡁䅙免畁䡁䅧䅢穂䝁䄰兘噂䝁䄴䅚求䡁䅉睤祂䝁䅫䅤灂䝁䄴睚時䕁䅅杢桂䝁䅷入穂䝁䅫督桁䍁䅑杒歁䑁䅍睎㍁䑁䅯䅊䭂䍁䅑睍㍁䑁䅣䅁畂允䅁杫䅁䙁䅳兔䩂䙁䄸兓佂䙁䅍睘呂䙁䅑兑啂䙁䄸䅔灂䝁䅙党時䕁䅙兡畂䝁䅅杢橂䝁䅫兙獂䡁䅍睘㉂䑁䅅杌㑂䝁䅷督瑂䙁䄰兖畂䝁䅑党祂䡁䅣杣灂䡁䅑兡畂䝁䅣睘䉂䝁䄴兙獂䡁䅫督灂䡁䅍光歁䕁䅙䅊穁䑁䅣䅏㙁䍁䅑杓歁䑁䅍睎㑁䅁䅁睯䅁䩁䅉䅁扂䕁䄰兓時䕁䅫杔呂䙁䄸睕啂䕁䅅䅖時䕁䅷兡浂䝁䅕睘䝂䝁䅫杢桂䝁䄴睙灂䝁䅅䅢穂䙁䄸杤硁䍁䄴䅥獂䡁䅍兢摂䙁䅕杢歂䝁䅕杣㍂䡁䅉兡あ䝁䅫杢湂䙁䄸兑畂䝁䅅䅢㕂䡁䅍兡穂䍁䅅䅊䝂䍁䅑睍㍁䑁䅫杏歁䕁䅯䅊穁䑁䅣兏䅁䭁䅕䅁千䅁䅁睗乂䕁䅫睘䩂䕁䄴睕時䙁䅍䅖䉂䙁䅑睘䵂䝁䅫杚求䙁䄸杒灂䝁䄴兙畂䝁䅍兡桂䝁䅷督時䡁䅙免畁䡁䅧䅢穂䝁䄰兘噂䝁䄴䅚求䡁䅉睤祂䝁䅫䅤灂䝁䄴睚時䕁䅅杢桂䝁䅷入穂䝁䅫督桁䍁䅑杒歁䑁䅍兏ぁ䑁䅯䅊䭂䍁䅑睍㕁䑁䅑䅁桃允䅁杫䅁䙁䅳兔䩂䙁䄸兓佂䙁䅍睘呂䙁䅑兑啂䙁䄸䅔灂䝁䅙党時䕁䅙兡畂䝁䅅杢橂䝁䅫兙獂䡁䅍睘㉂䑁䅅杌㑂䝁䅷督瑂䙁䄰兖畂䝁䅑党祂䡁䅣杣灂䡁䅑兡畂䝁䅣睘䉂䝁䄴兙獂䡁䅫督灂䡁䅍光歁䕁䅙䅊穁䑁䅫兎㙁䍁䅑杓歁䑁䅍兏ㅁ䅁䅁睯䅅䩁䅉䅁扂䕁䄰兓時䕁䅫杔呂䙁䄸睕啂䕁䅅䅖時䕁䅷兡浂䝁䅕睘䝂䝁䅫杢桂䝁䄴睙灂䝁䅅䅢穂䙁䄸杤硁䍁䄴䅥獂䡁䅍兢摂䙁䅕杢歂䝁䅕杣㍂䡁䅉兡あ䝁䅫杢湂䙁䄸兑畂䝁䅅䅢㕂䡁䅍兡穂䍁䅅䅊䝂䍁䅑睍㕁䑁䅙杏歁䕁䅯䅊穁䑁䅫李䅁䭁䉑䅁䭃䅁䅁睗乂䕁䅫睘䩂䕁䄴睕時䙁䅍䅖䉂䙁䅑睘䵂䝁䅫杚求䙁䄸杒灂䝁䄴兙畂䝁䅍兡桂䝁䅷督時䡁䅙免畁䡁䅧䅢穂䝁䄰兘噂䝁䄴䅚求䡁䅉睤祂䝁䅫䅤灂䝁䄴睚時䕁䅅杢桂䝁䅷入穂䝁䅫督桁䍁䅑杒歁䑁䅙杏歁䕁䅯䅊㉁䅁䅁党䅁䥁䄴䅁扂䕁䄰兓時䕁䅫杔呂䙁䄸睕啂䕁䅅䅖時䕁䅷兡浂䝁䅕睘䝂䝁䅫杢桂䝁䄴睙灂䝁䅅䅢穂䙁䄸杤硁䍁䄴䅥獂䡁䅍兢摂䙁䅕杢歂䝁䅕杣㍂䡁䅉兡あ䝁䅫杢湂䙁䄸兑畂䝁䅅䅢㕂䡁䅍兡穂䍁䅅䅊䝂䍁䅑睎ㅁ䑁䅯䅊䭂䍁䅑睎ㅁ䅁䅁杨䅅䥁䄴䅁扂䕁䄰兓時䕁䅫杔呂䙁䄸睕啂䕁䅅䅖時䕁䅷兡浂䝁䅕睘䝂䝁䅫杢桂䝁䄴睙灂䝁䅅䅢穂䙁䄸杤硁䍁䄴䅥獂䡁䅍兢摂䙁䅕杢歂䝁䅕杣㍂䡁䅉兡あ䝁䅫杢湂䙁䄸兑畂䝁䅅䅢㕂䡁䅍兡穂䍁䅅䅊䝂䍁䅑睎㉁䑁䅯䅊䭂䍁䅑睎㉁䅁䅁兪䅁䥁䄴䅁扂䕁䄰兓時䕁䅫杔呂䙁䄸睕啂䕁䅅䅖時䕁䅷兡浂䝁䅕睘䝂䝁䅫杢桂䝁䄴睙灂䝁䅅䅢穂䙁䄸杤硁䍁䄴䅥獂䡁䅍兢摂䙁䅕杢歂䝁䅕杣㍂䡁䅉兡あ䝁䅫杢湂䙁䄸兑畂䝁䅅䅢㕂䡁䅍兡穂䍁䅅䅊䝂䍁䅑睎㍁䑁䅯䅊䭂䍁䅑睎㍁䅁䅁睪䅁䥁䅯䅁扂䕁䄰兓時䕁䅫杔呂䙁䄸睕啂䕁䅅䅖時䕁䅷兡浂䝁䅕睘䝂䝁䅫杢桂䝁䄴睙灂䝁䅅䅢穂䙁䄸杤硁䍁䄴䅥獂䡁䅍兢摂䙁䅕杢歂䝁䅕杣㍂䡁䅉兡あ䝁䅫杢湂䙁䄸兑畂䝁䅅䅢㕂䡁䅍兡穂䍁䅅䅊䝂䍁䅑睎㙁䍁䅑杓歁䑁䅣䅁浂䅁䅁杫䅁䙁䅳兔䩂䙁䄸兓佂䙁䅍睘呂䙁䅑兑啂䙁䄸䅔灂䝁䅙党時䕁䅙兡畂䝁䅅杢橂䝁䅫兙獂䡁䅍睘㉂䑁䅅杌㑂䝁䅷督瑂䙁䄰兖畂䝁䅑党祂䡁䅣杣灂䡁䅑兡畂䝁䅣睘䉂䝁䄴兙獂䡁䅫督灂䡁䅍光歁䕁䅣䅊穁䑁䅣睎㙁䍁䅑睓歁䑁䅍睎㍁䅁䅁兣䅅䩁䅉䅁扂䕁䄰兓時䕁䅫杔呂䙁䄸睕啂䕁䅅䅖時䕁䅷兡浂䝁䅕睘䝂䝁䅫杢桂䝁䄴睙灂䝁䅅䅢穂䙁䄸杤硁䍁䄴䅥獂䡁䅍兢摂䙁䅕杢歂䝁䅕杣㍂䡁䅉兡あ䝁䅫杢湂䙁䄸兑畂䝁䅅䅢㕂䡁䅍兡穂䍁䅅䅊䡂䍁䅑睍㍁䑁䅧杏歁䕁䅳䅊穁䑁䅣䅏䅁䡁䉉䅁㝁允䅁䍄䉁䅁䅁兂䅁䅁䅍睁䅁䅁䅕䅁䅁䅁睄啣䙁䅁䅁䅁䕁到䉎权䕁䅁䅋权啂䅁䅁允䅁䅁䅅䅁䭁䙁䅕䅁䵁䅉䅅䅁䙁䅁䅁睁䑁䅁䅁兂䅁䅁䅁偁硂䅑䅕䅁䅁䉁剪ぅ䭅䅁䅑潁䭁䕁䅉䅁䉁䅁䅁允䅁䅁䅯睑䅁䅁杷允䅁䅁䅕䅁䑁䅁䅍䅁䙁䅁䅁䅁䅁䠸䅆兂䅁䅁䅁乑呅兑䅯䅂䍁䅧䅯村䅁䅁䅅䅁䉁䅁䅁权䑂䅁䅁䍄䉁䅁䅁兂䅁䅁䅍睁䅁䅁䅕䅁䅁䅁睄啣䙁䅁䅁䅁䵁到䉎权䕁䅁䅋权⽁䅁䅁允䅁䅁䅅䅁䭁䕁䅅䅁䵁䅉䅅䅁䙁䅁䅁睁䑁䅁䅁兂䅁䅁䅁偁硂䅑䅕䅁䅁䍁剺ぅ䭅䅁䅑潁䭁䕁䅙䅁䉁䅁䅁允䅁䅁䅯睒䅁䅁杷允䅁䅁䅙䅁䑁䅁䅍䅁䙁䅁䅁䅁䅁䠸䅆兂䅁䅁䅁丱呁兑䅯䅂䍁䅧䅯杓䅁䅁䅯䅑䅁䅁䅅䅁䉁䅁䅁权䱂䅁䅁䍄䉁䅁䅁杂䅁䅁䅍睁䅁䅁䅕䅁䅁䅁睄啣䙁䅁䅁䅁奄䈰䉎权䕁䅁䅋权䝂䅁䅁权䅂䅁䅁允䅁䅁䅅䅁䭁䕁䅣䅁䵁䅉䅅䅁䙁䅁䅁睁䑁䅁䅁兂䅁䅁䅁偁硂䅑䅕䅁䅁䍁剄ぅ䭅䅁䅑潁䭁䕁䅑䅁䉁䅁䅁允䅁䅁䅯兒䅁䅁杷允䅁䅁䅕䅁䑁䅁䅍䅁䙁䅁䅁䅁䅁䠸䅆兂䅁䅁䅁乊呅兑䅯䅂䍁䅧䅯儵䅅䅁䅅䅁䉁䅁䅁权浄允䅁䍄䉁䅁䅁兂䅁䅁䅍睁䅁䅁䅕䅁䅁䅁睄啣䙁䅁䅁䅁歁到䉎权䕁䅁䅋权桁杁䅁允䅁䅁䅅䅁䭁䍁䍉䅁䵁䅉䅅䅁䙁䅁䅁睁䑁䅁䅁兂䅁䅁䅁偁硂䅑䅕䅁䅁䑁剄ぅ䭅䅁䅑潁䭁䑁䄸䅁䉁䅁䅁允䅁䅁䅯兑䅁䅁杷允䅁䅁䅙䅁䑁䅁䅍䅁䙁䅁䅁䅁䅁䠸䅆兂䅁䅁䅁串呁兑䅯䅂䍁䅧䅯村䅁䅁䅯䅑䅁䅁䅅䅁䉁䅁䅁权䑂䅁䅁䍄䉁䅁䅁兂䅁䅁䅍睁䅁䅁䅕䅁䅁䅁睄啣䙁䅁䅁䅁䅁到䉎权䕁䅁䅋权卂䅁䅁允䅁䅁䅅䅁䭁䙁䅍䅁䵁䅉䅅䅁䝁䅁䅁睁䑁䅁䅁兂䅁䅁䅁偁硂䅑䅕䅁䅁乁兪ぅ䭅䅁䅑潁䭁䙁䅉䅁䭁䕁䅁䅁䉁䅁䅁允䅁䅁䅯睕䅁䅁杷允䅁䅁䅕䅁䑁䅁䅍䅁䙁䅁䅁䅁䅁䠸䅆兂䅁䅁䅁乇呅兑䅯䅂䍁䅧䅯䅓䅁䅁䅅䅁䉁䅁䅁权䩂䅁䅁䍄䉁䅁䅁兂䅁䅁䅍睁䅁䅁䅕䅁䅁䅁睄啣䙁䅁䅁䅁歁到䉎权䕁䅁䅋权牄允䅁允䅁䅁䅅䅁䭁佁䉷䅁䵁䅉䅅䅁䝁䅁䅁睁䑁䅁䅁兂䅁䅁䅁偁硂䅑䅕䅁䅁乁兔ぅ䭅䅁䅑潁䭁䕁䅙䅁䭁䕁䅁䅁䉁䅁䅁允䅁䅁䅯睒䅁䅁杷允䅁䅁䅙䅁䑁䅁䅍䅁䙁䅁䅁䅁䅁䠸䅆兂䅁䅁䅁丱呁兑䅯䅂䍁䅧䅯䅕䅁䅁䅯䅑䅁䅁䅅䅁䉁䅁䅁权剂䅁䅁䍄䉁䅁䅁兂䅁䅁䅍睁䅁䅁䅕䅁䅁䅁睄啣䙁䅁䅁䅁䅁到䉎权䕁䅁䅋权兂䅁䅁允䅁䅁䅅䅁䭁䙁䅅䅁䵁䅉䅅䅁䙁䅁䅁睁䑁䅁䅁兂䅁䅁䅁偁硂䅑䅕䅁䅁䅁剄ぅ䭅䅁䅑潁䭁䙁䅑䅁䉁䅁䅁允䅁䅁䅯兖䅁䅁杷允䅁䅁䅙䅁䑁䅁䅍䅁䙁䅁䅁䅁䅁䠸䅆兂䅁䅁䅁丱呁兑䅯䅂䍁䅧䅯䅔䅁䅁䅯䅑䅁䅁䅅䅁䉁䅁䅁权乂䅁䅁䍄䉁䅁䅁杂䅁䅁䅍睁䅁䅁䅕䅁䅁䅁睄啣䙁䅁䅁䅁啃栱䉎权䕁䅁䅋权㉃䅁䅁权䅂䅁䅁允䅁䅁䅅䅁䭁䱁䅣䅁䵁䅉䅅䅁䙁䅁䅁睁䑁䅁䅁兂䅁䅁䅁偁硂䅑䅕䅁䅁䅁剔ぅ䭅䅁䅑潁䭁䕁䅯䅁䉁䅁䅁允䅁䅁䅯睓䅁䅁杷允䅁䅁䅕䅁䑁䅁䅍䅁䙁䅁䅁䅁䅁䠸䅆兂䅁䅁䅁乇呅兑䅯䅂䍁䅧䅯杔䅁䅁䅅䅁䉁䅁䅁权偂䅁䅁䍄䉁䅁䅁兂䅁䅁䅍睁䅁䅁䅕䅁䅁䅁睄啣䙁䅁䅁䅁歁到䉎权䕁䅁䅋权䱁杁䅁允䅁䅁䅅䅁䭁䅁䍷䅁䵁䅉䅅䅁䙁䅁䅁睁䑁䅁䅁兂䅁䅁䅁偁硂䅑䅕䅁䅁䑁剔ぅ䭅䅁䅑潁䭁䙁䅑䅁䉁䅁䅁允䅁䅁䅯兖䅁䅁杷允䅁䅁䅕䅁䑁䅁䅍䅁䙁䅁䅁䅁䅁䠸䅆兂䅁䅁䅁乂呅兑䅯䅂䍁䅧䅯杒䅁䅁䅅䅁䉁䅁䅁权䡂䅁䅁䍄䉁䅁䅁杂䅁䅁䅍睁䅁䅁䅕䅁䅁䅁睄啣䙁䅁䅁䅁元栱䉎权䕁䅁䅋权煃䅁䅁权䅂䅁䅁允䅁䅁䅅䅁䭁䭁䅳䅁䵁䅉䅅䅁䙁䅁䅁睁䑁䅁䅁兂䅁䅁䅁偁硂䅑䅕䅁䅁䍁剔ぅ䭅䅁䅑潁䭁䕁䅙䅁䉁䅁䅁允䅁䅁䅯睒䅁䅁杷允䅁䅁䅙䅁䑁䅁䅍䅁䙁䅁䅁䅁䅁䠸䅆兂䅁䅁䅁丱呁兑䅯䅂䍁䅧䅯䅓䅁䅁䅯䅑䅁䅁䅅䅁䉁䅁䅁权䩂䅁䅁䍄䉁䅁䅁杂䅁䅁䅍睁䅁䅁䅕䅁䅁䅁睄啣䙁䅁䅁䅁啄䈰䉎权䕁䅁䅋权卂䅁䅁权䅂䅁䅁允䅁䅁䅅䅁䭁䙁䅍䅁䵁䅉䅅䅁䙁䅁䅁睁䑁䅁䅁兂䅁䅁䅁偁硂䅑䅕䅁䅁䍁剔ぅ䭅䅁䅑潁䭁佁䉅䅁䉁䅁䅁允䅁䅁䅯朴䅅䅁杷允䅁䅁䅫䅁䵁䅉䅅䅁䡁䅁䅁权乁杂䅁兂䅁䅁䅁偁硂䅑䅯杄䅙䅁䅯睄䅙䅁䅯䅅䅙䅁䅯䅂䍁䅧䅯兆䅁䉁䅑䙚奥㍒䭦煋唰䝁㕣㈶剚畡䍙䅆捁乫佰䕎湊䉤䅑䥁瘱⭌栱偌啷偁䰵湂㑨牆乖䅆歂㕖䡨㡤煯割䅑㡧㥈䙒匴獑唰䭁削䕂㐶癙睅允䅁䅁䅅䅁䭁䅁䅳䅁䵁䅉䅅䅁䙁䅁䅁睁䑁䅁䅁兂䅁䅁䅁偁硂䅑䅕䅁䅁䑁剄ぅ䭅䅁䅑潁䭁䕁䅧䅁䉁䅁䅁允䅁䅁䅯兓䅁䅁杷允䅁䅁䅕䅁䑁䅁䅍䅁䙁䅁䅁䅁䅁䠸䅆兂䅁䅁䅁乊呅兑䅯䅂䍁䅧䅯䅒䅁䅁䅅䅁䉁䅁䅁权䙂䅁䅁䍄䉁䅁䅁杂䅁䅁䅍睁䅁䅁䅕䅁䅁䅁睄啣䙁䅁䅁䅁䕄栱䉎权䕁䅁䅋权睃䅁䅁权䅂䅁䅁允䅁䅁䅅䅁䭁䱁䅅䅁䵁䅉䅅䅁䙁䅁䅁睁䑁䅁䅁兂䅁䅁䅁偁硂䅑䅕䅁䅁䍁剔ぅ䭅䅁䅑潁䭁䉁䍕䅁䉁䅁䅁允䅁䅁䅯杆䅉䅁杷允䅁䅁䅕䅁䑁䅁䅍䅁䙁䅁䅁䅁䅁䠸䅆兂䅁䅁䅁乍呅兑䅯䅂䍁䅧䅯䅖䅁䅁䅅䅁䉁䅁䅁权噂䅁䅁䍄䉁䅁䅁杂䅁䅁䅍睁䅁䅁䅕䅁䅁䅁睄啣䙁䅁䅁䅁啄䈰䉎权䕁䅁䅋权⽁䅁䅁权䅂䅁䅁允䅁䅁䅅䅁䭁䕁䅅䅁䵁䅉䅅䅁䝁䅁䅁睁䑁䅁䅁兂䅁䅁䅁偁硂䅑䅕䅁䅁乁兪ぅ䭅䅁䅑潁䭁䕁䄴䅁䭁䕁䅁䅁䉁䅁䅁允䅁䅁䅯睔䅁䅁杷允䅁䅁䅙䅁䑁䅁䅍䅁䙁䅁䅁䅁䅁䠸䅆兂䅁䅁䅁乭呙兑䅯䅂䍁䅧䅯䅲䅁䅁䅯䅑䅁䅁䅅䅁䉁䅁䅁权瑃䅁䅁䍄䉁䅁䅁兂䅁䅁䅍睁䅁䅁䅕䅁䅁䅁睄啣䙁䅁䅁䅁䕁到䉎权䕁䅁䅋权佂䅁䅁允䅁䅁䅅䅁䭁䕁䄸䅁䵁䅉䅅䅁䙁䅁䅁睁䑁䅁䅁兂䅁䅁䅁偁硂䅑䅕䅁䅁䍁剔ぅ䭅䅁䅑潁䭁佁䉫䅁䉁䅁䅁允䅁䅁䅯朶䅅䅁杷允䅁䅁䅙䅁䑁䅁䅍䅁䙁䅁䅁䅁䅁䠸䅆兂䅁䅁䅁串呁兑䅯䅂䍁䅧䅯䅓䅁䅁䅯䅑䅁䅁䅅䅁䉁䅁䅁权䩂䅁䅁䍄䉁䅁䅁兂䅁䅁䅍睁䅁䅁䅕䅁䅁䅁睄啣䙁䅁䅁䅁奁到䉎权䕁䅁䅋权䵂䅁䅁允䅁䅁䅅䅁䭁䕁䄰䅁䵁䅉䅅䅁䙁䅁䅁睁䑁䅁䅁兂䅁䅁䅁偁硂䅑䅕䅁䅁䑁剄ぅ䭅䅁䅑潁䭁䕁䅷䅁䉁䅁䅁允䅁䅁䅯兔䅁䅁杷允䅁䅁䅙䅁䑁䅁䅍䅁䙁䅁䅁䅁䅁䠸䅆兂䅁䅁䅁乮呙兑䅯䅂䍁䅧䅯東䅁䅁䅯䅑䅁䅁䅅䅁䉁䅁䅁权牃䅁䅁䍄䉁䅁䅁杂䅁䅁䅍睁䅁䅁䅕䅁䅁䅁睄啣䙁䅁䅁䅁啄䈰䉎权䕁䅁䅋权佂䅁䅁权䅂䅁䅁允䅁䅁䅅䅁䭁䕁䄸䅁䵁䅉䅅䅁䩁䅁䅁䍄䉁䅁䅁睂䅁䅁䅯杘䅙䅁䅕䅁䅁䅁睄啣䭁䙁䜸䅁䭁䝁䝁䅁䭁䝁䝅䅁䭁䅁䅑潁䭁䉁䅕䅁啁䝁塒䕭㍤楹瑱䅆㍄癆婓昳潔砫䅑䩈慄橔䍒㍚啑䉁䵫佐慊即⽙䅆慄⽬硈扊愲桒䅑䌷㙏䩨氫㉪啷䥁䉐唯敒歅乌䅆楃兕佒䝵硌䅍䅅䅁䉁䅁䅁权䱁䅁䅁䍄䉁䅁䅁兂䅁䅁䅍睁䅁䅁䅕䅁䅁䅁睄啣䙁䅁䅁䅁䅁到䉎权䕁䅁䅋权䭂䅁䅁允䅁䅁䅅䅁䭁䕁䅳䅁䵁䅉䅅䅁䙁䅁䅁睁䑁䅁䅁兂䅁䅁䅁偁硂䅑䅕䅁䅁䍁剔ぅ䭅䅁䅑潁䭁䭁䅯䅁䉁䅁䅁允䅁䅁䅯睱䅁䅁杷允䅁䅁䅙䅁䑁䅁䅍䅁䙁䅁䅁䅁䅁䠸䅆兂䅁䅁䅁串呁兑䅯䅂䍁䅧䅯䅕䅁䅁䅯䅑䅁䅁䅅䅁䉁䅁䅁权剂䅁䅁䍄䉁䅁䅁兂䅁䅁䅍睁䅁䅁䅕䅁䅁䅁睄啣䙁䅁䅁䅁䅁到䉎权䕁䅁䅋权䥂䅁䅁允䅁䅁䅅䅁䭁䕁䅫䅁䵁䅉䅅䅁䙁䅁䅁睁䑁䅁䅁兂䅁䅁䅁偁硂䅑䅕䅁䅁䅁剪ぅ䭅䅁䅑潁䭁䙁䅉䅁䉁䅁䅁允䅁䅁䅯睕䅁䅁杷允䅁䅁䅕䅁䑁䅁䅍䅁䙁䅁䅁䅁䅁䠸䅆兂䅁䅁䅁乊呅兑䅯䅂䍁䅧䅯睉䅉䅁䅅䅁䉁䅁䅁权歁杁䅁䍄䉁䅁䅁杂䅁䅁䅍睁䅁䅁䅕䅁䅁䅁睄啣䙁䅁䅁䅁奄䈰䉎权䕁䅁䅋权⽁䅁䅁权䅂䅁䅁允䅁䅁䅅䅁䭁䕁䅅䅁䵁䅉䅅䅁䝁䅁䅁睁䑁䅁䅁兂䅁䅁䅁偁硂䅑䅕䅁䅁偁啔ぅ䭅䅁䅑潁䭁䱁䅯䅁䭁䕁䅁䅁䉁䅁䅁允䅁䅁䅯睵䅁䅁杷允䅁䅁䅕䅁䑁䅁䅍䅁䙁䅁䅁䅁䅁䠸䅆兂䅁䅁䅁久呅兑䅯䅂䍁䅧䅯杔䅁䅁䅅䅁䉁䅁䅁权偂䅁䅁䍄䉁䅁䅁兂䅁䅁䅍睁䅁䅁䅕䅁䅁䅁睄啣䙁䅁䅁䅁䅁到䉎权䕁䅁䅋权䍂䅁䅁允䅁䅁䅅䅁䭁䕁䅍䅁䵁䅉䅅䅁䝁䅁䅁睁䑁䅁䅁兂䅁䅁䅁偁硂䅑䅕䅁䅁乁兪ぅ䭅䅁䅑潁䭁䙁䅑䅁䭁䕁䅁䅁䉁䅁䅁允䅁䅁䅯兖䅁䅁杷允䅁䅁䅙䅁䑁䅁䅍䅁䙁䅁䅁䅁䅁䠸䅆兂䅁䅁䅁丱呁兑䅯䅂䍁䅧䅯村䅁䅁䅯䅑䅁䅁䅅䅁䉁䅁䅁权䑂䅁䅁䍄䉁䅁䅁兂䅁䅁䅍睁䅁䅁䅕䅁䅁䅁睄啣䙁䅁䅁䅁杁到䉎权䕁䅁䅋权佂䅁䅁允䅁䅁䅅䅁䭁䕁䄸䅁䵁䅉䅅䅁䝁䅁䅁睁䑁䅁䅁兂䅁䅁䅁偁硂䅑䅕䅁䅁乁兪ぅ䭅䅁䅑潁䭁䕁䅯䅁䭁䕁䅁䅁䉁䅁䅁允䅁䅁䅯睓䅁䅁杷允䅁䅁䅙䅁䑁䅁䅍䅁䙁䅁䅁䅁䅁䠸䅆兂䅁䅁䅁丱呁兑䅯䅂䍁䅧䅯䅒䅁䅁䅯䅑䅁䅁䅅䅁䉁䅁䅁权䙂䅁䅁䍄䉁䅁䅁元䅁䅁杷允䅁䅁䅣䅁䭁䍁䜴䅁䙁䅁䅁䅁䅁䠸䅆权癁杂䅁权睁杂䅁权硁杂䅁权慁䅁䅁权噁䅁䅁䅆歂㕖䡨㡤煯割䅑坆䍘据晱灤啣䉁兹欲〴浑つ䅆卂⽖刹䍮此硭䅑捌婙㍷洯摴啍佁䝫㡥獈礵䜰䅆潃⽺㍧㥆䱎桗䅑汯䕅牔楨吸䉁䅁䅁允䅁䅁䅯睃䅁䅁杷允䅁䅁䅕䅁䑁䅁䅍䅁䙁䅁䅁䅁䅁䠸䅆兂䅁䅁䅁义呅兑䅯䅂䍁䅧䅯䅓䅁䅁䅅䅁䉁䅁䅁权䩂䅁䅁䍄䉁䅁䅁兂䅁䅁䅍睁䅁䅁䅕䅁䅁䅁睄啣䙁䅁䅁䅁杁到䉎权䕁䅁䅋权䵂䅁䅁允䅁䅁䅅䅁䭁䕁䄰䅁䵁䅉䅅䅁䩁䅁䅁䍄䉁䅁䅁睂䅁䅁䅯兇䅙䅁䅕䅁䅁䅁睄啣䭁䉁䝯䅁䭁䉁䝳䅁䭁䉁䝷䅁䭁䉁䅯䅁䭁䉁䅕䅁啁䝁塒䕭㍤楹瑱䅆噁捚摋灹㈹硬䅑䩈慄橔䍒㍚啑䙁塊ㄯ捇㉊打䅆捁䝔䅋唱䄫硚䅑儶㝚敷湺兌啙䭁偪䐫塣〰慴䅆楃兕佒䝵硌䅍䅅䅁䉁䅁䅁权䱁䅁䅁䍄䉁䅁䅁杂䅁䅁䅍睁䅁䅁䅕䅁䅁䅁睄啣䙁䅁䅁䅁啄䈰䉎权䕁䅁䅋权啂䅁䅁权䅂䅁䅁允䅁䅁䅅䅁䭁䙁䅕䅁䵁䅉䅅䅁䙁䅁䅁睁䑁䅁䅁兂䅁䅁䅁偁硂䅑䅕䅁䅁䅁剪ぅ䭅䅁䅑潁䭁䕁䄴䅁䉁䅁䅁允䅁䅁䅯睔䅁䅁杷允䅁䅁䅕䅁䑁䅁䅍䅁䙁䅁䅁䅁䅁䠸䅆兂䅁䅁䅁乑呅兑䅯䅂䍁䅧䅯䅖䅁䅁䅅䅁䉁䅁䅁权噂䅁䅁䍄䉁䅁䅁杂䅁䅁䅍睁䅁䅁䅕䅁䅁䅁睄啣䙁䅁䅁䅁奄䈰䉎权䕁䅁䅋权䕂䅁䅁权䅂䅁䅁允䅁䅁䅅䅁䭁䕁䅕䅁䵁䅉䅅䅁䝁䅁䅁睁䑁䅁䅁兂䅁䅁䅁偁硂䅑䅕䅁䅁乁兪ぅ䭅䅁䅑潁䭁䕁䅷䅁䭁䕁䅁䅁䉁䅁䅁允䅁䅁䅯兔䅁䅁杷允䅁䅁䅕䅁䑁䅁䅍䅁䙁䅁䅁䅁䅁䠸䅆兂䅁䅁䅁乆呅兑䅯䅂䍁䅧䅯䅕䅁䅁䅅䅁䉁䅁䅁权剂䅁䅁䍄䉁䅁䅁兂䅁䅁䅍睁䅁䅁䅕䅁䅁䅁睄啣䙁䅁䅁䅁䅂到䉎权䕁䅁䅋权䥂䅁䅁允䅁䅁䅅䅁䭁䕁䅫䅁䵁䅉䅅䅁䙁䅁䅁睁䑁䅁䅁兂䅁䅁䅁偁硂䅑䅕䅁䅁䕁剄ぅ䭅䅁䅑潁䭁䙁䅉䅁䉁䅁䅁允䅁䅁䅯睕䅁䅁杷允䅁䅁䅕䅁䑁䅁䅍䅁䙁䅁䅁䅁䅁䠸䅆兂䅁䅁䅁乄呅兑䅯䅂䍁䅧䅯䅒䅁䅁䅅䅁䉁䅁䅁权䙂䅁䅁䍄䉁䅁䅁兂䅁䅁䅍睁䅁䅁䅕䅁䅁䅁睄啣䙁䅁䅁䅁歁到䉎权䕁䅁䅋权畃䅁䅁允䅁䅁䅅䅁䭁䭁䄸䅁䵁䅉䅅䅁䝁䅁䅁睁䑁䅁䅁兂䅁䅁䅁偁硂䅑䅕䅁䅁䩁坔ぅ䭅䅁䅑潁䭁䱁䅁䅁䭁䕁䅁䅁䉁䅁䅁允䅁䅁䅯关䅁䅁杷允䅁䅁䅕䅁䑁䅁䅍䅁䙁䅁䅁䅁䅁䠸䅆兂䅁䅁䅁乃呅兑䅯䅂䍁䅧䅯䅖䅁䅁䅅䅁䉁䅁䅁权噂䅁䅁䍄䉁䅁䅁兂䅁䅁䅍睁䅁䅁䅕䅁䅁䅁睄啣䙁䅁䅁䅁歁到䉎权䕁䅁䅋权湁杁䅁允䅁䅁䅅䅁䭁䍁䍧䅁䵁䅉䅅䅁䙁䅁䅁睁䑁䅁䅁兂䅁䅁䅁偁硂䅑䅕䅁䅁䉁剄ぅ䭅䅁䅑潁䭁䕁䅙䅁䉁䅁䅁允䅁䅁䅯睒䅁䅁杷允䅁䅁䅕䅁䑁䅁䅍䅁䙁䅁䅁䅁䅁䠸䅆兂䅁䅁䅁么呅兑䅯䅂䍁䅧䅯杕䅁䅁䅅䅁䉁䅁䅁权呂䅁䅁䍄䉁䅁䅁兂䅁䅁䅍睁䅁䅁䅕䅁䅁䅁睄啣䙁䅁䅁䅁睁到䉎权䕁䅁䅋权䝂䅁䅁允䅁䅁䅅䅁䭁䕁䅣䅁䵁䅉䅅䅁䙁䅁䅁睁䑁䅁䅁兂䅁䅁䅁偁硂䅑䅕䅁䅁䅁剪ぅ䭅䅁䅑潁䭁䕁䅙䅁䉁䅁䅁允䅁䅁䅯睒䅁䅁杷允䅁䅁䅕䅁䑁䅁䅍䅁䙁䅁䅁䅁䅁䠸䅆兂䅁䅁䅁乌呅兑䅯䅂䍁䅧䅯村䅁䅁䅅䅁䉁䅁䅁权䑂䅁䅁䍄䉁䅁䅁兂䅁䅁䅍睁䅁䅁䅕䅁䅁䅁睄啣䙁䅁䅁䅁䥁到䉎权䕁䅁䅋权䭂䅁䅁允䅁䅁䅅䅁䭁䕁䅳䅁䵁䅉䅅䅁䝁䅁䅁睁䑁䅁䅁兂䅁䅁䅁偁硂䅑䅕䅁䅁䥁坪ぅ䭅䅁䅑潁䭁䭁䅯䅁䭁䕁䅁䅁䉁䅁䅁允䅁䅁䅯睱䅁䅁杷允䅁䅁䅕䅁䑁䅁䅍䅁䙁䅁䅁䅁䅁䠸䅆兂䅁䅁䅁乁呅兑䅯䅂䍁䅧䅯杒䅁䅁䅅䅁䉁䅁䅁权䡂䅁䅁䍄䉁䅁䅁兂䅁䅁䅍睁䅁䅁䅕䅁䅁䅁睄啣䙁䅁䅁䅁䵁到䉎权䕁䅁䅋权卂䅁䅁允䅁䅁䅅䅁䭁䙁䅍䅁䵁䅉䅅䅁䙁䅁䅁睁䑁䅁䅁兂䅁䅁䅁偁硂䅑䅕䅁䅁䉁剪ぅ䭅䅁䅑潁䭁䙁䅑䅁䉁䅁䅁允䅁䅁䅯兖䅁䅁杷允䅁䅁䅕䅁䑁䅁䅍䅁䙁䅁䅁䅁䅁䠸䅆兂䅁䅁䅁乊呅兑䅯䅂䍁䅧䅯村䅁䅁䅅䅁䉁䅁䅁权䑂䅁䅁䍄䉁䅁䅁兂䅁䅁䅍睁䅁䅁䅕䅁䅁䅁睄啣䙁䅁䅁䅁ぁ到䉎权䕁䅁䅋权卂䅁䅁允䅁䅁䅅䅁䭁䙁䅍䅁䵁䅉䅅䅁䙁䅁䅁睁䑁䅁䅁兂䅁䅁䅁偁硂䅑䅕䅁䅁䕁剄ぅ䭅䅁䅑潁䭁䑁䄸䅁䉁䅁䅁允䅁䅁䅯兑䅁䅁杷允䅁䅁䅕䅁䑁䅁䅍䅁䙁䅁䅁䅁䅁䠸䅆兂䅁䅁䅁乇呅兑䅯䅂䍁䅧䅯䅒䅁䅁䅅䅁䉁䅁䅁权䙂䅁䅁䍄䉁䅁䅁兂䅁䅁䅍睁䅁䅁䅕䅁䅁䅁睄啣䙁䅁䅁䅁䥁到䉎权䕁䅁䅋权兂䅁䅁允䅁䅁䅅䅁䭁䙁䅅䅁䵁䅉䅅䅁䙁䅁䅁睁䑁䅁䅁兂䅁䅁䅁偁硂䅑䅕䅁䅁䉁剪ぅ䭅䅁䅑潁䭁䑁䄸䅁䉁䅁䅁允䅁䅁䅯兑䅁䅁杷允䅁䅁䅕䅁䑁䅁䅍䅁䙁䅁䅁䅁䅁䠸䅆兂䅁䅁䅁乃呅兑䅯䅂䍁䅧䅯睐䅁䅁䅅䅁䉁䅁䅁权䉂䅁䅁䍄䉁䅁䅁兂䅁䅁䅍睁䅁䅁䅕䅁䅁䅁睄啣䙁䅁䅁䅁䵁到䉎权䕁䅁䅋权䝂䅁䅁允䅁䅁䅅䅁䭁䕁䅣䅁䵁䅉䅅䅁䙁䅁䅁睁䑁䅁䅁兂䅁䅁䅁偁硂䅑䅕䅁䅁䅁剔ぅ䭅䅁䅑潁䭁䙁䅁䅁䉁䅁䅁允䅁䅁䅯兕䅁䅁杷允䅁䅁䅕䅁䑁䅁䅍䅁䙁䅁䅁䅁䅁䠸䅆兂䅁䅁䅁义呅兑䅯䅂䍁䅧䅯杒䅁䅁䅅䅁䉁䅁䅁权䡂䅁䅁䍄䉁䅁䅁杂䅁䅁䅍睁䅁䅁䅕䅁䅁䅁睄啣䙁䅁䅁䅁奃栱䉎权䕁䅁䅋权睃䅁䅁权䅂䅁䅁允䅁䅁䅅䅁䭁䱁䅅䅁䵁䅉䅅䅁䙁䅁䅁睁䑁䅁䅁兂䅁䅁䅁偁硂䅑䅕䅁䅁䉁剄ぅ䭅䅁䅑潁䭁䕁䅷䅁䉁䅁䅁允䅁䅁䅯兔䅁䅁杷允䅁䅁䅫䅁䵁䅉䅅䅁䡁䅁䅁权䍂杂䅁兂䅁䅁䅁偁硂䅑䅯睑䅙䅁䅯䅒䅙䅁䅯兒䅙䅁䅯䅂䍁䅧䅯兆䅁䉁䅑䙚奥㍒䭦煋唰䙁㥬橷㝃㡡偩䅆捁乫佰䕎湊䉤䅑兇㡷水硱橊唸䥁䵋削之㔵坩䅆歂㕖䡨㡤煯割䅑㡧㥈䙒匴獑唰䭁削䕂㐶癙睅允䅁䅁䅅䅁䭁䅁䅳䅁䵁䅉䅅䅁䙁䅁䅁睁䑁䅁䅁兂䅁䅁䅁偁硂䅑䅕䅁䅁䍁剔ぅ䭅䅁䅑潁䭁偁䉍䅁䉁䅁䅁允䅁䅁䅯䄹䅅䅁杷允䅁䅁䅕䅁䑁䅁䅍䅁䙁䅁䅁䅁䅁䠸䅆兂䅁䅁䅁乊呅兑䅯䅂䍁䅧䅯睂䅉䅁䅅䅁䉁䅁䅁权䥁杁䅁䍄䉁䅁䅁兂䅁䅁䅍睁䅁䅁䅕䅁䅁䅁睄啣䙁䅁䅁䅁ぁ到䉎权䕁䅁䅋权䭂䅁䅁允䅁䅁䅅䅁䭁䕁䅳䅁䵁䅉䅅䅁䝁䅁䅁睁䑁䅁䅁兂䅁䅁䅁偁硂䅑䅕䅁䅁䩁坔ぅ䭅䅁䅑潁䭁䭁䅯䅁䭁䕁䅁䅁䉁䅁䅁允䅁䅁䅯睱䅁䅁杷允䅁䅁䅕䅁䑁䅁䅍䅁䙁䅁䅁䅁䅁䠸䅆兂䅁䅁䅁义呅兑䅯䅂䍁䅧䅯杓䅁䅁䅅䅁䉁䅁䅁权䱂䅁䅁䍄䉁䅁䅁兂䅁䅁䅍睁䅁䅁䅕䅁䅁䅁睄啣䙁䅁䅁䅁䵁到䉎权䕁䅁䅋权䵂䅁䅁允䅁䅁䅅䅁䭁䕁䄰䅁䵁䅉䅅䅁䙁䅁䅁睁䑁䅁䅁兂䅁䅁䅁偁硂䅑䅕䅁䅁䉁剔ぅ䭅䅁䅑潁䭁䙁䅑䅁䉁䅁䅁允䅁䅁䅯兖䅁䅁杷允䅁䅁䅕䅁䑁䅁䅍䅁䙁䅁䅁䅁䅁䠸䅆兂䅁䅁䅁乂呅兑䅯䅂䍁䅧䅯䅓䅁䅁䅅䅁䉁䅁䅁权䩂䅁䅁䍄䉁䅁䅁元䅁䅁杷允䅁䅁䅣䅁䭁䅁䝕䅁䙁䅁䅁䅁䅁䠸䅆权䝁杂䅁权䡁杂䅁权䥁杂䅁权慁䅁䅁权噁䅁䅁䅆歂㕖䡨㡤煯割䅑坆䍘据晱灤啣䉁兹欲〴浑つ䅆卂⽖刹䍮此硭䅑栵卶㕅䙅䝹啯佁䝫㡥獈礵䜰䅆潃⽺㍧㥆䱎桗䅑汯䕅牔楨吸䉁䅁䅁允䅁䅁䅯睃䅁䅁杷允䅁䅁䅫䅁䵁䅉䅅䅁䡁䅁䅁权婁杂䅁兂䅁䅁䅁偁硂䅑䅯杇䅙䅁䅯睇䅙䅁䅯䅈䅙䅁䅯杇䅁䅁䅯兆䅁䉁䅑䙚奥㍒䭦煋唰䉁汖灷䬳㍮塡䅆捁乫佰䕎湊䉤䅑汕⽦婕湷䩚啳䉁䵸潙噄㑔湂䅆呃慷剪潑噁剬䅑䵱㐯硎呦ㅓ啯䭁削䕂㐶癙睅允䅁䅁䅅䅁䭁䅁䅳䅁䵁䅉䅅䅁䩁䅁䅁䍄䉁䅁䅁睂䅁䅁䅯兊䅙䅁䅕䅁䅁䅁睄啣䭁䍁䝙䅁䭁䍁䝣䅁䭁䍁䝧䅁䭁䍁䝫䅁䭁䉁䅕䅁啁䝁塒䕭㍤楹瑱䅆晁䐱楨女啈䉩䅑䩈慄橔䍒㍚啑䙁塊ㄯ捇㉊打䅆慄⽬硈扊愲桒䅑㕦啬㝒挸灢唸䡁昵杊湅䙙樯䅆楃兕佒䝵硌䅍䅅䅁䉁䅁䅁权䱁䅁䅁䍄䉁䅁䅁兂䅁䅁䅍睁䅁䅁䅕䅁䅁䅁睄啣䙁䅁䅁䅁啁到䉎权䕁䅁䅋权䍂䅁䅁允䅁䅁䅅䅁䭁䕁䅍䅁䵁䅉䅅䅁䙁䅁䅁睁䑁䅁䅁兂䅁䅁䅁偁硂䅑䅕䅁䅁䉁剔ぅ䭅䅁䅑潁䭁䕁䅙䅁䉁䅁䅁允䅁䅁䅯睒䅁䅁杷允䅁䅁䅕䅁䑁䅁䅍䅁䙁䅁䅁䅁䅁䠸䅆兂䅁䅁䅁义呅兑䅯䅂䍁䅧䅯䅕䅁䅁䅅䅁䉁䅁䅁权剂䅁䅁䍄䉁䅁䅁杂䅁䅁䅍睁䅁䅁䅕䅁䅁䅁睄啣䙁䅁䅁䅁元栱䉎权䕁䅁䅋权祃䅁䅁权䅂䅁䅁允䅁䅁䅅䅁䭁䱁䅍䅁䵁䅉䅅䅁䙁䅁䅁睁䑁䅁䅁兂䅁䅁䅁偁硂䅑䅕䅁䅁䕁剄ぅ䭅䅁䅑潁䭁䕁䅷䅁䉁䅁䅁允䅁䅁䅯兔䅁䅁杷允䅁䅁䅕䅁䑁䅁䅍䅁䙁䅁䅁䅁䅁䠸䅆兂䅁䅁䅁久呅兑䅯䅂䍁䅧䅯䅓䅁䅁䅅䅁䉁䅁䅁权䩂䅁䅁䍄䉁䅁䅁兂䅁䅁䅍睁䅁䅁䅕䅁䅁䅁睄啣䙁䅁䅁䅁歁到䉎权䕁䅁䅋权⽁䅁䅁允䅁䅁䅅䅁䭁䕁䅅䅁䵁䅉䅅䅁䙁䅁䅁睁䑁䅁䅁兂䅁䅁䅁偁硂䅑䅕䅁䅁䍁剔ぅ䭅䅁䅑潁䭁䕁䅷䅁䉁䅁䅁允䅁䅁䅯兔䅁䅁杷允䅁䅁䅕䅁䑁䅁䅍䅁䙁䅁䅁䅁䅁䠸䅆兂䅁䅁䅁乂呅兑䅯䅂䍁䅧䅯睐䅁䅁䅅䅁䉁䅁䅁权䉂䅁䅁䍄䉁䅁䅁兂䅁䅁䅍睁䅁䅁䅕䅁䅁䅁睄啣䙁䅁䅁䅁䵁到䉎权䕁䅁䅋权啂䅁䅁允䅁䅁䅅䅁䭁䙁䅕䅁䵁䅉䅅䅁䙁䅁䅁睁䑁䅁䅁兂䅁䅁䅁偁硂䅑䅕䅁䅁䉁剄ぅ䭅䅁䅑潁䭁䙁䅉䅁䉁䅁䅁允䅁䅁䅯睕䅁䅁杷允䅁䅁䅕䅁䑁䅁䅍䅁䙁䅁䅁䅁䅁䠸䅆兂䅁䅁䅁乑呅兑䅯䅂䍁䅧䅯杓䅁䅁䅅䅁䉁䅁䅁权䱂䅁䅁䍄䉁䅁䅁兂䅁䅁䅍睁䅁䅁䅕䅁䅁䅁睄啣䙁䅁䅁䅁啁到䉎权䕁䅁䅋权佂䅁䅁允䅁䅁䅅䅁䭁䕁䄸䅁䵁䅉䅅䅁䙁䅁䅁睁䑁䅁䅁兂䅁䅁䅁偁硂䅑䅕䅁䅁䅁剺ぅ䭅䅁䅑潁䭁䕁䅯䅁䉁䅁䅁允䅁䅁䅯睓䅁䅁杷允䅁䅁䅕䅁䑁䅁䅍䅁䙁䅁䅁䅁䅁䠸䅆兂䅁䅁䅁久呅兑䅯䅂䍁䅧䅯杓䅁䅁䅅䅁䉁䅁䅁权䱂䅁䅁䍄䉁䅁䅁兂䅁䅁䅍睁䅁䅁䅕䅁䅁䅁睄啣䙁䅁䅁䅁奁到䉎权䕁䅁䅋权兂䅁䅁允䅁䅁䅅䅁䭁䙁䅅䅁䵁䅉䅅䅁䙁䅁䅁睁䑁䅁䅁兂䅁䅁䅁偁硂䅑䅕䅁䅁䅁剪ぅ䭅䅁䅑潁䭁䕁䅑䅁䉁䅁䅁允䅁䅁䅯兒䅁䅁杷允䅁䅁䅕䅁䑁䅁䅍䅁䙁䅁䅁䅁䅁䠸䅆兂䅁䅁䅁乊呅兑䅯䅂䍁䅧䅯杴䅁䅁䅅䅁䉁䅁䅁权㍃䅁䅁䍄䉁䅁䅁兂䅁䅁䅍睁䅁䅁䅕䅁䅁䅁睄啣䙁䅁䅁䅁䅁到䉎权䕁䅁䅋权佂䅁䅁允䅁䅁䅅䅁䭁䕁䄸䅁䵁䅉䅅䅁䙁䅁䅁睁䑁䅁䅁兂䅁䅁䅁偁硂䅑䅕䅁䅁䉁剔ぅ䭅䅁䅑潁䭁䕁䅷䅁䉁䅁䅁允䅁䅁䅯兔䅁䅁杷允䅁䅁䅕䅁䑁䅁䅍䅁䙁䅁䅁䅁䅁䠸䅆兂䅁䅁䅁乎呅兑䅯䅂䍁䅧䅯䅓䅁䅁䅅䅁䉁䅁䅁权䩂䅁䅁䍄䉁䅁䅁兂䅁䅁䅍睁䅁䅁䅕䅁䅁䅁睄啣䙁䅁䅁䅁杁到䉎权䕁䅁䅋权⽁䅁䅁允䅁䅁䅅䅁䭁䕁䅅䅁䵁䅉䅅䅁䙁䅁䅁睁䑁䅁䅁兂䅁䅁䅁偁硂䅑䅕䅁䅁䍁剄ぅ䭅䅁䅑潁䭁䙁䅑䅁䉁䅁䅁允䅁䅁䅯兖䅁䅁杷允䅁䅁䅕䅁䑁䅁䅍䅁䙁䅁䅁䅁䅁䠸䅆兂䅁䅁䅁乁呅兑䅯䅂䍁䅧䅯䅔䅁䅁䅅䅁䉁䅁䅁权乂䅁䅁䍄䉁䅁䅁元䅁䅁杷允䅁䅁䅣䅁䭁䉁䜰䅁䙁䅁䅁䅁䅁䠸䅆权敁杂䅁权晁杂䅁权杁杂䅁权慁䅁䅁权噁䅁䅁䅆歂㕖䡨㡤煯割䅑坆䍘据晱灤啣䉁兹欲〴浑つ䅆卂⽖刹䍮此硭䅑瑆瘸䠶晲游啑䩁䉐乱䍆䉧噗䅆潃⽺㍧㥆䱎桗䅑汯䕅牔楨吸䉁䅁䅁允䅁䅁䅯睃䅁䅁杷允䅁䅁䅕䅁䑁䅁䅍䅁䙁䅁䅁䅁䅁䠸䅆兂䅁䅁䅁乃呅兑䅯䅂䍁䅧䅯村䅁䅁䅅䅁䉁䅁䅁权䑂䅁䅁䍄䉁䅁䅁兂䅁䅁䅍睁䅁䅁䅕䅁䅁䅁睄啣䙁䅁䅁䅁䕁到䉎权䕁䅁䅋权䍂䅁䅁允䅁䅁䅅䅁䭁䕁䅍䅁䵁䅉䅅䅁䙁䅁䅁睁䑁䅁䅁兂䅁䅁䅁偁硂䅑䅕䅁䅁䅁剄ぅ䭅䅁䅑潁䭁䑁䄸䅁䉁䅁䅁允䅁䅁䅯兑䅁䅁杷允䅁䅁䅕䅁䑁䅁䅍䅁䙁䅁䅁䅁䅁䠸䅆兂䅁䅁䅁乁呅兑䅯䅂䍁䅧䅯䅒䅁䅁䅅䅁䉁䅁䅁权䙂䅁䅁䍄䉁䅁䅁兂䅁䅁䅍睁䅁䅁䅕䅁䅁䅁睄啣䙁䅁䅁䅁䵁到䉎权䕁䅁䅋权䍂䅁䅁允䅁䅁䅅䅁䭁䕁䅍䅁䵁䅉䅅䅁䙁䅁䅁睁䑁䅁䅁兂䅁䅁䅁偁硂䅑䅕䅁䅁䅁剺ぅ䭅䅁䅑潁䭁䕁䅧䅁䉁䅁䅁允䅁䅁䅯兓䅁䅁杷允䅁䅁䅕䅁䑁䅁䅍䅁䙁䅁䅁䅁䅁䠸䅆兂䅁䅁䅁乇呅兑䅯䅂䍁䅧䅯杒䅁䅁䅅䅁䉁䅁䅁权䡂䅁䅁䍄䉁䅁䅁兂䅁䅁䅍睁䅁䅁䅕䅁䅁䅁睄啣䙁䅁䅁䅁獁到䉎权䕁䅁䅋权佂䅁䅁允䅁䅁䅅䅁䭁䕁䄸䅁䵁䅉䅅䅁䝁䅁䅁睁䑁䅁䅁兂䅁䅁䅁偁硂䅑䅕䅁䅁䩁坪ぅ䭅䅁䅑潁䭁䱁䅙䅁䭁䕁䅁䅁䉁䅁䅁允䅁䅁䅯睴䅁䅁杷允䅁䅁䅕䅁䑁䅁䅍䅁䙁䅁䅁䅁䅁䠸䅆兂䅁䅁䅁乂呅兑䅯䅂䍁䅧䅯䅔䅁䅁䅅䅁䉁䅁䅁权乂䅁䅁䍄䉁䅁䅁兂䅁䅁䅍睁䅁䅁䅕䅁䅁䅁睄啣䙁䅁䅁䅁歁到䉎权䕁䅁䅋权㥄允䅁允䅁䅁䅅䅁䭁偁䈴䅁䵁䅉䅅䅁䝁䅁䅁睁䑁䅁䅁兂䅁䅁䅁偁硂䅑䅕䅁䅁䥁坪ぅ䭅䅁䅑潁䭁䱁䅉䅁䭁䕁䅁䅁䉁䅁䅁允䅁䅁䅯睳䅁䅁杷允䅁䅁䅕䅁䑁䅁䅍䅁䙁䅁䅁䅁䅁䠸䅆兂䅁䅁䅁乃呅兑䅯䅂䍁䅧䅯䅓䅁䅁䅅䅁䉁䅁䅁权䩂䅁䅁䍄䉁䅁䅁兂䅁䅁䅍睁䅁䅁䅕䅁䅁䅁睄啣䙁䅁䅁䅁䵁到䉎权䕁䅁䅋权佂䅁䅁允䅁䅁䅅䅁䭁䕁䄸䅁䵁䅉䅅䅁䩁䅁䅁䍄䉁䅁䅁睂䅁䅁䅯杖䅙䅁䅕䅁䅁䅁睄啣䭁䙁䝣䅁䭁䙁䝧䅁䭁䙁䝫䅁䭁䅁䅑潁䭁䉁䅕䅁啁䝁塒䕭㍤楹瑱䅆婂捦睉㉵䥶硪䅑䩈慄橔䍒㍚啑䉁䵫佐慊即⽙䅆⭁㙄ㅋ偊⼫剬䅑䙚奥㍒䭦煋唰䥁䉐唯敒歅乌䅆楃兕佒䝵硌䅍䅅䅁䉁䅁䅁权䱁䅁䅁䍄䉁䅁䅁兂䅁䅁䅍睁䅁䅁䅕䅁䅁䅁睄啣䙁䅁䅁䅁允到䉎权䕁䅁䅋权啂䅁䅁允䅁䅁䅅䅁䭁䙁䅕䅁䵁䅉䅅䅁䙁䅁䅁睁䑁䅁䅁兂䅁䅁䅁偁硂䅑䅕䅁䅁䅁剔ぅ䭅䅁䅑潁䭁䙁䅉䅁䉁䅁䅁允䅁䅁䅯睕䅁䅁杷允䅁䅁䅫䅁䵁䅉䅅䅁䡁䅁䅁权剁杂䅁兂䅁䅁䅁偁硂䅑䅯杅䅙䅁䅯睅䅙䅁䅯䅆䅙䅁䅯杇䅁䅁䅯兆䅁䉁䅑䙚奥㍒䭦煋唰䉁汖灷䬳㍮塡䅆捁乫佰䕎湊䉤䅑汕⽦婕湷䩚啳䩁捵椷㤱呏摇䅆呃慷剪潑噁剬䅑䵱㐯硎呦ㅓ啯䭁削䕂㐶癙睅允䅁䅁䅅䅁䭁䅁䅳䅁䵁䅉䅅䅁䙁䅁䅁睁䑁䅁䅁兂䅁䅁䅁偁硂䅑䅕䅁䅁䉁剄ぅ䭅䅁䅑潁䭁䑁䄸䅁䉁䅁䅁允䅁䅁䅯兑䅁䅁杷允䅁䅁䅕䅁䑁䅁䅍䅁䙁䅁䅁䅁䅁䠸䅆兂䅁䅁䅁义呅兑䅯䅂䍁䅧䅯村䅁䅁䅅䅁䉁䅁䅁权䑂䅁䅁䍄䉁䅁䅁兂䅁䅁䅍睁䅁䅁䅕䅁䅁䅁睄啣䙁䅁䅁䅁杁到䉎权䕁䅁䅋权卂䅁䅁允䅁䅁䅅䅁䭁䙁䅍䅁䵁䅉䅅䅁䙁䅁䅁睁䑁䅁䅁兂䅁䅁䅁偁硂䅑䅕䅁䅁䅁剺ぅ䭅䅁䅑潁䭁䙁䅁䅁䉁䅁䅁允䅁䅁䅯兕䅁䅁杷允䅁䅁䅕䅁䑁䅁䅍䅁䙁䅁䅁䅁䅁䠸䅆兂䅁䅁䅁乊呅兑䅯䅂䍁䅧䅯䅖䅁䅁䅅䅁䉁䅁䅁权噂䅁䅁䍄䉁䅁䅁杂䅁䅁䅍睁䅁䅁䅕䅁䅁䅁睄啣䙁䅁䅁䅁䵃栱䉎权䕁䅁䅋权㉃䅁䅁权䅂䅁䅁允䅁䅁䅅䅁䭁䱁䅣䅁䵁䅉䅅䅁䙁䅁䅁睁䑁䅁䅁兂䅁䅁䅁偁硂䅑䅕䅁䅁䉁剪ぅ䭅䅁䅑潁䭁䙁䅉䅁䉁䅁䅁允䅁䅁䅯睕䅁䅁杷允䅁䅁䅕䅁䑁䅁䅍䅁䙁䅁䅁䅁䅁䠸䅆兂䅁䅁䅁久呅兑䅯䅂䍁䅧䅯䅒䅁䅁䅅䅁䉁䅁䅁权䙂䅁䅁䍄䉁䅁䅁兂䅁䅁䅍睁䅁䅁䅕䅁䅁䅁睄啣䙁䅁䅁䅁䥁到䉎权䕁䅁䅋权䵂䅁䅁允䅁䅁䅅䅁䭁䕁䄰䅁䵁䅉䅅䅁䙁䅁䅁睁䑁䅁䅁兂䅁䅁䅁偁硂䅑䅕䅁䅁䍁剔ぅ䭅䅁䅑潁䭁䉁䍫䅁䉁䅁䅁允䅁䅁䅯杇䅉䅁杷允䅁䅁䅕䅁䑁䅁䅍䅁䙁䅁䅁䅁䅁䠸䅆兂䅁䅁䅁乇呅兑䅯䅂䍁䅧䅯杓䅁䅁䅅䅁䉁䅁䅁权䱂䅁䅁䍄䉁䅁䅁兂䅁䅁䅍睁䅁䅁䅕䅁䅁䅁睄啣䙁䅁䅁䅁歁到䉎权䕁䅁䅋权䥂䅁䅁允䅁䅁䅅䅁䭁䕁䅫䅁䵁䅉䅅䅁䙁䅁䅁睁䑁䅁䅁兂䅁䅁䅁偁硂䅑䅕䅁䅁䅁剔ぅ䭅䅁䅑潁䭁䕁䅑䅁䉁䅁䅁允䅁䅁䅯兒䅁䅁杷允䅁䅁䅕䅁䑁䅁䅍䅁䙁䅁䅁䅁䅁䠸䅆兂䅁䅁䅁久呅兑䅯䅂䍁䅧䅯䅕䅁䅁䅅䅁䉁䅁䅁权剂䅁䅁䍄䉁䅁䅁兂䅁䅁䅍睁䅁䅁䅕䅁䅁䅁睄啣䙁䅁䅁䅁允到䉎权䕁䅁䅋权䍂䅁䅁允䅁䅁䅅䅁䭁䕁䅍䅁䵁䅉䅅䅁䙁䅁䅁睁䑁䅁䅁兂䅁䅁䅁偁硂䅑䅕䅁䅁䉁剔ぅ䭅䅁䅑潁䭁䕁䅑䅁䉁䅁䅁允䅁䅁䅯兒䅁䅁杷允䅁䅁䅙䅁䑁䅁䅍䅁䙁䅁䅁䅁䅁䠸䅆兂䅁䅁䅁乩呙兑䅯䅂䍁䅧䅯䅲䅁䅁䅯䅑䅁䅁䅅䅁䉁䅁䅁权瑃䅁䅁䍄䉁䅁䅁杂䅁䅁䅍睁䅁䅁䅕䅁䅁䅁睄啣䙁䅁䅁䅁元栱䉎权䕁䅁䅋权獃䅁䅁权䅂䅁䅁允䅁䅁䅅䅁䭁䭁䄰䅁䵁䅉䅅䅁䙁䅁䅁睁䑁䅁䅁兂䅁䅁䅁偁硂䅑䅕䅁䅁䉁剔ぅ䭅䅁䅑潁䭁䕁䅧䅁䉁䅁䅁允䅁䅁䅯兓䅁䅁杷允䅁䅁䅕䅁䑁䅁䅍䅁䙁䅁䅁䅁䅁䠸䅆兂䅁䅁䅁乆呅兑䅯䅂䍁䅧䅯杕䅁䅁䅅䅁䉁䅁䅁权呂䅁䅁䍄䉁䅁䅁兂䅁䅁䅍睁䅁䅁䅕䅁䅁䅁睄啣䙁䅁䅁䅁啁到䉎权䕁䅁䅋权䭂䅁䅁允䅁䅁䅅䅁䭁䕁䅳䅁䵁䅉䅅䅁䙁䅁䅁睁䑁䅁䅁兂䅁䅁䅁偁硂䅑䅕䅁䅁䉁剔ぅ䭅䅁䅑潁䭁䑁䄸䅁䉁䅁䅁允䅁䅁䅯兑䅁䅁杷允䅁䅁䅕䅁䑁䅁䅍䅁䙁䅁䅁䅁䅁䠸䅆兂䅁䅁䅁么呅兑䅯䅂䍁䅧䅯䅔䅁䅁䅅䅁䉁䅁䅁权乂䅁䅁䍄䉁䅁䅁兂䅁䅁䅍睁䅁䅁䅕䅁䅁䅁睄啣䙁䅁䅁䅁歁到䉎权䕁䅁䅋权橄允䅁允䅁䅁䅅䅁䭁佁䉑䅁䵁䅉䅅䅁䩁䅁䅁䍄䉁䅁䅁睂䅁䅁䅯杕䅙䅁䅕䅁䅁䅁睄啣䭁䙁䝍䅁䭁䙁䝑䅁䭁䙁䝕䅁䭁䅁䅑潁䭁䉁䅕䅁啁䝁塒䕭㍤楹瑱䅆婂捦睉㉵䥶硪䅑䩈慄橔䍒㍚啑䉁䵫佐慊即⽙䅆坂火祫伫摉桒䅑䙚奥㍒䭦煋唰䥁䉐唯敒歅乌䅆楃兕佒䝵硌䅍䅅䅁䉁䅁䅁权䱁䅁䅁䍄䉁䅁䅁兂䅁䅁䅍睁䅁䅁䅕䅁䅁䅁睄啣䙁䅁䅁䅁捁到䉎权䕁䅁䅋权⽁䅁䅁允䅁䅁䅅䅁䭁䕁䅅䅁䵁䅉䅅䅁䙁䅁䅁睁䑁䅁䅁兂䅁䅁䅁偁硂䅑䅕䅁䅁䉁剺ぅ䭅䅁䅑潁䭁䕁䅯䅁䉁䅁䅁允䅁䅁䅯睓䅁䅁杷允䅁䅁䅕䅁䑁䅁䅍䅁䙁䅁䅁䅁䅁䠸䅆兂䅁䅁䅁乊呅兑䅯䅂䍁䅧䅯杕䅁䅁䅅䅁䉁䅁䅁权呂䅁䅁䍄䉁䅁䅁兂䅁䅁䅍睁䅁䅁䅕䅁䅁䅁睄啣䙁䅁䅁䅁歁到䉎权䕁䅁䅋权䭂䅁䅁允䅁䅁䅅䅁䭁䕁䅳䅁䵁䅉䅅䅁䙁䅁䅁睁䑁䅁䅁兂䅁䅁䅁偁硂䅑䅕䅁䅁䉁剺ぅ䭅䅁䅑潁䭁䕁䅉䅁䉁䅁䅁允䅁䅁䅯睑䅁䅁杷允䅁䅁䅕䅁䑁䅁䅍䅁䙁䅁䅁䅁䅁䠸䅆兂䅁䅁䅁乊呅兑䅯䅂䍁䅧䅯䅕䅁䅁䅅䅁䉁䅁䅁权剂䅁䅁䍄䉁䅁䅁兂䅁䅁䅍睁䅁䅁䅕䅁䅁䅁睄啣䙁䅁䅁䅁歁到䉎权䕁䅁䅋权㕄允䅁允䅁䅁䅅䅁䭁偁䉯䅁䵁䅉䅅䅁䙁䅁䅁睁䑁䅁䅁兂䅁䅁䅁偁硂䅑䅕䅁䅁䉁剺ぅ䭅䅁䅑潁䭁䕁䄴䅁䉁䅁䅁允䅁䅁䅯睔䅁䅁杷允䅁䅁䅕䅁䑁䅁䅍䅁䙁䅁䅁䅁䅁䠸䅆兂䅁䅁䅁么呅兑䅯䅂䍁䅧䅯䅒䅁䅁䅅䅁䉁䅁䅁权䙂䅁䅁䍄䉁䅁䅁兂䅁䅁䅍睁䅁䅁䅕䅁䅁䅁睄啣䙁䅁䅁䅁捁到䉎权䕁䅁䅋权䥂䅁䅁允䅁䅁䅅䅁䭁䕁䅫䅁䵁䅉䅅䅁䙁䅁䅁睁䑁䅁䅁兂䅁䅁䅁偁硂䅑䅕䅁䅁䉁剺ぅ䭅䅁䅑潁䭁䙁䅁䅁䉁䅁䅁允䅁䅁䅯兕䅁䅁杷允䅁䅁䅕䅁䑁䅁䅍䅁䙁䅁䅁䅁䅁䠸䅆兂䅁䅁䅁么呅兑䅯䅂䍁䅧䅯䅖䅁䅁䅅䅁䉁䅁䅁权噂䅁䅁䍄䉁䅁䅁兂䅁䅁䅍睁䅁䅁䅕䅁䅁䅁睄啣䙁䅁䅁䅁歁到䉎权䕁䅁䅋权⽄允䅁允䅁䅁䅅䅁䭁䅁䍁䅁䵁䅉䅅䅁䙁䅁䅁睁䑁䅁䅁兂䅁䅁䅁偁硂䅑䅕䅁䅁䉁剺ぅ䭅䅁䅑潁䭁䕁䅙䅁䉁䅁䅁允䅁䅁䅯睒䅁䅁杷允䅁䅁䅕䅁䑁䅁䅍䅁䙁䅁䅁䅁䅁䠸䅆兂䅁䅁䅁乍呅兑䅯䅂䍁䅧䅯杓䅁䅁䅅䅁䉁䅁䅁权䱂䅁䅁䍄䉁䅁䅁兂䅁䅁䅍睁䅁䅁䅕䅁䅁䅁睄啣䙁䅁䅁䅁歁到䉎权䕁䅁䅋权佂䅁䅁允䅁䅁䅅䅁䭁䕁䄸䅁䵁䅉䅅䅁䙁䅁䅁睁䑁䅁䅁兂䅁䅁䅁偁硂䅑䅕䅁䅁䍁剺ぅ䭅䅁䅑潁䭁䙁䅁䅁䉁䅁䅁允䅁䅁䅯兕䅁䅁杷允䅁䅁䅕䅁䑁䅁䅍䅁䙁䅁䅁䅁䅁䠸䅆兂䅁䅁䅁乑呅兑䅯䅂䍁䅧䅯杔䅁䅁䅅䅁䉁䅁䅁权偂䅁䅁䍄䉁䅁䅁兂䅁䅁䅍睁䅁䅁䅕䅁䅁䅁睄啣䙁䅁䅁䅁䅂到䉎权䕁䅁䅋权兂䅁䅁允䅁䅁䅅䅁䭁䙁䅅䅁䵁䅉䅅䅁䙁䅁䅁睁䑁䅁䅁兂䅁䅁䅁偁硂䅑䅕䅁䅁䕁剄ぅ䭅䅁䅑潁䭁䕁䅑䅁䉁䅁䅁允䅁䅁䅯兒䅁䅁杷允䅁䅁䅕䅁䑁䅁䅍䅁䙁䅁䅁䅁䅁䠸䅆兂䅁䅁䅁乑呅兑䅯䅂䍁䅧䅯杒䅁䅁䅅䅁䉁䅁䅁权䡂䅁䅁䍄䉁䅁䅁兂䅁䅁䅍睁䅁䅁䅕䅁䅁䅁睄啣䙁䅁䅁䅁歁到䉎权䕁䅁䅋权睃䅁䅁允䅁䅁䅅䅁䭁䱁䅅䅁䵁䅉䅅䅁䙁䅁䅁睁䑁䅁䅁兂䅁䅁䅁偁硂䅑䅕䅁䅁䍁剔ぅ䭅䅁䅑潁䭁佁䈸䅁䉁䅁䅁允䅁䅁䅯䄸䅅䅁杷允䅁䅁䅕䅁䑁䅁䅍䅁䙁䅁䅁䅁䅁䠸䅆兂䅁䅁䅁乌呅兑䅯䅂䍁䅧䅯䅒䅁䅁䅅䅁䉁䅁䅁权䙂䅁䅁䍄䉁䅁䅁兂䅁䅁䅍睁䅁䅁䅕䅁䅁䅁睄啣䙁䅁䅁䅁歁到䉎权䕁䅁䅋权㑃䅁䅁允䅁䅁䅅䅁䭁䱁䅫䅁䵁䅉䅅䅁䩁䅁䅁䍄䉁䅁䅁睂䅁䅁䅯材䅙䅁䅕䅁䅁䅁睄啣䭁䑁䜸䅁䭁䕁䝁䅁䭁䕁䝅䅁䭁䅁䅑潁䭁䉁䅕䅁啁䝁塒䕭㍤楹瑱䅆婂捦睉㉵䥶硪䅑䩈慄橔䍒㍚啑䉁䵫佐慊即⽙䅆灄扩䕩睘䉺䉧䅑䙚奥㍒䭦煋唰䥁䉐唯敒歅乌䅆楃兕佒䝵硌䅍䅅䅁䉁䅁䅁权䱁䅁䅁䍄䉁䅁䅁兂䅁䅁䅍睁䅁䅁䅕䅁䅁䅁睄啣䙁䅁䅁䅁睁到䉎权䕁䅁䅋权佂䅁䅁允䅁䅁䅅䅁䭁䕁䄸䅁䵁䅉䅅䅁䙁䅁䅁睁䑁䅁䅁兂䅁䅁䅁偁硂䅑䅕䅁䅁䑁剔ぅ䭅䅁䅑潁䭁䕁䅑䅁䉁䅁䅁允䅁䅁䅯兒䅁䅁杷允䅁䅁䅕䅁䑁䅁䅍䅁䙁䅁䅁䅁䅁䠸䅆兂䅁䅁䅁乌呅兑䅯䅂䍁䅧䅯杓䅁䅁䅅䅁䉁䅁䅁权䱂䅁䅁䍄䉁䅁䅁元䅁䅁杷允䅁䅁䅣䅁䭁䕁䜴䅁䙁䅁䅁䅁䅁䠸䅆权偂杂䅁权兂杂䅁权剂杂䅁权䕁䅁䅋权噁䅁䅁䅆歂㕖䡨㡤煯割䅑塗䌳䱍牴䥹唸䉁兹欲〴浑つ䅆婁䑄楺牗浅硐䅑祲湯丫䙓偩啯䝁塒䕭㍤楹瑱䅆䑃晷䔱桘䍊剺䅑汯䕅牔楨吸䉁䅁䅁允䅁䅁䅯睃䅁䅁杷允䅁䅁䅫䅁䵁䅉䅅䅁䡁䅁䅁权坂杂䅁兂䅁䅁䅁偁硂䅑䅯睖䅙䅁䅯䅗䅙䅁䅯兗䅙䅁䅯䅂䍁䅧䅯兆䅁䉁䅑䙚奥㍒䭦煋唰䙁㥬橷㝃㡡偩䅆捁乫佰䕎湊䉤䅑兇㡷水硱橊唸䩁発㉇⼹坉敏䅆歂㕖䡨㡤煯割䅑㡧㥈䙒匴獑唰䭁削䕂㐶癙睅允䅁䅁䅅䅁䭁䅁䅳䅁䵁䅉䅅䅁䙁䅁䅁睁䑁䅁䅁兂䅁䅁䅁偁硂䅑䅕䅁䅁䍁剺ぅ䭅䅁䅑潁䭁䙁䅉䅁䉁䅁䅁允䅁䅁䅯睕䅁䅁杷允䅁䅁䅕䅁䑁䅁䅍䅁䙁䅁䅁䅁䅁䠸䅆兂䅁䅁䅁乎呅兑䅯䅂䍁䅧䅯村䅁䅁䅅䅁䉁䅁䅁权䑂䅁䅁䍄䉁䅁䅁兂䅁䅁䅍睁䅁䅁䅕䅁䅁䅁睄啣䙁䅁䅁䅁ぁ到䉎权䕁䅁䅋权䵂䅁䅁允䅁䅁䅅䅁䭁䕁䄰䅁䵁䅉䅅䅁䙁䅁䅁睁䑁䅁䅁兂䅁䅁䅁偁硂䅑䅕䅁䅁䑁剔ぅ䭅䅁䅑潁䭁䑁䄸䅁䉁䅁䅁允䅁䅁䅯兑䅁䅁杷允䅁䅁䅕䅁䑁䅁䅍䅁䙁䅁䅁䅁䅁䠸䅆兂䅁䅁䅁乎呅兑䅯䅂䍁䅧䅯䅕䅁䅁䅅䅁䉁䅁䅁权剂䅁䅁䍄䉁䅁䅁兂䅁䅁䅍睁䅁䅁䅕䅁䅁䅁睄啣䙁䅁䅁䅁ぁ到䉎权䕁䅁䅋权佂䅁䅁允䅁䅁䅅䅁䭁䕁䄸䅁䵁䅉䅅䅁䙁䅁䅁睁䑁䅁䅁兂䅁䅁䅁偁硂䅑䅕䅁䅁䑁剔ぅ䭅䅁䅑潁䭁䕁䅙䅁䉁䅁䅁允䅁䅁䅯睒䅁䅁杷允䅁䅁䅕䅁䑁䅁䅍䅁䙁䅁䅁䅁䅁䠸䅆兂䅁䅁䅁乊呅兑䅯䅂䍁䅧䅯先䅉䅁䅅䅁䉁䅁䅁权敁杁䅁䍄䉁䅁䅁兂䅁䅁䅍睁䅁䅁䅕䅁䅁䅁睄啣䙁䅁䅁䅁睁到䉎权䕁䅁䅋权䕂䅁䅁允䅁䅁䅅䅁䭁䕁䅕䅁䵁䅉䅅䅁䙁䅁䅁睁䑁䅁䅁兂䅁䅁䅁偁硂䅑䅕䅁䅁䍁剔ぅ䭅䅁䅑潁䭁䅁䍫䅁䉁䅁䅁允䅁䅁䅯权䅉䅁杷允䅁䅁䅕䅁䑁䅁䅍䅁䙁䅁䅁䅁䅁䠸䅆兂䅁䅁䅁乍呅兑䅯䅂䍁䅧䅯杕䅁䅁䅅䅁䉁䅁䅁权呂䅁䅁䍄䉁䅁䅁兂䅁䅁䅍睁䅁䅁䅕䅁䅁䅁睄啣䙁䅁䅁䅁獁到䉎权䕁䅁䅋权䵂䅁䅁允䅁䅁䅅䅁䭁䕁䄰䅁䵁䅉䅅䅁䙁䅁䅁睁䑁䅁䅁兂䅁䅁䅁偁硂䅑䅕䅁䅁䍁剔ぅ䭅䅁䅑潁䭁䉁䌸䅁䉁䅁䅁允䅁䅁䅯䅉䅉䅁杷允䅁䅁䅕䅁䑁䅁䅍䅁䙁䅁䅁䅁䅁䠸䅆兂䅁䅁䅁乌呅兑䅯䅂䍁䅧䅯睐䅁䅁䅅䅁䉁䅁䅁权䉂䅁䅁䍄䉁䅁䅁兂䅁䅁䅍睁䅁䅁䅕䅁䅁䅁睄啣䙁䅁䅁䅁歁到䉎权䕁䅁䅋权扄允䅁允䅁䅁䅅䅁䭁乁䉷䅁䵁䅉䅅䅁䙁䅁䅁睁䑁䅁䅁兂䅁䅁䅁偁硂䅑䅕䅁䅁䍁剔ぅ䭅䅁䅑潁䭁䱁䅯䅁䉁䅁䅁允䅁䅁䅯睵䅁䅁杷允䅁䅁䅕䅁䑁䅁䅍䅁䙁䅁䅁䅁䅁䠸䅆兂䅁䅁䅁乌呅兑䅯䅂䍁䅧䅯䅖䅁䅁䅅䅁䉁䅁䅁权噂䅁䅁䍄䉁䅁䅁元䅁䅁杷允䅁䅁䅣䅁䭁䅁䝅䅁䙁䅁䅁䅁䅁䠸䅆权䍁杂䅁权䑁杂䅁权䕁杂䅁权䕁䅁䅋权噁䅁䅁䅆歂㕖䡨㡤煯割䅑穚牮汚煆朵啉䉁兹欲〴浑つ䅆䅁坪瘸圷獅䈯䅑空田灵㡥䝍啣䝁塒䕭㍤楹瑱䅆䑃晷䔱桘䍊剺䅑汯䕅牔楨吸䉁䅁䅁允䅁䅁䅯睃䅁䅁杷允䅁䅁䅕䅁䑁䅁䅍䅁䙁䅁䅁䅁䅁䠸䅆兂䅁䅁䅁乊呅兑䅯䅂䍁䅧䅯睆䅉䅁䅅䅁䉁䅁䅁权奁杁䅁䍄䉁䅁䅁兂䅁䅁䅍睁䅁䅁䅕䅁䅁䅁睄啣䙁䅁䅁䅁睁到䉎权䕁䅁䅋权兂䅁䅁允䅁䅁䅅䅁䭁䙁䅅䅁䵁䅉䅅䅁䙁䅁䅁睁䑁䅁䅁兂䅁䅁䅁偁硂䅑䅕䅁䅁䍁剺ぅ䭅䅁䅑潁䭁䕁䅧䅁䉁䅁䅁允䅁䅁䅯兓䅁䅁杷允䅁䅁䅫䅁䵁䅉䅅䅁䡁䅁䅁权桁杂䅁兂䅁䅁䅁偁硂䅑䅯杉䅙䅁䅯睉䅙䅁䅯䅊䅙䅁䅯杇䅁䅁䅯兆䅁䉁䅑䙚奥㍒䭦煋唰䉁汖灷䬳㍮塡䅆捁乫佰䕎湊䉤䅑汕⽦婕湷䩚啳䩁㙬㍒戴湓数䅆呃慷剪潑噁剬䅑䵱㐯硎呦ㅓ啯䭁削䕂㐶癙睅允䅁䅁䅅䅁䭁䅁䅳䅁䵁䅉䅅䅁䙁䅁䅁睁䑁䅁䅁兂䅁䅁䅁偁硂䅑䅕䅁䅁䑁剄ぅ䭅䅁䅑潁䭁䕁䅉䅁䉁䅁䅁允䅁䅁䅯睑䅁䅁杷允䅁䅁䅕䅁䑁䅁䅍䅁䙁䅁䅁䅁䅁䠸䅆兂䅁䅁䅁乊呅兑䅯䅂䍁䅧䅯兄䅉䅁䅅䅁䉁䅁䅁权佁杁䅁䍄䉁䅁䅁兂䅁䅁䅍睁䅁䅁䅕䅁䅁䅁睄啣䙁䅁䅁䅁歁到䉎权䕁䅁䅋权扁杁䅁允䅁䅁䅅䅁䭁䉁䍷䅁䵁䅉䅅䅁䙁䅁䅁睁䑁䅁䅁兂䅁䅁䅁偁硂䅑䅕䅁䅁䍁剔ぅ䭅䅁䅑潁䭁䭁䅷䅁䉁䅁䅁允䅁䅁䅯兲䅁䅁杷允䅁䅁䅕䅁䑁䅁䅍䅁䙁䅁䅁䅁䅁䠸䅆兂䅁䅁䅁乊呅兑䅯䅂䍁䅧䅯兂䅉䅁䅅䅁䉁䅁䅁权䝁杁䅁䍄䉁䅁䅁元䅁䅁杷允䅁䅁䅣䅁䭁䅁䝫䅁䙁䅁䅁䅁䅁䠸䅆权䭁杂䅁权䱁杂䅁权䵁杂䅁权慁䅁䅁权噁䅁䅁䅆歂㕖䡨㡤煯割䅑坆䍘据晱灤啣䉁兹欲〴浑つ䅆卂⽖刹䍮此硭䅑㝹㕌琸佶潖啫䩁䉐乱䍆䉧噗䅆潃⽺㍧㥆䱎桗䅑汯䕅牔楨吸䉁䅁䅁允䅁䅁䅯睃䅁䅁杷允䅁䅁䅕䅁䑁䅁䅍䅁䙁䅁䅁䅁䅁䠸䅆兂䅁䅁䅁乊呅兑䅯䅂䍁䅧䅯儹䅅䅁䅅䅁䉁䅁䅁权㉄允䅁䍄䉁䅁䅁兂䅁䅁䅍睁䅁䅁䅕䅁䅁䅁睄啣䙁䅁䅁䅁歁到䉎权䕁䅁䅋权呁杁䅁允䅁䅁䅅䅁䭁䉁䍑䅁䵁䅉䅅䅁䝁䅁䅁睁䑁䅁䅁兂䅁䅁䅁偁硂䅑䅕䅁䅁䥁坺ぅ䭅䅁䅑潁䭁䭁䅷䅁䭁䕁䅁䅁䉁䅁䅁允䅁䅁䅯兲䅁䅁杷允䅁䅁䅕䅁䑁䅁䅍䅁䙁䅁䅁䅁䅁䠸䅆兂䅁䅁䅁乊呅兑䅯䅂䍁䅧䅯杳䅁䅁䅅䅁䉁䅁䅁权穃䅁䅁䍄䉁䅁䅁兂䅁䅁䅍睁䅁䅁䅕䅁䅁䅁睄啣䙁䅁䅁䅁歁到䉎权䕁䅁䅋权硄允䅁允䅁䅁䅅䅁䭁偁䉉䅁䵁䅉䅅䅁䙁䅁䅁睁䑁䅁䅁兂䅁䅁䅁偁硂䅑䅕䅁䅁䍁剔ぅ䭅䅁䅑潁䭁乁䈸䅁䉁䅁䅁允䅁䅁䅯䄴䅅䅁杷允䅁䅁䅙䅁䑁䅁䅍䅁䙁䅁䅁䅁䅁䠸䅆兂䅁䅁䅁乫呙兑䅯䅂䍁䅧䅯杴䅁䅁䅯䅑䅁䅁䅅䅁䉁䅁䅁权㍃䅁䅁䍄䉁䅁䅁兂䅁䅁䅍睁䅁䅁䅕䅁䅁䅁睄啣䙁䅁䅁䅁歁到䉎权䕁䅁䅋权剁杁䅁允䅁䅁䅅䅁䭁䉁䍉䅁䵁䅉䅅䅁䝁䅁䅁睁䑁䅁䅁兂䅁䅁䅁偁硂䅑䅕䅁䅁䩁坪ぅ䭅䅁䅑潁䭁䭁䅯䅁䭁䕁䅁䅁䉁䅁䅁允䅁䅁䅯睱䅁䅁杷允䅁䅁䅙䅁䑁䅁䅍䅁䙁䅁䅁䅁䅁䠸䅆兂䅁䅁䅁乹呙兑䅯䅂䍁䅧䅯䅳䅁䅁䅯䅑䅁䅁䅅䅁䉁䅁䅁权硃䅁䅁䍄䉁䅁䅁兂䅁䅁䅍睁䅁䅁䅕䅁䅁䅁睄啣䙁䅁䅁䅁䅁偣䅸权䕁䅁䅋权扂允䅁允䅁䅁䅅䅁䭁䙁䉷䅁䵁䅉䅅䅁䙁䅁䅁睁䑁䅁䅁兂䅁䅁䅁偁硂䅑䅕䅁䅁䍁剔ぅ䭅䅁䅑潁䭁偁䉳䅁䉁䅁䅁允䅁䅁䅯䄯䅅䅁杷允䅁䅁䅙䅁䑁䅁䅍䅁䙁䅁䅁䅁䅁䠸䅆兂䅁䅁䅁丹呑兑䅯䅂䍁䅧䅯䅴䅁䅁䅯䅑䅁䅁䅅䅁䉁䅁䅁权ㅃ䅁䅁䍄䉁䅁䅁兂䅁䅁䅍睁䅁䅁䅕䅁䅁䅁睄啣䙁䅁䅁䅁歁到䉎权䕁䅁䅋权摄允䅁允䅁䅁䅅䅁䭁乁䈴䅁䵁䅉䅅䅁䝁䅁䅁睁䑁䅁䅁兂䅁䅁䅁偁硂䅑䅕䅁䅁䩁坔ぅ䭅䅁䅑潁䭁䱁䅉䅁䭁䕁䅁䅁䉁䅁䅁允䅁䅁䅯睳䅁䅁杷允䅁䅁䅕䅁䑁䅁䅍䅁䙁䅁䅁䅁䅁䠸䅆兂䅁䅁䅁乊呅兑䅯䅂䍁䅧䅯眵䅅䅁䅅䅁䉁䅁䅁权潄允䅁䍄䉁䅁䅁杂䅁䅁䅍睁䅁䅁䅕䅁䅁䅁睄啣䙁䅁䅁䅁い䈱䉎权䕁䅁䅋权畃䅁䅁权䅂䅁䅁允䅁䅁䅅䅁䭁䭁䄸䅁䵁䅉䅅䅁䝁䅁䅁睁䑁䅁䅁兂䅁䅁䅁偁硂䅑䅕䅁䅁䵁坔ぅ䭅䅁䅑潁䭁䭁䅷䅁䭁䕁䅁䅁䉁䅁䅁允䅁䅁䅯兲䅁䅁杷允䅁䅁䅕䅁䑁䅁䅍䅁䙁䅁䅁䅁䅁䠸䅆兂䅁䅁䅁乊呅兑䅯䅂䍁䅧䅯儷䅅䅁䅅䅁䉁䅁䅁权畄允䅁䍄䉁䅁䅁杂䅁䅁䅍睁䅁䅁䅕䅁䅁䅁睄啣䙁䅁䅁䅁䵃栱䉎权䕁䅁䅋权祃䅁䅁权䅂䅁䅁允䅁䅁䅅䅁䭁䱁䅍䅁䵁䅉䅅䅁䙁䅁䅁睁䑁䅁䅁兂䅁䅁䅁偁硂䅑䅕䅁䅁䍁剔ぅ䭅䅁䅑潁䭁䅁䍍䅁䉁䅁䅁允䅁䅁䅯䅂䅉䅁杷允䅁䅁䅙䅁䑁䅁䅍䅁䙁䅁䅁䅁䅁䠸䅆兂䅁䅁䅁乸呙兑䅯䅂䍁䅧䅯杳䅁䅁䅯䅑䅁䅁䅅䅁䉁䅁䅁权穃䅁䅁䍄䉁䅁䅁兂䅁䅁䅍睁䅁䅁䅕䅁䅁䅁睄啣䙁䅁䅁䅁歁到䉎权䕁䅁䅋权䉁杁䅁允䅁䅁䅅䅁䭁䅁䍉䅁䵁䅉䅅䅁䝁䅁䅁睁䑁䅁䅁兂䅁䅁䅁偁硂䅑䅕䅁䅁䥁坪ぅ䭅䅁䅑潁䭁䱁䅙䅁䭁䕁䅁䅁䉁䅁䅁允䅁䅁䅯睴䅁䅁杷允䅁䅁䅕䅁䑁䅁䅍䅁䙁䅁䅁䅁䅁䠸䅆兂䅁䅁䅁乊呅兑䅯䅂䍁䅧䅯兊䅉䅁䅅䅁䉁䅁䅁权流杁䅁䍄䉁䅁䅁杂䅁䅁䅍睁䅁䅁䅕䅁䅁䅁睄啣䙁䅁䅁䅁い䈱䉎权䕁䅁䅋权㑃䅁䅁权䅂䅁䅁允䅁䅁䅅䅁䭁䱁䅫䅁䵁䅉䅅䅁䙁䅁䅁睁䑁䅁䅁兂䅁䅁䅁偁硂䅑䅕䅁䅁䍁剔ぅ䭅䅁䅑潁䭁偁䉣䅁䉁䅁䅁允䅁䅁䅯䄫䅅䅁杷允䅁䅁䅙䅁䑁䅁䅍䅁䙁䅁䅁䅁䅁䠸䅆兂䅁䅁䅁乮呙兑䅯䅂䍁䅧䅯杳䅁䅁䅯䅑䅁䅁䅅䅁䉁䅁䅁权穃䅁䅁䍄䉁䅁䅁兂䅁䅁䅍睁䅁䅁䅕䅁䅁䅁睄啣䙁䅁䅁䅁歁到䉎权䕁䅁䅋权偁杁䅁允䅁䅁䅅䅁䭁䉁䍁䅁䵁䅉䅅䅁䝁䅁䅁睁䑁䅁䅁兂䅁䅁䅁偁硂䅑䅕䅁䅁䩁坺ぅ䭅䅁䅑潁䭁䱁䅁䅁䭁䕁䅁䅁䉁䅁䅁允䅁䅁䅯关䅁䅁杷允䅁䅁䅕䅁䑁䅁䅍䅁䙁䅁䅁䅁䅁䠸䅆兂䅁䅁䅁乊呅兑䅯䅂䍁䅧䅯䅴䅁䅁䅅䅁䉁䅁䅁权ㅃ䅁䅁䍄䉁䅁䅁杂䅁䅁䅍睁䅁䅁䅕䅁䅁䅁睄啣䙁䅁䅁䅁䥃栱䉎权䕁䅁䅋权睃䅁䅁权䅂䅁䅁允䅁䅁䅅䅁䭁䱁䅅䅁䵁䅉䅅䅁䝁䅁䅁睁䑁䅁䅁兂䅁䅁䅁偁硂䅑䅕䅁䅁䩁坺ぅ䭅䅁䅑潁䭁䱁䅙䅁䭁䕁䅁䅁䉁䅁䅁允䅁䅁䅯睴䅁䅁杷允䅁䅁䅙䅁䑁䅁䅍䅁䙁䅁䅁䅁䅁䠸䅆兂䅁䅁䅁乪呙兑䅯䅂䍁䅧䅯䅳䅁䅁䅯䅑䅁䅁䅅䅁䉁䅁䅁权硃䅁䅁䍄䉁䅁䅁杂䅁䅁䅍睁䅁䅁䅕䅁䅁䅁睄啣䙁䅁䅁䅁奃栱䉎权䕁䅁䅋权祃䅁䅁权䅂䅁䅁允䅁䅁䅅䅁䭁䱁䅍䅁䵁䅉䅅䅁䝁䅁䅁睁䑁䅁䅁兂䅁䅁䅁偁硂䅑䅕䅁䅁䩁坔ぅ䭅䅁䅑潁䭁䭁䅷䅁䭁䕁䅁䅁䉁䅁䅁允䅁䅁䅯兲䅁䅁杷允䅁䅁䅙䅁䑁䅁䅍䅁䙁䅁䅁䅁䅁䠸䅆兂䅁䅁䅁乮呙兑䅯䅂䍁䅧䅯䅲䅁䅁䅯䅑䅁䅁䅅䅁䉁䅁䅁权瑃䅁䅁䍄䉁䅁䅁杂䅁䅁䅍睁䅁䅁䅕䅁䅁䅁睄啣䙁䅁䅁䅁䵃栱䉎权䕁䅁䅋权煃䅁䅁权䅂䅁䅁允䅁䅁䅅䅁䭁䭁䅳䅁䵁䅉䅅䅁䝁䅁䅁睁䑁䅁䅁兂䅁䅁䅁偁硂䅑䅕䅁䅁䩁坄ぅ䭅䅁䅑潁䭁䱁䅁䅁䭁䕁䅁䅁䉁䅁䅁允䅁䅁䅯关䅁䅁杷允䅁䅁䅙䅁䑁䅁䅍䅁䙁䅁䅁䅁䅁䠸䅆兂䅁䅁䅁乸呙兑䅯䅂䍁䅧䅯東䅁䅁䅯䅑䅁䅁䅅䅁䉁䅁䅁权牃䅁䅁䍄䉁䅁䅁杂䅁䅁䅍睁䅁䅁䅕䅁䅁䅁睄啣䙁䅁䅁䅁䕄栱䉎权䕁䅁䅋权㉃䅁䅁权䅂䅁䅁允䅁䅁䅅䅁䭁䱁䅣䅁䵁䅉䅅䅁䩁䅁䅁䍄䉁䅁䅁睂䅁䅁䅯元䅙䅁䅕䅁䅁䅁睄啣䭁䅁䝯䅁䭁䅁䝳䅁䭁䅁䝷䅁䭁䉁䅯䅁䭁䉁䅕䅁啁䝁塒䕭㍤楹瑱䅆噁捚摋灹㈹硬䅑䩈慄橔䍒㍚啑䙁塊ㄯ捇㉊打䅆䱄癳祮㠲圵剩䅑儶㝚敷湺兌啙䭁偪䐫塣〰慴䅆楃兕佒䝵硌䅍䅅䅁䉁䅁䅁权䱁䅁䅁䍄䉁䅁䅁元䅁䅁杷允䅁䅁䅣䅁䭁䕁䝙䅁䙁䅁䅁䅁䅁䠸䅆权䡂杂䅁权䥂杂䅁权䩂杂䅁权䕁䅁䅋权噁䅁䅁䅆歂㕖䡨㡤煯割䅑塗䌳䱍牴䥹唸䉁兹欲〴浑つ䅆婁䑄楺牗浅硐䅑䩸剙⽣ㄲ楫啉䝁塒䕭㍤楹瑱䅆䑃晷䔱桘䍊剺䅑汯䕅牔楨吸䉁䅁䅁允䅁䅁䅯睃䅁䅁杷允䅁䅁䅫䅁䵁䅉䅅䅁䡁䅁䅁权㥄兂䅁兂䅁䅁䅁偁硂䅑䅯术䅕䅁䅯眯䅕䅁䅯䅁䅙䅁䅯䅂䍁䅧䅯兆䅁䉁䅑䙚奥㍒䭦煋唰䉁汖灷䬳㍮塡䅆捁乫佰䕎湊䉤䅑汕⽦婕湷䩚啳䍁湡䕋䭺偫步䅆灄湂䉶伷瑣桂䅑㡧㥈䙒匴獑唰䭁削䕂㐶癙睅允䅁䅁䅅䅁䭁䅁䅳䅁䵁䅉䅅䅁䩁䅁䅁䍄䉁䅁䅁睂䅁䅁䅯杔䅙䅁䅕䅁䅁䅁睄啣䭁䕁䜸䅁䭁䙁䝁䅁䭁䙁䝅䅁䭁䅁䅑潁䭁䉁䅕䅁啁䝁塒䕭㍤楹瑱䅆婂捦睉㉵䥶硪䅑䩈慄橔䍒㍚啑䉁䵫佐慊即⽙䅆㉄番牱獳䝐硤䅑䙚奥㍒䭦煋唰䥁䉐唯敒歅乌䅆楃兕佒䝵硌䅍䅅䅁䉁䅁䅁权䱁䅁䅁䍄䉁䅁䅁元䅁䅁杷允䅁䅁䅣䅁䭁䉁䝅䅁䙁䅁䅁䅁䅁䠸䅆权十杂䅁权呁杂䅁权啁杂䅁权慁䅁䅁权噁䅁䅁䅆歂㕖䡨㡤煯割䅑坆䍘据晱灤啣䉁兹欲〴浑つ䅆卂⽖刹䍮此硭䅑㕭畺塌㔰婍唰佁䝫㡥獈礵䜰䅆潃⽺㍧㥆䱎桗䅑汯䕅牔楨吸䉁䅁䅁允䅁䅁䅯睃䅁䅁杷允䅁䅁䅫䅁䵁䅉䅅䅁䡁䅁䅁权摁杂䅁兂䅁䅁䅁偁硂䅑䅯杈䅙䅁䅯睈䅙䅁䅯䅉䅙䅁䅯杇䅁䅁䅯兆䅁䉁䅑䙚奥㍒䭦煋唰䉁汖灷䬳㍮塡䅆捁乫佰䕎湊䉤䅑汕⽦婕湷䩚啳䉁晢⭌㙨⼳お䅆灄湂䉶伷瑣桂䅑䵱㐯硎呦ㅓ啯䭁削䕂㐶癙睅允䅁䅁䅅䅁䭁䅁䅳䅁䵁䅉䅅䅁䩁䅁䅁䍄䉁䅁䅁睂䅁䅁䅯杍䅙䅁䅕䅁䅁䅁睄啣䭁䑁䝍䅁䭁䑁䝑䅁䭁䑁䝕䅁䭁䉁䅯䅁䭁䉁䅕䅁啁䝁塒䕭㍤楹瑱䅆噁捚摋灹㈹硬䅑䩈慄橔䍒㍚啑䙁塊ㄯ捇㉊打䅆㝃䥴丸㡬穲桡䅑儶㝚敷湺兌啙䭁偪䐫塣〰慴䅆楃兕佒䝵硌䅍䅅䅁䉁䅁䅁权䱁䅁䅁䍄䉁䅁䅁元䅁䅁杷允䅁䅁䅣䅁䭁䙁䝯䅁䙁䅁䅁䅁䅁䠸䅆权扂杂䅁权捂杂䅁权摂杂䅁权䕁䅁䅋权噁䅁䅁䅆歂㕖䡨㡤煯割䅑塗䌳䱍牴䥹唸䉁兹欲〴浑つ䅆婁䑄楺牗浅硐䅑框祭䥳噄癄啫䝁塒䕭㍤楹瑱䅆䑃晷䔱桘䍊剺䅑汯䕅牔楨吸䉁䅁䅁允䅁䅁䅯睃䅁䅁杷允䅁䅁䅫䅁䵁䅉䅅䅁䡁䅁䅁权桁杂䅁兂䅁䅁䅁偁硂䅑䅯杉䅙䅁䅯睉䅙䅁䅯䅊䅙䅁䅯杇䅁䅁䅯兆䅁䉁䅑䙚奥㍒䭦煋唰䉁汖灷䬳㍮塡䅆捁乫佰䕎湊䉤䅑汕⽦婕湷䩚啳䩁㙬㍒戴湓数䅆灄湂䉶伷瑣桂䅑䵱㐯硎呦ㅓ啯䭁削䕂㐶癙睅允䅁䅁䅅䅁䭁䅁䅳䅁䵁䅉䅅䅁䩁䅁䅁䍄䉁䅁䅁睂䅁䅁䅯杍䅙䅁䅕䅁䅁䅁睄啣䭁䑁䝍䅁䭁䑁䝑䅁䭁䑁䝕䅁䭁䉁䅯䅁䭁䉁䅕䅁啁䝁塒䕭㍤楹瑱䅆噁捚摋灹㈹硬䅑䩈慄橔䍒㍚啑䙁塊ㄯ捇㉊打䅆㝃䥴丸㡬穲桡䅑㡫潇唰䅋婆啕䭁偪䐫塣〰慴䅆楃兕佒䝵硌䅍䅅䅁䉁䅁䅁权䱁䅁䅁䍄䉁䅁䅁元䅁䅁杷允䅁䅁䅣䅁䭁䑁䝙䅁䙁䅁䅁䅁䅁䠸䅆权㍁杂䅁权㑁杂䅁权㕁杂䅁权慁䅁䅁权噁䅁䅁䅆歂㕖䡨㡤煯割䅑嘷桐㍒㈫敶啫䉁兹欲〴浑つ䅆婁䑄楺牗浅硐䅑瀱灍慈圱剂啙佁洳坄䱈ㅓ汰䅆潃⽺㍧㥆䱎桗䅑汯䕅牔楨吸䉁䅁䅁允䅁䅁䅯睃䅁䅁杷允䅁䅁䅫䅁䵁䅉䅅䅁䡁䅁䅁权㙁杂䅁兂䅁䅁䅁偁硂䅑䅯睏䅙䅁䅯䅐䅙䅁䅯児䅙䅁䅯䅂䍁䅧䅯兆䅁䉁䅑䙚奥㍒䭦煋唰䙁㥬橷㝃㡡偩䅆捁乫佰䕎湊䉤䅑兇㡷水硱橊唸乁䜹あ畏噪䱍䅆歂㕖䡨㡤煯割䅑㡧㥈䙒匴獑唰䭁削䕂㐶癙睅允䅁䅁䅅䅁䭁䅁䅳䅁䵁䅉䅅䅁䩁䅁䅁䍄䉁䅁䅁睂䅁䅁䅯材䅙䅁䅕䅁䅁䅁睄啣䭁䑁䜸䅁䭁䕁䝁䅁䭁䕁䝅䅁䭁䅁䅑潁䭁䉁䅕䅁啁䝁塒䕭㍤楹瑱䅆婂捦睉㉵䥶硪䅑䩈慄橔䍒㍚啑䉁䵫佐慊即⽙䅆睃瑫⽹䉨䕘前䅑䙚奥㍒䭦煋唰䥁䉐唯敒歅乌䅆楃兕佒䝵硌䅍䅅䅁䉁䅁䅁权䱁䅁䅁䍄䉁䅁䅁元䅁䅁杷允䅁䅁䅣䅁䭁䉁䝕䅁䙁䅁䅁䅁䅁䠸䅆权坁杂䅁权塁杂䅁权奁杂䅁权䕁䅁䅋权噁䅁䅁䅆歂㕖䡨㡤煯割䅑穚牮汚煆朵啉䉁兹欲〴浑つ䅆䅁坪瘸圷獅䈯䅑呃䕦杇乓摁唸䝁塒䕭㍤楹瑱䅆䑃晷䔱桘䍊剺䅑汯䕅牔楨吸䉁䅁䅁允䅁䅁䅯睃䅁䅁杷允䅁䅁䅫䅁䵁䅉䅅䅁䡁䅁䅁权煁杂䅁兂䅁䅁䅁偁硂䅑䅯睋䅙䅁䅯䅌䅙䅁䅯兌䅙䅁䅯䅂䍁䅧䅯兆䅁䉁䅑䙚奥㍒䭦煋唰䕁公硏䥖䩂癖䅆捁乫佰䕎湊䉤䅑䥁瘱⭌栱偌啷䑁睳䬫海䉖硉䅆歂㕖䡨㡤煯割䅑㡧㥈䙒匴獑唰䭁削䕂㐶癙睅允䅁䅁䅅䅁䭁䅁䅳䅁䵁䅉䅅䅁䩁䅁䅁䍄䉁䅁䅁睂䅁䅁䅯村䅙䅁䅕䅁䅁䅁睄啣䭁䕁䝍䅁䭁䕁䝑䅁䭁䕁䝕䅁䭁䅁䅑潁䭁䉁䅕䅁啁䝁塒䕭㍤楹瑱䅆婂捦睉㉵䥶硪䅑䩈慄橔䍒㍚啑䉁䵫佐慊即⽙䅆獄㤷潧瑹䨷硵䅑䙚奥㍒䭦煋唰䥁䉐唯敒歅乌䅆楃兕佒䝵硌䅍䅅䅁䉁䅁䅁权䱁䅁䅁䍄䉁䅁䅁元䅁䅁杷允䅁䅁䅣䅁䭁䕁䝯䅁䙁䅁䅁䅁䅁䠸䅆权䱂杂䅁权䵂杂䅁权乂杂䅁权䕁䅁䅋权噁䅁䅁䅆歂㕖䡨㡤煯割䅑塗䌳䱍牴䥹唸䉁兹欲〴浑つ䅆婁䑄楺牗浅硐䅑䍮穎㙪䙏捑啅䝁塒䕭㍤楹瑱䅆䑃晷䔱桘䍊剺䅑汯䕅牔楨吸䉁䅁䅁允䅁䅁䅯睃䅁䅁杷允䅁䅁䅫䅁䵁䅉䅅䅁䡁䅁䅁权卂杂䅁兂䅁䅁䅁偁硂䅑䅯睕䅙䅁䅯䅖䅙䅁䅯兖䅙䅁䅯䅂䍁䅧䅯兆䅁䉁䅑䙚奥㍒䭦煋唰䙁㥬橷㝃㡡偩䅆捁乫佰䕎湊䉤䅑兇㡷水硱橊唸䕁㑖湹㔰扏獨䅆歂㕖䡨㡤煯割䅑㡧㥈䙒匴獑唰䭁削䕂㐶癙睅允䅁䅁䅅䅁䭁䅁䅳䅁䵁䅉䅅䅁䩁䅁䅁䍄䉁䅁䅁睂䅁䅁䅯儯䅕䅁䅕䅁䅁䅁睄啣䭁偁䘴䅁䭁偁䘸䅁䭁䅁䝁䅁䭁䅁䅑潁䭁䉁䅕䅁啁䝁塒䕭㍤楹瑱䅆噁捚摋灹㈹硬䅑䩈慄橔䍒㍚啑䙁塊ㄯ捇㉊打䅆流祰䵨灹㍄䉰䅑㡫潇唰䅋婆啕䥁䉐唯敒歅乌䅆楃兕佒䝵硌䅍䅅䅁䉁䅁䅁权䱁䅁䅁䍄䉁䅁䅁元䅁䅁杷允䅁䅁䅣䅁䭁䅁䝕䅁䙁䅁䅁䅁䅁䠸䅆权䝁杂䅁权䡁杂䅁权䥁杂䅁权慁䅁䅁权噁䅁䅁䅆歂㕖䡨㡤煯割䅑坆䍘据晱灤啣䉁兹欲〴浑つ䅆卂⽖刹䍮此硭䅑栵卶㕅䙅䝹啯䩁䉐乱䍆䉧噗䅆潃⽺㍧㥆䱎桗䅑汯䕅牔楨吸䉁䅁䅁允䅁䅁䅯睃䅁䅁杷允䅁䅁䅫䅁䵁䅉䅅䅁䡁䅁䅁权畁杂䅁兂䅁䅁䅁偁硂䅑䅯睌䅙䅁䅯䅍䅙䅁䅯免䅙䅁䅯杇䅁䅁䅯兆䅁䉁䅑䙚奥㍒䭦煋唰䉁汖灷䬳㍮塡䅆捁乫佰䕎湊䉤䅑汕⽦婕湷䩚啳䍁䜳捇⽎爵员䅆呃慷剪潑噁剬䅑䵱㐯硎呦ㅓ啯䭁削䕂㐶癙睅允䅁䅁䅅䅁䭁䅁䅳䅁䵁䅉䅅䅁䩁䅁䅁䍄䉁䅁䅁睂䅁䅁䅯李䅙䅁䅕䅁䅁䅁睄啣䭁䑁䝣䅁䭁䑁䝧䅁䭁䑁䝫䅁䭁䉁䅯䅁䭁䉁䅕䅁啁䝁塒䕭㍤楹瑱䅆瑄⭕䡆㝦㥡制䅑䩈慄橔䍒㍚啑䉁䵫佐慊即⽙䅆坄祫摫噲䙙框䅑㑹砫橷愫坪唰䭁偪䐫塣〰慴䅆楃兕佒䝵硌䅍䅅䅁䉁䅁䅁权䱁䅁䅁䍄䉁䅁䅁元䅁䅁杷允䅁䅁䅣䅁䭁䑁䝯䅁䙁䅁䅁䅁䅁䠸䅆权㝁杂䅁权㡁杂䅁权㥁杂䅁权䕁䅁䅋权噁䅁䅁䅆歂㕖䡨㡤煯割䅑塗䌳䱍牴䥹唸䉁兹欲〴浑つ䅆婁䑄楺牗浅硐䅑捤〵灦楊穵唸䝁塒䕭㍤楹瑱䅆䑃晷䔱桘䍊剺䅑汯䕅牔楨吸䉁䅁䅁允䅁䅁䅯睃䅁䅁杷允䅁䅁䅫䅁䵁䅉䅅䅁䡁䅁䅁权䉁杂䅁兂䅁䅁䅁偁硂䅑䅯杁䅙䅁䅯睁䅙䅁䅯䅂䅙䅁䅯䅂䍁䅧䅯兆䅁䉁䅑䙚奥㍒䭦煋唰䝁㕣㈶剚畡䍙䅆捁乫佰䕎湊䉤䅑䥁瘱⭌栱偌啷䑁牁ㅤ䱱砲刴䅆歂㕖䡨㡤煯割䅑㡧㥈䙒匴獑唰䭁削䕂㐶癙睅允䅁䅁䅅䅁䭁䅁䅳䅁䵁䅉䅅䅁䩁䅁䅁䍄䉁䅁䅁睂䅁䅁䅯兄䅙䅁䅕䅁䅁䅁睄啣䭁䅁䜴䅁䭁䅁䜸䅁䭁䉁䝁䅁䭁䅁䅑潁䭁䉁䅕䅁啁䝁塒䕭㍤楹瑱䅆湂敏浴坕浲桁䅑䩈慄橔䍒㍚啑䅁乃祢琯卙㡺䅆䡁㡑祤畉昰䉚䅑䙚奥㍒䭦煋唰䥁䉐唯敒歅乌䅆楃兕佒䝵硌䅍䅅䅁䉁䅁䅁权䱁䅁䅁䍄䉁䅁䅁元䅁䅁杷允䅁䅁䅣䅁䭁䉁䝕䅁䙁䅁䅁䅁䅁䠸䅆权坁杂䅁权塁杂䅁权奁杂䅁权䕁䅁䅋权噁䅁䅁䅆歂㕖䡨㡤煯割䅑穚牮汚煆朵啉䉁兹欲〴浑つ䅆䅁坪瘸圷獅䈯䅑噎乙㕢ㅵ睢啙䝁塒䕭㍤楹瑱䅆䑃晷䔱桘䍊剺䅑汯䕅牔楨吸䉁䅁䅁允䅁䅁䅯睃䅁䅁杷允䅁䅁䅫䅁䵁䅉䅅䅁䡁䅁䅁权汁杂䅁兂䅁䅁䅁偁硂䅑䅯杊䅙䅁䅯睊䅙䅁䅯䅋䅙䅁䅯克䅙䅁䅯兆䅁䉁䅑䙚奥㍒䭦煋唰䉁唯䝏硋摧䥓䅆捁乫佰䕎湊䉤䅑汕⽦婕湷䩚啳乁塱昸汅婶䝰䅆䕄义牦䬲呍䈷䅑汦洸十杤⭘啍䭁削䕂㐶癙睅允䅁䅁䅅䅁䭁䅁䅳䅁䵁䅉䅅䅁䩁䅁䅁䍄䉁䅁䅁睂䅁䅁䅯杋䅙䅁䅕䅁䅁䅁睄啣䭁䍁䝳䅁䭁䍁䝷䅁䭁䍁䜰䅁䭁䅁䅑潁䭁䉁䅕䅁啁䝁塒䕭㍤楹瑱䅆䩂䑕噳䅓噓硢䅑䩈慄橔䍒㍚啑䅁乃祢琯卙㡺䅆桁灬䱡㉔⼰剆䅑䙚奥㍒䭦煋唰䥁䉐唯敒歅乌䅆楃兕佒䝵硌䅍䅅䅁䉁䅁䅁权䱁䅁䅁䍄䉁䅁䅁元䅁䅁杷允䅁䅁䅣䅁䭁䕁䝙䅁䙁䅁䅁䅁䅁䠸䅆权䡂杂䅁权䥂杂䅁权䩂杂䅁权䕁䅁䅋权噁䅁䅁䅆歂㕖䡨㡤煯割䅑塗䌳䱍牴䥹唸䉁兹欲〴浑つ䅆婁䑄楺牗浅硐䅑啺⭌湃坚㍐啷䝁塒䕭㍤楹瑱䅆䑃晷䔱桘䍊剺䅑汯䕅牔楨吸䉁䅁䅁允䅁䅁䅯睃䅁䅁杷允䅁䅁䅫䅁䵁䅉䅅䅁䡁䅁䅁权敂杂䅁兂䅁䅁䅁偁硂䅑䅯睘䅙䅁䅯䅙䅙䅁䅯兙䅙䅁䅯䅂䍁䅧䅯兆䅁䉁䅑䙚奥㍒䭦煋唰偁坣䨹摮伹㝪䅆捁乫佰䕎湊䉤䅑兇㡷水硱橊唸乁塱昸汅婶䝰䅆䙂晔呴倴䡸到䅑㡧㥈䙒匴獑唰䭁削䕂㐶癙睅允䅁䅁䅅䅁䭁䅁䅳䅁䵁䅉䅅䅁䩁䅁䅁䍄䉁䅁䅁睂䅁䅁䅯杓䅙䅁䅕䅁䅁䅁睄啣䭁䕁䝳䅁䭁䕁䝷䅁䭁䕁䜰䅁䭁䅁䅑潁䭁䉁䅕䅁啁䝁塒䕭㍤楹瑱䅆婂捦睉㉵䥶硪䅑䩈慄橔䍒㍚啑䉁䵫佐慊即⽙</t>
  </si>
  <si>
    <t>䅆牃婫堯潓含硖䅑䙚奥㍒䭦煋唰䥁䉐唯敒歅乌䅆楃兕佒䝵硌䅍䅅䅁䉁䅁䅁权䱁䅁䅁䍄䉁䅁䅁元䅁䅁杷允䅁䅁䅣䅁䭁䙁䝯䅁䙁䅁䅁䅁䅁䠸䅆权扂杂䅁权捂杂䅁权摂杂䅁权䕁䅁䅋权噁䅁䅁䅆歂㕖䡨㡤煯割䅑塗䌳䱍牴䥹唸䉁兹欲〴浑つ䅆婁䑄楺牗浅硐䅑䡲婂睌稫捥唴䝁塒䕭㍤楹瑱䅆䑃晷䔱桘䍊剺䅑汯䕅牔楨吸䉁䅁䅁允䅁䅁䅯睃䅁䅁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</si>
</sst>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General_)"/>
    <numFmt numFmtId="166" formatCode="mm/dd/yy;@"/>
  </numFmts>
  <fonts count="44" x14ac:knownFonts="1">
    <font>
      <sz val="11"/>
      <color theme="1"/>
      <name val="Calibri"/>
      <family val="2"/>
      <scheme val="minor"/>
    </font>
    <font>
      <sz val="8"/>
      <color theme="1"/>
      <name val="Arial"/>
      <family val="2"/>
    </font>
    <font>
      <sz val="8"/>
      <color theme="1"/>
      <name val="Arial"/>
      <family val="2"/>
    </font>
    <font>
      <b/>
      <sz val="12"/>
      <name val="Arial"/>
      <family val="2"/>
    </font>
    <font>
      <sz val="8"/>
      <name val="Arial"/>
      <family val="2"/>
    </font>
    <font>
      <b/>
      <sz val="8"/>
      <name val="Arial"/>
      <family val="2"/>
    </font>
    <font>
      <b/>
      <sz val="8"/>
      <color indexed="17"/>
      <name val="Arial"/>
      <family val="2"/>
    </font>
    <font>
      <sz val="10"/>
      <name val="Arial"/>
      <family val="2"/>
    </font>
    <font>
      <sz val="8"/>
      <color indexed="17"/>
      <name val="Arial"/>
      <family val="2"/>
    </font>
    <font>
      <b/>
      <sz val="8"/>
      <color theme="1"/>
      <name val="Arial"/>
      <family val="2"/>
    </font>
    <font>
      <b/>
      <sz val="8"/>
      <color rgb="FF008000"/>
      <name val="Arial"/>
      <family val="2"/>
    </font>
    <font>
      <u/>
      <sz val="11"/>
      <color theme="10"/>
      <name val="Calibri"/>
      <family val="2"/>
      <scheme val="minor"/>
    </font>
    <font>
      <u/>
      <sz val="8"/>
      <color rgb="FF223D92"/>
      <name val="Arial"/>
      <family val="2"/>
    </font>
    <font>
      <sz val="8"/>
      <color rgb="FF000000"/>
      <name val="Arial"/>
      <family val="2"/>
    </font>
    <font>
      <b/>
      <u/>
      <sz val="9"/>
      <name val="Arial"/>
      <family val="2"/>
    </font>
    <font>
      <i/>
      <sz val="8"/>
      <color rgb="FF525252"/>
      <name val="Arial"/>
      <family val="2"/>
    </font>
    <font>
      <sz val="8"/>
      <color rgb="FF0000FF"/>
      <name val="Arial"/>
      <family val="2"/>
    </font>
    <font>
      <sz val="8"/>
      <color indexed="8"/>
      <name val="arial"/>
      <family val="2"/>
    </font>
    <font>
      <b/>
      <sz val="8"/>
      <color indexed="10"/>
      <name val="Arial"/>
      <family val="2"/>
    </font>
    <font>
      <sz val="14"/>
      <color indexed="56"/>
      <name val="Arial"/>
      <family val="2"/>
    </font>
    <font>
      <b/>
      <sz val="18"/>
      <name val="Arial"/>
      <family val="2"/>
    </font>
    <font>
      <b/>
      <sz val="14"/>
      <color indexed="56"/>
      <name val="Arial"/>
      <family val="2"/>
    </font>
    <font>
      <sz val="10"/>
      <name val="Courier"/>
      <family val="3"/>
    </font>
    <font>
      <sz val="8"/>
      <color indexed="12"/>
      <name val="Arial"/>
      <family val="2"/>
    </font>
    <font>
      <u/>
      <sz val="8"/>
      <color indexed="12"/>
      <name val="Arial"/>
      <family val="2"/>
    </font>
    <font>
      <b/>
      <sz val="8"/>
      <color rgb="FF525252"/>
      <name val="Arial"/>
      <family val="2"/>
    </font>
    <font>
      <sz val="8"/>
      <color rgb="FF525252"/>
      <name val="Arial"/>
      <family val="2"/>
    </font>
    <font>
      <sz val="8"/>
      <color rgb="FF223D92"/>
      <name val="Arial"/>
      <family val="2"/>
    </font>
    <font>
      <b/>
      <i/>
      <u/>
      <sz val="9"/>
      <name val="Arial"/>
      <family val="2"/>
    </font>
    <font>
      <i/>
      <sz val="8"/>
      <name val="Arial"/>
      <family val="2"/>
    </font>
    <font>
      <sz val="8"/>
      <color indexed="63"/>
      <name val="Arial"/>
      <family val="2"/>
    </font>
    <font>
      <i/>
      <sz val="8"/>
      <color indexed="63"/>
      <name val="Arial"/>
      <family val="2"/>
    </font>
    <font>
      <b/>
      <sz val="8"/>
      <color indexed="8"/>
      <name val="arial"/>
      <family val="2"/>
    </font>
    <font>
      <b/>
      <i/>
      <sz val="8"/>
      <name val="Arial"/>
      <family val="2"/>
    </font>
    <font>
      <i/>
      <sz val="8"/>
      <color indexed="8"/>
      <name val="Arial"/>
      <family val="2"/>
    </font>
    <font>
      <b/>
      <sz val="8"/>
      <color indexed="56"/>
      <name val="Arial"/>
      <family val="2"/>
    </font>
    <font>
      <i/>
      <sz val="8"/>
      <color indexed="56"/>
      <name val="Arial"/>
      <family val="2"/>
    </font>
    <font>
      <b/>
      <i/>
      <sz val="8"/>
      <color indexed="8"/>
      <name val="Arial"/>
      <family val="2"/>
    </font>
    <font>
      <b/>
      <sz val="8"/>
      <color indexed="12"/>
      <name val="Arial"/>
      <family val="2"/>
    </font>
    <font>
      <b/>
      <sz val="8"/>
      <color theme="0"/>
      <name val="arial"/>
      <family val="2"/>
    </font>
    <font>
      <b/>
      <sz val="11"/>
      <name val="Arial"/>
      <family val="2"/>
    </font>
    <font>
      <sz val="8"/>
      <color rgb="FF008000"/>
      <name val="Arial"/>
      <family val="2"/>
    </font>
    <font>
      <b/>
      <sz val="12"/>
      <color theme="1"/>
      <name val="Arial"/>
      <family val="2"/>
    </font>
    <font>
      <sz val="11"/>
      <color rgb="FF008000"/>
      <name val="Calibri"/>
      <family val="2"/>
      <scheme val="minor"/>
    </font>
  </fonts>
  <fills count="8">
    <fill>
      <patternFill patternType="none"/>
    </fill>
    <fill>
      <patternFill patternType="gray125"/>
    </fill>
    <fill>
      <patternFill patternType="solid">
        <fgColor indexed="65"/>
        <bgColor indexed="64"/>
      </patternFill>
    </fill>
    <fill>
      <patternFill patternType="solid">
        <fgColor theme="0" tint="-0.14999847407452621"/>
        <bgColor indexed="64"/>
      </patternFill>
    </fill>
    <fill>
      <patternFill patternType="solid">
        <fgColor indexed="9"/>
        <bgColor indexed="64"/>
      </patternFill>
    </fill>
    <fill>
      <patternFill patternType="solid">
        <fgColor rgb="FFEAEAEA"/>
        <bgColor indexed="64"/>
      </patternFill>
    </fill>
    <fill>
      <patternFill patternType="solid">
        <fgColor rgb="FFFFFFCC"/>
        <bgColor indexed="64"/>
      </patternFill>
    </fill>
    <fill>
      <patternFill patternType="solid">
        <fgColor rgb="FF525252"/>
        <bgColor indexed="64"/>
      </patternFill>
    </fill>
  </fills>
  <borders count="87">
    <border>
      <left/>
      <right/>
      <top/>
      <bottom/>
      <diagonal/>
    </border>
    <border>
      <left/>
      <right/>
      <top/>
      <bottom style="medium">
        <color rgb="FF52525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525252"/>
      </left>
      <right/>
      <top style="thin">
        <color rgb="FF525252"/>
      </top>
      <bottom style="thin">
        <color rgb="FF525252"/>
      </bottom>
      <diagonal/>
    </border>
    <border>
      <left/>
      <right style="thin">
        <color rgb="FF525252"/>
      </right>
      <top style="thin">
        <color rgb="FF525252"/>
      </top>
      <bottom style="thin">
        <color rgb="FF525252"/>
      </bottom>
      <diagonal/>
    </border>
    <border>
      <left/>
      <right/>
      <top/>
      <bottom style="hair">
        <color auto="1"/>
      </bottom>
      <diagonal/>
    </border>
    <border>
      <left/>
      <right/>
      <top/>
      <bottom style="thin">
        <color rgb="FF52525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55"/>
      </bottom>
      <diagonal/>
    </border>
    <border>
      <left style="thin">
        <color indexed="64"/>
      </left>
      <right style="hair">
        <color indexed="64"/>
      </right>
      <top style="thin">
        <color indexed="64"/>
      </top>
      <bottom style="thin">
        <color indexed="55"/>
      </bottom>
      <diagonal/>
    </border>
    <border>
      <left style="hair">
        <color indexed="64"/>
      </left>
      <right style="hair">
        <color indexed="64"/>
      </right>
      <top style="thin">
        <color indexed="64"/>
      </top>
      <bottom style="thin">
        <color indexed="55"/>
      </bottom>
      <diagonal/>
    </border>
    <border>
      <left style="hair">
        <color indexed="64"/>
      </left>
      <right style="thin">
        <color indexed="64"/>
      </right>
      <top style="thin">
        <color indexed="64"/>
      </top>
      <bottom style="thin">
        <color indexed="55"/>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thin">
        <color indexed="55"/>
      </top>
      <bottom style="thin">
        <color indexed="55"/>
      </bottom>
      <diagonal/>
    </border>
    <border>
      <left style="thin">
        <color indexed="64"/>
      </left>
      <right style="hair">
        <color indexed="64"/>
      </right>
      <top style="thin">
        <color indexed="55"/>
      </top>
      <bottom style="thin">
        <color indexed="55"/>
      </bottom>
      <diagonal/>
    </border>
    <border>
      <left style="hair">
        <color indexed="64"/>
      </left>
      <right style="hair">
        <color indexed="64"/>
      </right>
      <top style="thin">
        <color indexed="55"/>
      </top>
      <bottom style="thin">
        <color indexed="55"/>
      </bottom>
      <diagonal/>
    </border>
    <border>
      <left style="hair">
        <color indexed="64"/>
      </left>
      <right style="thin">
        <color indexed="64"/>
      </right>
      <top style="thin">
        <color indexed="55"/>
      </top>
      <bottom style="thin">
        <color indexed="55"/>
      </bottom>
      <diagonal/>
    </border>
    <border>
      <left style="thin">
        <color indexed="64"/>
      </left>
      <right style="hair">
        <color indexed="64"/>
      </right>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55"/>
      </top>
      <bottom/>
      <diagonal/>
    </border>
    <border>
      <left style="thin">
        <color indexed="64"/>
      </left>
      <right style="hair">
        <color indexed="64"/>
      </right>
      <top style="thin">
        <color indexed="55"/>
      </top>
      <bottom/>
      <diagonal/>
    </border>
    <border>
      <left style="hair">
        <color indexed="64"/>
      </left>
      <right style="hair">
        <color indexed="64"/>
      </right>
      <top style="thin">
        <color indexed="55"/>
      </top>
      <bottom/>
      <diagonal/>
    </border>
    <border>
      <left style="hair">
        <color indexed="64"/>
      </left>
      <right style="thin">
        <color indexed="64"/>
      </right>
      <top style="thin">
        <color indexed="55"/>
      </top>
      <bottom/>
      <diagonal/>
    </border>
    <border>
      <left style="thin">
        <color indexed="64"/>
      </left>
      <right style="thin">
        <color indexed="64"/>
      </right>
      <top/>
      <bottom style="thin">
        <color indexed="55"/>
      </bottom>
      <diagonal/>
    </border>
    <border>
      <left style="thin">
        <color indexed="64"/>
      </left>
      <right/>
      <top/>
      <bottom style="thin">
        <color indexed="55"/>
      </bottom>
      <diagonal/>
    </border>
    <border>
      <left style="thin">
        <color indexed="64"/>
      </left>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55"/>
      </top>
      <bottom style="thin">
        <color indexed="55"/>
      </bottom>
      <diagonal/>
    </border>
    <border>
      <left/>
      <right style="thin">
        <color indexed="64"/>
      </right>
      <top style="thin">
        <color indexed="64"/>
      </top>
      <bottom style="double">
        <color indexed="64"/>
      </bottom>
      <diagonal/>
    </border>
    <border>
      <left style="hair">
        <color indexed="64"/>
      </left>
      <right style="thin">
        <color indexed="64"/>
      </right>
      <top/>
      <bottom style="thin">
        <color indexed="64"/>
      </bottom>
      <diagonal/>
    </border>
    <border>
      <left style="thin">
        <color indexed="64"/>
      </left>
      <right style="hair">
        <color indexed="64"/>
      </right>
      <top style="double">
        <color indexed="64"/>
      </top>
      <bottom style="thin">
        <color indexed="55"/>
      </bottom>
      <diagonal/>
    </border>
    <border>
      <left style="hair">
        <color indexed="64"/>
      </left>
      <right style="thin">
        <color indexed="64"/>
      </right>
      <top style="double">
        <color indexed="64"/>
      </top>
      <bottom style="thin">
        <color indexed="55"/>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hair">
        <color indexed="64"/>
      </left>
      <right style="hair">
        <color indexed="64"/>
      </right>
      <top/>
      <bottom style="thin">
        <color indexed="55"/>
      </bottom>
      <diagonal/>
    </border>
    <border>
      <left/>
      <right style="thin">
        <color indexed="64"/>
      </right>
      <top/>
      <bottom/>
      <diagonal/>
    </border>
    <border>
      <left style="thin">
        <color indexed="64"/>
      </left>
      <right/>
      <top style="thin">
        <color indexed="55"/>
      </top>
      <bottom style="thin">
        <color indexed="64"/>
      </bottom>
      <diagonal/>
    </border>
    <border>
      <left style="thin">
        <color indexed="64"/>
      </left>
      <right style="hair">
        <color indexed="64"/>
      </right>
      <top style="thin">
        <color indexed="55"/>
      </top>
      <bottom style="double">
        <color indexed="64"/>
      </bottom>
      <diagonal/>
    </border>
    <border>
      <left style="hair">
        <color indexed="64"/>
      </left>
      <right style="hair">
        <color indexed="64"/>
      </right>
      <top style="thin">
        <color indexed="55"/>
      </top>
      <bottom style="double">
        <color indexed="64"/>
      </bottom>
      <diagonal/>
    </border>
    <border>
      <left style="hair">
        <color indexed="64"/>
      </left>
      <right style="thin">
        <color indexed="64"/>
      </right>
      <top style="thin">
        <color indexed="55"/>
      </top>
      <bottom style="double">
        <color indexed="64"/>
      </bottom>
      <diagonal/>
    </border>
    <border>
      <left style="thin">
        <color indexed="64"/>
      </left>
      <right style="thin">
        <color indexed="64"/>
      </right>
      <top style="thin">
        <color indexed="55"/>
      </top>
      <bottom style="thin">
        <color indexed="64"/>
      </bottom>
      <diagonal/>
    </border>
    <border>
      <left/>
      <right/>
      <top style="thin">
        <color indexed="55"/>
      </top>
      <bottom style="thin">
        <color indexed="55"/>
      </bottom>
      <diagonal/>
    </border>
    <border>
      <left/>
      <right style="thin">
        <color indexed="64"/>
      </right>
      <top style="thin">
        <color indexed="55"/>
      </top>
      <bottom style="thin">
        <color indexed="55"/>
      </bottom>
      <diagonal/>
    </border>
    <border>
      <left style="thin">
        <color indexed="64"/>
      </left>
      <right style="hair">
        <color indexed="64"/>
      </right>
      <top style="thin">
        <color indexed="55"/>
      </top>
      <bottom style="thin">
        <color indexed="64"/>
      </bottom>
      <diagonal/>
    </border>
    <border>
      <left/>
      <right/>
      <top style="thin">
        <color indexed="55"/>
      </top>
      <bottom style="thin">
        <color indexed="64"/>
      </bottom>
      <diagonal/>
    </border>
    <border>
      <left/>
      <right style="thin">
        <color indexed="64"/>
      </right>
      <top style="thin">
        <color indexed="55"/>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55"/>
      </bottom>
      <diagonal/>
    </border>
    <border>
      <left/>
      <right/>
      <top/>
      <bottom style="thin">
        <color indexed="55"/>
      </bottom>
      <diagonal/>
    </border>
    <border>
      <left/>
      <right style="thin">
        <color indexed="64"/>
      </right>
      <top/>
      <bottom style="thin">
        <color indexed="55"/>
      </bottom>
      <diagonal/>
    </border>
    <border>
      <left style="thin">
        <color indexed="64"/>
      </left>
      <right style="hair">
        <color indexed="64"/>
      </right>
      <top/>
      <bottom style="thin">
        <color indexed="55"/>
      </bottom>
      <diagonal/>
    </border>
    <border>
      <left style="hair">
        <color indexed="64"/>
      </left>
      <right style="thin">
        <color indexed="64"/>
      </right>
      <top/>
      <bottom style="thin">
        <color indexed="55"/>
      </bottom>
      <diagonal/>
    </border>
    <border>
      <left style="thin">
        <color indexed="64"/>
      </left>
      <right style="hair">
        <color indexed="64"/>
      </right>
      <top/>
      <bottom style="thin">
        <color indexed="23"/>
      </bottom>
      <diagonal/>
    </border>
    <border>
      <left style="hair">
        <color indexed="64"/>
      </left>
      <right style="thin">
        <color indexed="64"/>
      </right>
      <top/>
      <bottom style="thin">
        <color indexed="23"/>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thin">
        <color rgb="FF525252"/>
      </left>
      <right style="thin">
        <color rgb="FF525252"/>
      </right>
      <top style="thin">
        <color rgb="FF525252"/>
      </top>
      <bottom style="thin">
        <color rgb="FF525252"/>
      </bottom>
      <diagonal/>
    </border>
    <border>
      <left style="thin">
        <color auto="1"/>
      </left>
      <right style="thin">
        <color auto="1"/>
      </right>
      <top/>
      <bottom style="thin">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s>
  <cellStyleXfs count="24">
    <xf numFmtId="0" fontId="0" fillId="0" borderId="0"/>
    <xf numFmtId="0" fontId="4" fillId="0" borderId="0"/>
    <xf numFmtId="0" fontId="7" fillId="0" borderId="0"/>
    <xf numFmtId="0" fontId="7" fillId="0" borderId="0"/>
    <xf numFmtId="0" fontId="4" fillId="0" borderId="0"/>
    <xf numFmtId="0" fontId="11" fillId="0" borderId="0" applyNumberFormat="0" applyFill="0" applyBorder="0" applyAlignment="0" applyProtection="0"/>
    <xf numFmtId="0" fontId="0" fillId="2" borderId="0" xfId="0" applyFill="1" applyAlignment="1">
      <alignment horizontal="left"/>
    </xf>
    <xf numFmtId="0" fontId="2" fillId="0" borderId="0"/>
    <xf numFmtId="0" fontId="17" fillId="0" borderId="0"/>
    <xf numFmtId="0" fontId="4" fillId="0" borderId="0"/>
    <xf numFmtId="0" fontId="22" fillId="0" borderId="0"/>
    <xf numFmtId="0" fontId="22" fillId="0" borderId="0"/>
    <xf numFmtId="0" fontId="24" fillId="0" borderId="0" applyNumberFormat="0" applyFill="0" applyBorder="0" applyAlignment="0" applyProtection="0">
      <alignment vertical="top"/>
      <protection locked="0"/>
    </xf>
    <xf numFmtId="0" fontId="4" fillId="0" borderId="0"/>
    <xf numFmtId="0" fontId="4" fillId="0" borderId="0"/>
    <xf numFmtId="0" fontId="4" fillId="0" borderId="0"/>
    <xf numFmtId="0" fontId="2" fillId="0" borderId="0"/>
    <xf numFmtId="0" fontId="3" fillId="0" borderId="0" applyNumberFormat="0" applyFill="0" applyBorder="0" applyAlignment="0" applyProtection="0"/>
    <xf numFmtId="0" fontId="17" fillId="0" borderId="0"/>
    <xf numFmtId="0" fontId="2" fillId="0" borderId="0"/>
    <xf numFmtId="0" fontId="4" fillId="0" borderId="0"/>
    <xf numFmtId="0" fontId="2" fillId="0" borderId="0"/>
    <xf numFmtId="0" fontId="2" fillId="0" borderId="0"/>
    <xf numFmtId="0" fontId="7" fillId="0" borderId="0"/>
  </cellStyleXfs>
  <cellXfs count="467">
    <xf numFmtId="0" fontId="0" fillId="0" borderId="0" xfId="0"/>
    <xf numFmtId="0" fontId="3" fillId="2" borderId="1" xfId="0" applyFont="1" applyFill="1" applyBorder="1"/>
    <xf numFmtId="0" fontId="0" fillId="2" borderId="1" xfId="0" applyFill="1" applyBorder="1" applyAlignment="1">
      <alignment horizontal="left"/>
    </xf>
    <xf numFmtId="0" fontId="0" fillId="2" borderId="1" xfId="0" applyFill="1" applyBorder="1"/>
    <xf numFmtId="0" fontId="0" fillId="2" borderId="1" xfId="0" applyFill="1" applyBorder="1" applyAlignment="1">
      <alignment horizontal="right"/>
    </xf>
    <xf numFmtId="0" fontId="0" fillId="2" borderId="0" xfId="0" applyFill="1"/>
    <xf numFmtId="0" fontId="0" fillId="2" borderId="0" xfId="0" applyFill="1" applyAlignment="1">
      <alignment horizontal="left"/>
    </xf>
    <xf numFmtId="0" fontId="0" fillId="2" borderId="0" xfId="0" applyFill="1" applyAlignment="1">
      <alignment horizontal="right"/>
    </xf>
    <xf numFmtId="0" fontId="8" fillId="4" borderId="0" xfId="1" applyFont="1" applyFill="1" applyBorder="1" applyAlignment="1">
      <alignment horizontal="left"/>
    </xf>
    <xf numFmtId="0" fontId="8" fillId="4" borderId="0" xfId="1" applyFont="1" applyFill="1" applyBorder="1" applyAlignment="1">
      <alignment horizontal="right"/>
    </xf>
    <xf numFmtId="0" fontId="4" fillId="4" borderId="4" xfId="1" applyFont="1" applyFill="1" applyBorder="1" applyAlignment="1">
      <alignment horizontal="left"/>
    </xf>
    <xf numFmtId="0" fontId="8" fillId="4" borderId="4" xfId="1" applyFont="1" applyFill="1" applyBorder="1" applyAlignment="1">
      <alignment horizontal="left"/>
    </xf>
    <xf numFmtId="0" fontId="8" fillId="4" borderId="4" xfId="1" applyFont="1" applyFill="1" applyBorder="1" applyAlignment="1">
      <alignment horizontal="right"/>
    </xf>
    <xf numFmtId="0" fontId="4" fillId="0" borderId="0" xfId="0" applyFont="1" applyBorder="1" applyAlignment="1">
      <alignment horizontal="left" indent="1"/>
    </xf>
    <xf numFmtId="0" fontId="4" fillId="0" borderId="0" xfId="0" applyFont="1" applyBorder="1" applyAlignment="1">
      <alignment horizontal="left" indent="2"/>
    </xf>
    <xf numFmtId="0" fontId="4" fillId="0" borderId="0" xfId="0" applyFont="1"/>
    <xf numFmtId="0" fontId="2" fillId="0" borderId="0" xfId="0" applyFont="1" applyAlignment="1">
      <alignment horizontal="left" indent="1"/>
    </xf>
    <xf numFmtId="0" fontId="6" fillId="0" borderId="1" xfId="0" applyFont="1" applyBorder="1" applyAlignment="1">
      <alignment horizontal="left" indent="1"/>
    </xf>
    <xf numFmtId="0" fontId="5" fillId="4" borderId="3" xfId="4" applyFont="1" applyFill="1" applyBorder="1" applyAlignment="1">
      <alignment horizontal="left" vertical="center"/>
    </xf>
    <xf numFmtId="0" fontId="5" fillId="3" borderId="2" xfId="1" applyFont="1" applyFill="1" applyBorder="1" applyAlignment="1">
      <alignment horizontal="right" vertical="center"/>
    </xf>
    <xf numFmtId="0" fontId="8" fillId="4" borderId="0" xfId="3" applyFont="1" applyFill="1" applyBorder="1" applyAlignment="1">
      <alignment horizontal="left"/>
    </xf>
    <xf numFmtId="0" fontId="8" fillId="4" borderId="0" xfId="3" applyFont="1" applyFill="1" applyBorder="1" applyAlignment="1">
      <alignment horizontal="right"/>
    </xf>
    <xf numFmtId="0" fontId="5" fillId="0" borderId="0" xfId="1" applyFont="1" applyFill="1" applyBorder="1" applyAlignment="1">
      <alignment horizontal="left" wrapText="1"/>
    </xf>
    <xf numFmtId="0" fontId="5" fillId="0" borderId="0" xfId="2" applyFont="1" applyFill="1" applyBorder="1" applyAlignment="1">
      <alignment horizontal="right" wrapText="1"/>
    </xf>
    <xf numFmtId="0" fontId="5" fillId="0" borderId="0" xfId="3" applyFont="1" applyFill="1" applyBorder="1" applyAlignment="1">
      <alignment horizontal="left" wrapText="1"/>
    </xf>
    <xf numFmtId="14" fontId="5" fillId="0" borderId="0" xfId="3" applyNumberFormat="1" applyFont="1" applyFill="1" applyBorder="1" applyAlignment="1">
      <alignment horizontal="left" wrapText="1"/>
    </xf>
    <xf numFmtId="0" fontId="5" fillId="0" borderId="0" xfId="3" applyFont="1" applyFill="1" applyBorder="1" applyAlignment="1">
      <alignment horizontal="right" wrapText="1"/>
    </xf>
    <xf numFmtId="0" fontId="10" fillId="0" borderId="5" xfId="0" applyFont="1" applyBorder="1"/>
    <xf numFmtId="0" fontId="10" fillId="0" borderId="4" xfId="0" applyFont="1" applyBorder="1"/>
    <xf numFmtId="0" fontId="6" fillId="4" borderId="6" xfId="1" applyFont="1" applyFill="1" applyBorder="1" applyAlignment="1">
      <alignment horizontal="left"/>
    </xf>
    <xf numFmtId="0" fontId="2" fillId="0" borderId="0" xfId="0" applyFont="1" applyAlignment="1"/>
    <xf numFmtId="3" fontId="2" fillId="0" borderId="0" xfId="0" applyNumberFormat="1" applyFont="1" applyAlignment="1">
      <alignment horizontal="right"/>
    </xf>
    <xf numFmtId="0" fontId="2" fillId="0" borderId="0" xfId="0" applyFont="1" applyAlignment="1">
      <alignment horizontal="right"/>
    </xf>
    <xf numFmtId="0" fontId="17" fillId="0" borderId="0" xfId="8" applyFont="1"/>
    <xf numFmtId="0" fontId="18" fillId="0" borderId="0" xfId="8" applyFont="1"/>
    <xf numFmtId="0" fontId="17" fillId="0" borderId="0" xfId="8" applyFont="1" applyAlignment="1">
      <alignment horizontal="center"/>
    </xf>
    <xf numFmtId="0" fontId="19" fillId="0" borderId="0" xfId="8" applyFont="1"/>
    <xf numFmtId="0" fontId="20" fillId="0" borderId="10" xfId="9" applyFont="1" applyFill="1" applyBorder="1" applyAlignment="1">
      <alignment horizontal="left" vertical="center"/>
    </xf>
    <xf numFmtId="0" fontId="21" fillId="0" borderId="10" xfId="9" applyFont="1" applyFill="1" applyBorder="1" applyAlignment="1">
      <alignment horizontal="left" vertical="center"/>
    </xf>
    <xf numFmtId="0" fontId="19" fillId="0" borderId="10" xfId="8" applyFont="1" applyBorder="1"/>
    <xf numFmtId="0" fontId="19" fillId="0" borderId="0" xfId="8" applyFont="1" applyAlignment="1">
      <alignment horizontal="center"/>
    </xf>
    <xf numFmtId="0" fontId="4" fillId="0" borderId="0" xfId="8" applyFont="1"/>
    <xf numFmtId="0" fontId="14" fillId="0" borderId="0" xfId="9" applyFont="1" applyFill="1" applyBorder="1"/>
    <xf numFmtId="0" fontId="14" fillId="0" borderId="0" xfId="8" applyFont="1" applyFill="1" applyBorder="1"/>
    <xf numFmtId="165" fontId="14" fillId="0" borderId="0" xfId="10" applyNumberFormat="1" applyFont="1" applyFill="1" applyBorder="1" applyAlignment="1"/>
    <xf numFmtId="0" fontId="4" fillId="0" borderId="0" xfId="8" applyFont="1" applyAlignment="1">
      <alignment horizontal="center"/>
    </xf>
    <xf numFmtId="165" fontId="23" fillId="4" borderId="0" xfId="11" applyNumberFormat="1" applyFont="1" applyFill="1" applyBorder="1" applyAlignment="1">
      <alignment horizontal="left" vertical="top" indent="2"/>
    </xf>
    <xf numFmtId="0" fontId="5" fillId="0" borderId="0" xfId="9" applyFont="1" applyFill="1" applyBorder="1"/>
    <xf numFmtId="0" fontId="17" fillId="0" borderId="0" xfId="8" applyFont="1" applyBorder="1"/>
    <xf numFmtId="0" fontId="4" fillId="0" borderId="0" xfId="13" applyFont="1" applyAlignment="1">
      <alignment vertical="center"/>
    </xf>
    <xf numFmtId="0" fontId="4" fillId="0" borderId="0" xfId="13" applyFont="1" applyFill="1" applyBorder="1" applyAlignment="1">
      <alignment horizontal="left" indent="1"/>
    </xf>
    <xf numFmtId="0" fontId="25" fillId="0" borderId="0" xfId="9" applyFont="1" applyFill="1" applyBorder="1"/>
    <xf numFmtId="0" fontId="17" fillId="0" borderId="0" xfId="8" applyFont="1" applyBorder="1" applyAlignment="1">
      <alignment horizontal="left"/>
    </xf>
    <xf numFmtId="0" fontId="2" fillId="0" borderId="0" xfId="13" applyFont="1" applyAlignment="1">
      <alignment vertical="center"/>
    </xf>
    <xf numFmtId="0" fontId="17" fillId="0" borderId="0" xfId="8" applyFont="1" applyBorder="1" applyAlignment="1">
      <alignment horizontal="left" indent="1"/>
    </xf>
    <xf numFmtId="0" fontId="2" fillId="0" borderId="0" xfId="13" applyFont="1" applyAlignment="1">
      <alignment horizontal="left" vertical="center"/>
    </xf>
    <xf numFmtId="0" fontId="26" fillId="0" borderId="0" xfId="8" applyFont="1" applyBorder="1"/>
    <xf numFmtId="0" fontId="17" fillId="0" borderId="0" xfId="13" applyFont="1" applyAlignment="1">
      <alignment horizontal="left" vertical="center"/>
    </xf>
    <xf numFmtId="0" fontId="26" fillId="0" borderId="9" xfId="9" applyFont="1" applyFill="1" applyBorder="1" applyAlignment="1">
      <alignment horizontal="left" indent="2"/>
    </xf>
    <xf numFmtId="0" fontId="17" fillId="0" borderId="9" xfId="8" applyFont="1" applyBorder="1"/>
    <xf numFmtId="0" fontId="5" fillId="0" borderId="9" xfId="9" applyFont="1" applyFill="1" applyBorder="1"/>
    <xf numFmtId="0" fontId="2" fillId="0" borderId="9" xfId="13" applyFont="1" applyBorder="1" applyAlignment="1">
      <alignment horizontal="left" vertical="center"/>
    </xf>
    <xf numFmtId="0" fontId="4" fillId="0" borderId="9" xfId="13" applyBorder="1" applyAlignment="1"/>
    <xf numFmtId="0" fontId="26" fillId="0" borderId="0" xfId="9" applyFont="1" applyFill="1" applyBorder="1" applyAlignment="1">
      <alignment horizontal="left" indent="1"/>
    </xf>
    <xf numFmtId="0" fontId="27" fillId="0" borderId="0" xfId="12" applyFont="1" applyBorder="1" applyAlignment="1" applyProtection="1">
      <alignment horizontal="left" vertical="center" wrapText="1"/>
    </xf>
    <xf numFmtId="0" fontId="17" fillId="0" borderId="0" xfId="8" applyFont="1" applyFill="1" applyBorder="1"/>
    <xf numFmtId="0" fontId="28" fillId="0" borderId="0" xfId="8" applyFont="1" applyFill="1" applyBorder="1"/>
    <xf numFmtId="0" fontId="4" fillId="0" borderId="0" xfId="8" applyFont="1" applyFill="1" applyBorder="1"/>
    <xf numFmtId="0" fontId="4" fillId="0" borderId="0" xfId="8" applyFont="1" applyFill="1"/>
    <xf numFmtId="0" fontId="5" fillId="0" borderId="0" xfId="15" applyFont="1" applyFill="1" applyBorder="1" applyAlignment="1">
      <alignment horizontal="right" vertical="center"/>
    </xf>
    <xf numFmtId="0" fontId="4" fillId="0" borderId="0" xfId="15" applyFont="1" applyFill="1" applyBorder="1" applyAlignment="1">
      <alignment horizontal="left" vertical="center"/>
    </xf>
    <xf numFmtId="0" fontId="32" fillId="0" borderId="0" xfId="8" applyFont="1" applyBorder="1" applyAlignment="1">
      <alignment horizontal="right"/>
    </xf>
    <xf numFmtId="0" fontId="4" fillId="0" borderId="0" xfId="9" applyFont="1" applyFill="1" applyBorder="1"/>
    <xf numFmtId="0" fontId="29" fillId="0" borderId="0" xfId="8" applyFont="1" applyBorder="1" applyAlignment="1">
      <alignment horizontal="right" indent="1"/>
    </xf>
    <xf numFmtId="0" fontId="17" fillId="0" borderId="0" xfId="8" applyFont="1" applyFill="1" applyBorder="1" applyAlignment="1">
      <alignment vertical="center"/>
    </xf>
    <xf numFmtId="0" fontId="28" fillId="0" borderId="0" xfId="8" applyFont="1" applyFill="1" applyBorder="1" applyAlignment="1"/>
    <xf numFmtId="0" fontId="29" fillId="0" borderId="0" xfId="8" applyFont="1" applyBorder="1" applyAlignment="1">
      <alignment horizontal="right" wrapText="1" indent="1"/>
    </xf>
    <xf numFmtId="0" fontId="17" fillId="0" borderId="0" xfId="8" applyFont="1" applyAlignment="1">
      <alignment wrapText="1"/>
    </xf>
    <xf numFmtId="0" fontId="33" fillId="0" borderId="0" xfId="8" applyFont="1" applyBorder="1" applyAlignment="1">
      <alignment horizontal="right"/>
    </xf>
    <xf numFmtId="0" fontId="29" fillId="0" borderId="0" xfId="8" applyFont="1" applyFill="1" applyBorder="1" applyAlignment="1">
      <alignment horizontal="left" vertical="center"/>
    </xf>
    <xf numFmtId="0" fontId="29" fillId="0" borderId="0" xfId="8" applyFont="1" applyBorder="1" applyAlignment="1">
      <alignment horizontal="right" wrapText="1"/>
    </xf>
    <xf numFmtId="0" fontId="17" fillId="0" borderId="0" xfId="8" applyFont="1" applyBorder="1" applyAlignment="1">
      <alignment wrapText="1"/>
    </xf>
    <xf numFmtId="0" fontId="29" fillId="0" borderId="0" xfId="15" applyFont="1" applyFill="1" applyBorder="1" applyAlignment="1">
      <alignment horizontal="right" vertical="center"/>
    </xf>
    <xf numFmtId="0" fontId="17" fillId="0" borderId="0" xfId="8" applyFont="1" applyFill="1" applyBorder="1" applyAlignment="1">
      <alignment wrapText="1"/>
    </xf>
    <xf numFmtId="0" fontId="17" fillId="0" borderId="0" xfId="8" applyFont="1" applyBorder="1" applyAlignment="1">
      <alignment horizontal="right"/>
    </xf>
    <xf numFmtId="0" fontId="17" fillId="0" borderId="0" xfId="8" applyFont="1" applyAlignment="1">
      <alignment horizontal="center" wrapText="1"/>
    </xf>
    <xf numFmtId="0" fontId="29" fillId="0" borderId="0" xfId="8" applyFont="1" applyBorder="1" applyAlignment="1">
      <alignment horizontal="right"/>
    </xf>
    <xf numFmtId="0" fontId="33" fillId="0" borderId="0" xfId="8" applyFont="1" applyFill="1" applyBorder="1" applyAlignment="1">
      <alignment horizontal="right" vertical="center" wrapText="1" indent="1"/>
    </xf>
    <xf numFmtId="0" fontId="17" fillId="0" borderId="0" xfId="8" applyFont="1" applyBorder="1" applyAlignment="1">
      <alignment horizontal="right" wrapText="1"/>
    </xf>
    <xf numFmtId="0" fontId="17" fillId="0" borderId="0" xfId="8" applyFont="1" applyFill="1" applyBorder="1" applyAlignment="1">
      <alignment horizontal="left"/>
    </xf>
    <xf numFmtId="0" fontId="34" fillId="0" borderId="0" xfId="8" applyFont="1" applyBorder="1"/>
    <xf numFmtId="0" fontId="32" fillId="0" borderId="0" xfId="8" applyFont="1" applyBorder="1" applyAlignment="1">
      <alignment horizontal="center"/>
    </xf>
    <xf numFmtId="0" fontId="15" fillId="0" borderId="0" xfId="8" applyFont="1" applyBorder="1" applyAlignment="1">
      <alignment horizontal="center" vertical="center"/>
    </xf>
    <xf numFmtId="0" fontId="29" fillId="0" borderId="0" xfId="8" applyFont="1" applyFill="1" applyBorder="1" applyAlignment="1">
      <alignment horizontal="right" indent="1"/>
    </xf>
    <xf numFmtId="0" fontId="35" fillId="0" borderId="0" xfId="8" applyFont="1" applyFill="1" applyBorder="1" applyAlignment="1">
      <alignment vertical="center" wrapText="1"/>
    </xf>
    <xf numFmtId="0" fontId="5" fillId="0" borderId="0" xfId="8" applyFont="1" applyFill="1" applyBorder="1" applyAlignment="1"/>
    <xf numFmtId="0" fontId="5" fillId="0" borderId="0" xfId="8" applyFont="1" applyFill="1" applyBorder="1" applyAlignment="1">
      <alignment horizontal="left"/>
    </xf>
    <xf numFmtId="0" fontId="15" fillId="0" borderId="0" xfId="8" applyFont="1" applyBorder="1" applyAlignment="1">
      <alignment horizontal="left" indent="1"/>
    </xf>
    <xf numFmtId="0" fontId="36" fillId="0" borderId="0" xfId="8" applyFont="1" applyBorder="1" applyAlignment="1">
      <alignment horizontal="left" indent="1"/>
    </xf>
    <xf numFmtId="0" fontId="4" fillId="0" borderId="0" xfId="8" applyFont="1" applyFill="1" applyBorder="1" applyAlignment="1"/>
    <xf numFmtId="0" fontId="4" fillId="0" borderId="0" xfId="8" applyFont="1" applyFill="1" applyBorder="1" applyAlignment="1">
      <alignment horizontal="left"/>
    </xf>
    <xf numFmtId="0" fontId="35" fillId="0" borderId="0" xfId="8" applyFont="1" applyFill="1" applyBorder="1" applyAlignment="1">
      <alignment horizontal="right" vertical="center" wrapText="1"/>
    </xf>
    <xf numFmtId="0" fontId="37" fillId="0" borderId="0" xfId="8" applyFont="1" applyFill="1" applyBorder="1" applyAlignment="1">
      <alignment horizontal="right"/>
    </xf>
    <xf numFmtId="0" fontId="38" fillId="0" borderId="0" xfId="14" applyFont="1" applyFill="1" applyBorder="1" applyAlignment="1">
      <alignment horizontal="center" vertical="center"/>
    </xf>
    <xf numFmtId="0" fontId="15" fillId="0" borderId="0" xfId="8" applyFont="1" applyBorder="1" applyAlignment="1">
      <alignment vertical="center"/>
    </xf>
    <xf numFmtId="0" fontId="32" fillId="0" borderId="0" xfId="8" applyFont="1" applyFill="1" applyBorder="1" applyAlignment="1">
      <alignment horizontal="center"/>
    </xf>
    <xf numFmtId="0" fontId="4" fillId="0" borderId="0" xfId="8" applyFont="1" applyFill="1" applyBorder="1" applyAlignment="1">
      <alignment horizontal="right"/>
    </xf>
    <xf numFmtId="0" fontId="29" fillId="0" borderId="0" xfId="8" applyFont="1" applyFill="1" applyBorder="1"/>
    <xf numFmtId="0" fontId="34" fillId="0" borderId="0" xfId="8" applyFont="1" applyFill="1" applyBorder="1" applyAlignment="1">
      <alignment horizontal="right"/>
    </xf>
    <xf numFmtId="166" fontId="38" fillId="0" borderId="0" xfId="14" applyNumberFormat="1" applyFont="1" applyFill="1" applyBorder="1" applyAlignment="1">
      <alignment horizontal="center" vertical="center"/>
    </xf>
    <xf numFmtId="0" fontId="17" fillId="0" borderId="0" xfId="8" applyFont="1" applyAlignment="1">
      <alignment horizontal="left"/>
    </xf>
    <xf numFmtId="0" fontId="17" fillId="0" borderId="4" xfId="8" applyFont="1" applyBorder="1"/>
    <xf numFmtId="3" fontId="4" fillId="0" borderId="0" xfId="8" applyNumberFormat="1" applyFont="1" applyFill="1" applyBorder="1" applyAlignment="1">
      <alignment horizontal="right"/>
    </xf>
    <xf numFmtId="0" fontId="4" fillId="0" borderId="0" xfId="8" applyFont="1" applyFill="1" applyBorder="1" applyAlignment="1">
      <alignment horizontal="center"/>
    </xf>
    <xf numFmtId="4" fontId="4" fillId="0" borderId="0" xfId="8" applyNumberFormat="1" applyFont="1" applyFill="1" applyBorder="1" applyAlignment="1">
      <alignment horizontal="right"/>
    </xf>
    <xf numFmtId="0" fontId="4" fillId="0" borderId="0" xfId="1" applyFont="1" applyFill="1" applyBorder="1" applyAlignment="1">
      <alignment horizontal="center"/>
    </xf>
    <xf numFmtId="0" fontId="4" fillId="0" borderId="0" xfId="1" applyFont="1" applyFill="1" applyBorder="1" applyAlignment="1">
      <alignment horizontal="left"/>
    </xf>
    <xf numFmtId="0" fontId="4" fillId="0" borderId="0" xfId="1" applyFont="1" applyFill="1" applyBorder="1" applyAlignment="1"/>
    <xf numFmtId="0" fontId="17" fillId="3" borderId="11" xfId="8" applyFont="1" applyFill="1" applyBorder="1" applyAlignment="1">
      <alignment horizontal="centerContinuous" vertical="center" wrapText="1"/>
    </xf>
    <xf numFmtId="0" fontId="5" fillId="3" borderId="12" xfId="8" applyFont="1" applyFill="1" applyBorder="1" applyAlignment="1">
      <alignment horizontal="centerContinuous" vertical="center" wrapText="1"/>
    </xf>
    <xf numFmtId="0" fontId="5" fillId="3" borderId="13" xfId="8" applyFont="1" applyFill="1" applyBorder="1" applyAlignment="1">
      <alignment horizontal="centerContinuous" vertical="center" wrapText="1"/>
    </xf>
    <xf numFmtId="0" fontId="5" fillId="3" borderId="11" xfId="8" applyFont="1" applyFill="1" applyBorder="1" applyAlignment="1">
      <alignment horizontal="centerContinuous" vertical="center" wrapText="1"/>
    </xf>
    <xf numFmtId="0" fontId="5" fillId="0" borderId="0" xfId="1" applyFont="1" applyFill="1" applyBorder="1" applyAlignment="1">
      <alignment horizontal="center"/>
    </xf>
    <xf numFmtId="0" fontId="4" fillId="0" borderId="11" xfId="8" applyFont="1" applyFill="1" applyBorder="1" applyAlignment="1">
      <alignment horizontal="centerContinuous" vertical="center" wrapText="1"/>
    </xf>
    <xf numFmtId="0" fontId="17" fillId="0" borderId="12" xfId="8" applyFont="1" applyFill="1" applyBorder="1" applyAlignment="1">
      <alignment horizontal="centerContinuous" vertical="center" wrapText="1"/>
    </xf>
    <xf numFmtId="0" fontId="17" fillId="0" borderId="13" xfId="8" applyFont="1" applyFill="1" applyBorder="1" applyAlignment="1">
      <alignment horizontal="centerContinuous" vertical="center" wrapText="1"/>
    </xf>
    <xf numFmtId="0" fontId="6" fillId="0" borderId="14" xfId="16" applyFont="1" applyFill="1" applyBorder="1" applyAlignment="1">
      <alignment horizontal="left"/>
    </xf>
    <xf numFmtId="0" fontId="8" fillId="0" borderId="15" xfId="16" applyFont="1" applyFill="1" applyBorder="1" applyAlignment="1">
      <alignment horizontal="left"/>
    </xf>
    <xf numFmtId="0" fontId="8" fillId="0" borderId="16" xfId="16" applyFont="1" applyFill="1" applyBorder="1" applyAlignment="1">
      <alignment horizontal="left"/>
    </xf>
    <xf numFmtId="0" fontId="8" fillId="0" borderId="17" xfId="16" applyFont="1" applyFill="1" applyBorder="1" applyAlignment="1">
      <alignment horizontal="right"/>
    </xf>
    <xf numFmtId="0" fontId="17" fillId="0" borderId="18" xfId="8" applyFont="1" applyBorder="1" applyAlignment="1">
      <alignment horizontal="center"/>
    </xf>
    <xf numFmtId="0" fontId="32" fillId="0" borderId="19" xfId="8" applyFont="1" applyBorder="1"/>
    <xf numFmtId="0" fontId="32" fillId="0" borderId="18" xfId="8" applyFont="1" applyFill="1" applyBorder="1" applyAlignment="1">
      <alignment horizontal="center"/>
    </xf>
    <xf numFmtId="0" fontId="17" fillId="0" borderId="2" xfId="8" applyFont="1" applyBorder="1"/>
    <xf numFmtId="0" fontId="4" fillId="0" borderId="20" xfId="8" applyFont="1" applyBorder="1" applyAlignment="1">
      <alignment horizontal="right"/>
    </xf>
    <xf numFmtId="0" fontId="4" fillId="0" borderId="21" xfId="8" applyFont="1" applyBorder="1" applyAlignment="1">
      <alignment horizontal="right"/>
    </xf>
    <xf numFmtId="0" fontId="4" fillId="0" borderId="21" xfId="8" applyFont="1" applyFill="1" applyBorder="1" applyAlignment="1">
      <alignment horizontal="right"/>
    </xf>
    <xf numFmtId="0" fontId="17" fillId="0" borderId="22" xfId="8" applyFont="1" applyBorder="1" applyAlignment="1">
      <alignment horizontal="right"/>
    </xf>
    <xf numFmtId="0" fontId="17" fillId="0" borderId="23" xfId="8" applyFont="1" applyBorder="1" applyAlignment="1">
      <alignment horizontal="right"/>
    </xf>
    <xf numFmtId="0" fontId="8" fillId="0" borderId="24" xfId="16" applyFont="1" applyFill="1" applyBorder="1" applyAlignment="1">
      <alignment horizontal="left"/>
    </xf>
    <xf numFmtId="0" fontId="8" fillId="0" borderId="25" xfId="16" applyFont="1" applyFill="1" applyBorder="1" applyAlignment="1">
      <alignment horizontal="left"/>
    </xf>
    <xf numFmtId="0" fontId="8" fillId="0" borderId="26" xfId="16" applyFont="1" applyFill="1" applyBorder="1" applyAlignment="1">
      <alignment horizontal="left"/>
    </xf>
    <xf numFmtId="0" fontId="8" fillId="0" borderId="27" xfId="16" applyFont="1" applyFill="1" applyBorder="1" applyAlignment="1">
      <alignment horizontal="right"/>
    </xf>
    <xf numFmtId="0" fontId="17" fillId="0" borderId="28" xfId="8" applyFont="1" applyBorder="1" applyAlignment="1">
      <alignment horizontal="center"/>
    </xf>
    <xf numFmtId="0" fontId="5" fillId="3" borderId="29" xfId="17" applyFont="1" applyFill="1" applyBorder="1"/>
    <xf numFmtId="0" fontId="6" fillId="0" borderId="30" xfId="8" applyFont="1" applyFill="1" applyBorder="1" applyAlignment="1">
      <alignment horizontal="center" wrapText="1"/>
    </xf>
    <xf numFmtId="0" fontId="5" fillId="3" borderId="2" xfId="8" applyFont="1" applyFill="1" applyBorder="1" applyAlignment="1">
      <alignment horizontal="center"/>
    </xf>
    <xf numFmtId="0" fontId="5" fillId="3" borderId="20" xfId="13" applyFont="1" applyFill="1" applyBorder="1" applyAlignment="1">
      <alignment horizontal="right"/>
    </xf>
    <xf numFmtId="0" fontId="5" fillId="3" borderId="21" xfId="8" applyFont="1" applyFill="1" applyBorder="1" applyAlignment="1">
      <alignment horizontal="right" wrapText="1"/>
    </xf>
    <xf numFmtId="0" fontId="5" fillId="3" borderId="21" xfId="8" applyFont="1" applyFill="1" applyBorder="1" applyAlignment="1">
      <alignment horizontal="right"/>
    </xf>
    <xf numFmtId="0" fontId="5" fillId="3" borderId="21" xfId="13" applyFont="1" applyFill="1" applyBorder="1" applyAlignment="1">
      <alignment horizontal="right"/>
    </xf>
    <xf numFmtId="0" fontId="5" fillId="3" borderId="31" xfId="8" applyFont="1" applyFill="1" applyBorder="1" applyAlignment="1">
      <alignment horizontal="right"/>
    </xf>
    <xf numFmtId="0" fontId="8" fillId="0" borderId="32" xfId="16" applyFont="1" applyFill="1" applyBorder="1" applyAlignment="1">
      <alignment horizontal="left"/>
    </xf>
    <xf numFmtId="0" fontId="8" fillId="0" borderId="33" xfId="16" applyFont="1" applyFill="1" applyBorder="1" applyAlignment="1">
      <alignment horizontal="left"/>
    </xf>
    <xf numFmtId="0" fontId="8" fillId="0" borderId="34" xfId="16" applyFont="1" applyFill="1" applyBorder="1" applyAlignment="1">
      <alignment horizontal="left"/>
    </xf>
    <xf numFmtId="0" fontId="8" fillId="0" borderId="35" xfId="16" applyFont="1" applyFill="1" applyBorder="1" applyAlignment="1">
      <alignment horizontal="right"/>
    </xf>
    <xf numFmtId="0" fontId="17" fillId="0" borderId="36" xfId="8" applyFont="1" applyBorder="1" applyAlignment="1">
      <alignment horizontal="center"/>
    </xf>
    <xf numFmtId="0" fontId="4" fillId="3" borderId="37" xfId="8" applyFont="1" applyFill="1" applyBorder="1"/>
    <xf numFmtId="0" fontId="8" fillId="0" borderId="36" xfId="8" applyFont="1" applyFill="1" applyBorder="1" applyAlignment="1">
      <alignment horizontal="center"/>
    </xf>
    <xf numFmtId="0" fontId="6" fillId="0" borderId="11" xfId="16" applyFont="1" applyFill="1" applyBorder="1" applyAlignment="1">
      <alignment horizontal="left"/>
    </xf>
    <xf numFmtId="49" fontId="8" fillId="0" borderId="20" xfId="16" applyNumberFormat="1" applyFont="1" applyFill="1" applyBorder="1" applyAlignment="1">
      <alignment horizontal="left"/>
    </xf>
    <xf numFmtId="49" fontId="8" fillId="0" borderId="21" xfId="16" applyNumberFormat="1" applyFont="1" applyFill="1" applyBorder="1" applyAlignment="1">
      <alignment horizontal="left"/>
    </xf>
    <xf numFmtId="3" fontId="8" fillId="0" borderId="31" xfId="16" applyNumberFormat="1" applyFont="1" applyFill="1" applyBorder="1" applyAlignment="1">
      <alignment horizontal="right"/>
    </xf>
    <xf numFmtId="0" fontId="17" fillId="0" borderId="41" xfId="8" applyFont="1" applyBorder="1" applyAlignment="1">
      <alignment horizontal="center"/>
    </xf>
    <xf numFmtId="0" fontId="4" fillId="3" borderId="24" xfId="8" applyFont="1" applyFill="1" applyBorder="1"/>
    <xf numFmtId="0" fontId="32" fillId="0" borderId="42" xfId="8" applyFont="1" applyBorder="1"/>
    <xf numFmtId="0" fontId="17" fillId="0" borderId="0" xfId="8" applyFont="1" applyFill="1"/>
    <xf numFmtId="0" fontId="6" fillId="0" borderId="44" xfId="18" applyFont="1" applyFill="1" applyBorder="1" applyAlignment="1">
      <alignment horizontal="left"/>
    </xf>
    <xf numFmtId="0" fontId="8" fillId="0" borderId="45" xfId="18" applyFont="1" applyFill="1" applyBorder="1" applyAlignment="1">
      <alignment horizontal="right"/>
    </xf>
    <xf numFmtId="0" fontId="8" fillId="0" borderId="25" xfId="18" applyFont="1" applyFill="1" applyBorder="1" applyAlignment="1">
      <alignment horizontal="left"/>
    </xf>
    <xf numFmtId="0" fontId="8" fillId="0" borderId="27" xfId="18" applyFont="1" applyFill="1" applyBorder="1" applyAlignment="1">
      <alignment horizontal="right"/>
    </xf>
    <xf numFmtId="0" fontId="17" fillId="0" borderId="46" xfId="8" applyFont="1" applyFill="1" applyBorder="1"/>
    <xf numFmtId="0" fontId="6" fillId="0" borderId="14" xfId="8" applyFont="1" applyFill="1" applyBorder="1"/>
    <xf numFmtId="0" fontId="5" fillId="0" borderId="2" xfId="8" applyFont="1" applyFill="1" applyBorder="1" applyAlignment="1">
      <alignment horizontal="center"/>
    </xf>
    <xf numFmtId="0" fontId="17" fillId="0" borderId="47" xfId="8" applyFont="1" applyFill="1" applyBorder="1"/>
    <xf numFmtId="0" fontId="32" fillId="0" borderId="48" xfId="8" applyFont="1" applyBorder="1"/>
    <xf numFmtId="0" fontId="8" fillId="0" borderId="35" xfId="18" applyFont="1" applyFill="1" applyBorder="1" applyAlignment="1">
      <alignment horizontal="right"/>
    </xf>
    <xf numFmtId="0" fontId="17" fillId="0" borderId="38" xfId="8" applyFont="1" applyFill="1" applyBorder="1"/>
    <xf numFmtId="0" fontId="8" fillId="0" borderId="25" xfId="8" applyFont="1" applyFill="1" applyBorder="1"/>
    <xf numFmtId="0" fontId="8" fillId="0" borderId="49" xfId="8" applyFont="1" applyFill="1" applyBorder="1"/>
    <xf numFmtId="0" fontId="8" fillId="0" borderId="27" xfId="8" applyFont="1" applyFill="1" applyBorder="1" applyAlignment="1">
      <alignment horizontal="right"/>
    </xf>
    <xf numFmtId="0" fontId="17" fillId="0" borderId="50" xfId="8" applyFont="1" applyFill="1" applyBorder="1"/>
    <xf numFmtId="0" fontId="8" fillId="0" borderId="51" xfId="18" applyFont="1" applyFill="1" applyBorder="1" applyAlignment="1">
      <alignment horizontal="left"/>
    </xf>
    <xf numFmtId="49" fontId="8" fillId="0" borderId="2" xfId="18" applyNumberFormat="1" applyFont="1" applyFill="1" applyBorder="1" applyAlignment="1">
      <alignment horizontal="right"/>
    </xf>
    <xf numFmtId="0" fontId="8" fillId="0" borderId="26" xfId="8" applyFont="1" applyFill="1" applyBorder="1"/>
    <xf numFmtId="0" fontId="8" fillId="0" borderId="27" xfId="8" applyFont="1" applyFill="1" applyBorder="1"/>
    <xf numFmtId="0" fontId="39" fillId="7" borderId="2" xfId="8" applyFont="1" applyFill="1" applyBorder="1" applyAlignment="1">
      <alignment horizontal="left"/>
    </xf>
    <xf numFmtId="0" fontId="39" fillId="7" borderId="13" xfId="8" applyFont="1" applyFill="1" applyBorder="1" applyAlignment="1">
      <alignment horizontal="right"/>
    </xf>
    <xf numFmtId="0" fontId="17" fillId="3" borderId="19" xfId="8" applyFont="1" applyFill="1" applyBorder="1" applyAlignment="1">
      <alignment horizontal="center"/>
    </xf>
    <xf numFmtId="0" fontId="8" fillId="0" borderId="52" xfId="8" applyFont="1" applyFill="1" applyBorder="1"/>
    <xf numFmtId="0" fontId="8" fillId="0" borderId="53" xfId="8" applyFont="1" applyFill="1" applyBorder="1"/>
    <xf numFmtId="0" fontId="8" fillId="0" borderId="54" xfId="8" applyFont="1" applyFill="1" applyBorder="1"/>
    <xf numFmtId="0" fontId="17" fillId="3" borderId="42" xfId="8" applyFont="1" applyFill="1" applyBorder="1"/>
    <xf numFmtId="0" fontId="17" fillId="0" borderId="0" xfId="8" applyFont="1" applyAlignment="1"/>
    <xf numFmtId="0" fontId="8" fillId="0" borderId="0" xfId="8" applyFont="1" applyAlignment="1"/>
    <xf numFmtId="3" fontId="17" fillId="0" borderId="0" xfId="8" applyNumberFormat="1" applyFont="1" applyAlignment="1">
      <alignment horizontal="right"/>
    </xf>
    <xf numFmtId="3" fontId="17" fillId="0" borderId="0" xfId="8" applyNumberFormat="1" applyFont="1"/>
    <xf numFmtId="0" fontId="17" fillId="0" borderId="55" xfId="8" applyFont="1" applyBorder="1" applyAlignment="1">
      <alignment horizontal="center"/>
    </xf>
    <xf numFmtId="0" fontId="4" fillId="3" borderId="51" xfId="8" applyFont="1" applyFill="1" applyBorder="1"/>
    <xf numFmtId="0" fontId="8" fillId="0" borderId="24" xfId="8" applyFont="1" applyFill="1" applyBorder="1"/>
    <xf numFmtId="0" fontId="17" fillId="0" borderId="56" xfId="8" applyFont="1" applyFill="1" applyBorder="1"/>
    <xf numFmtId="0" fontId="17" fillId="0" borderId="57" xfId="8" applyFont="1" applyFill="1" applyBorder="1"/>
    <xf numFmtId="0" fontId="32" fillId="0" borderId="61" xfId="8" applyFont="1" applyBorder="1" applyAlignment="1">
      <alignment horizontal="center"/>
    </xf>
    <xf numFmtId="0" fontId="32" fillId="0" borderId="62" xfId="8" applyFont="1" applyBorder="1"/>
    <xf numFmtId="0" fontId="32" fillId="0" borderId="63" xfId="8" applyFont="1" applyBorder="1" applyAlignment="1">
      <alignment horizontal="right"/>
    </xf>
    <xf numFmtId="0" fontId="8" fillId="0" borderId="64" xfId="8" applyFont="1" applyFill="1" applyBorder="1"/>
    <xf numFmtId="0" fontId="8" fillId="0" borderId="37" xfId="8" applyFont="1" applyFill="1" applyBorder="1"/>
    <xf numFmtId="0" fontId="17" fillId="0" borderId="65" xfId="8" applyFont="1" applyFill="1" applyBorder="1"/>
    <xf numFmtId="0" fontId="17" fillId="0" borderId="66" xfId="8" applyFont="1" applyFill="1" applyBorder="1"/>
    <xf numFmtId="0" fontId="4" fillId="0" borderId="67" xfId="20" applyFont="1" applyFill="1" applyBorder="1" applyAlignment="1">
      <alignment horizontal="center"/>
    </xf>
    <xf numFmtId="0" fontId="4" fillId="0" borderId="49" xfId="20" applyFont="1" applyFill="1" applyBorder="1"/>
    <xf numFmtId="3" fontId="4" fillId="0" borderId="68" xfId="8" applyNumberFormat="1" applyFont="1" applyFill="1" applyBorder="1"/>
    <xf numFmtId="0" fontId="4" fillId="3" borderId="55" xfId="8" applyFont="1" applyFill="1" applyBorder="1"/>
    <xf numFmtId="0" fontId="4" fillId="3" borderId="59" xfId="8" applyFont="1" applyFill="1" applyBorder="1"/>
    <xf numFmtId="0" fontId="4" fillId="3" borderId="60" xfId="8" applyFont="1" applyFill="1" applyBorder="1"/>
    <xf numFmtId="0" fontId="4" fillId="0" borderId="25" xfId="20" applyFont="1" applyFill="1" applyBorder="1" applyAlignment="1">
      <alignment horizontal="center"/>
    </xf>
    <xf numFmtId="0" fontId="4" fillId="0" borderId="0" xfId="14" applyNumberFormat="1" applyFont="1" applyFill="1" applyBorder="1" applyAlignment="1">
      <alignment horizontal="left" vertical="center"/>
    </xf>
    <xf numFmtId="0" fontId="4" fillId="0" borderId="39" xfId="21" applyFont="1" applyFill="1" applyBorder="1" applyAlignment="1">
      <alignment horizontal="left"/>
    </xf>
    <xf numFmtId="0" fontId="4" fillId="0" borderId="40" xfId="21" applyFont="1" applyFill="1" applyBorder="1" applyAlignment="1">
      <alignment horizontal="right"/>
    </xf>
    <xf numFmtId="0" fontId="4" fillId="0" borderId="58" xfId="20" applyFont="1" applyFill="1" applyBorder="1" applyAlignment="1">
      <alignment horizontal="center"/>
    </xf>
    <xf numFmtId="3" fontId="4" fillId="0" borderId="0" xfId="8" applyNumberFormat="1" applyFont="1" applyFill="1" applyBorder="1" applyAlignment="1">
      <alignment horizontal="left"/>
    </xf>
    <xf numFmtId="0" fontId="32" fillId="0" borderId="63" xfId="8" applyFont="1" applyBorder="1" applyAlignment="1">
      <alignment horizontal="center"/>
    </xf>
    <xf numFmtId="0" fontId="4" fillId="0" borderId="69" xfId="21" applyFont="1" applyFill="1" applyBorder="1" applyAlignment="1">
      <alignment horizontal="left"/>
    </xf>
    <xf numFmtId="0" fontId="4" fillId="0" borderId="70" xfId="21" applyFont="1" applyFill="1" applyBorder="1" applyAlignment="1">
      <alignment horizontal="right"/>
    </xf>
    <xf numFmtId="0" fontId="4" fillId="0" borderId="28" xfId="8" applyFont="1" applyFill="1" applyBorder="1"/>
    <xf numFmtId="0" fontId="5" fillId="3" borderId="43" xfId="8" applyFont="1" applyFill="1" applyBorder="1" applyAlignment="1">
      <alignment horizontal="center"/>
    </xf>
    <xf numFmtId="0" fontId="32" fillId="0" borderId="18" xfId="8" applyFont="1" applyBorder="1"/>
    <xf numFmtId="0" fontId="8" fillId="3" borderId="71" xfId="8" applyFont="1" applyFill="1" applyBorder="1"/>
    <xf numFmtId="164" fontId="8" fillId="3" borderId="30" xfId="8" applyNumberFormat="1" applyFont="1" applyFill="1" applyBorder="1"/>
    <xf numFmtId="0" fontId="8" fillId="0" borderId="0" xfId="8" applyFont="1"/>
    <xf numFmtId="0" fontId="38" fillId="0" borderId="0" xfId="8" applyFont="1" applyFill="1" applyBorder="1" applyAlignment="1">
      <alignment horizontal="center"/>
    </xf>
    <xf numFmtId="166" fontId="4" fillId="0" borderId="0" xfId="14" applyNumberFormat="1" applyFont="1" applyFill="1" applyBorder="1" applyAlignment="1">
      <alignment horizontal="center" vertical="center"/>
    </xf>
    <xf numFmtId="0" fontId="4" fillId="0" borderId="0" xfId="14" applyNumberFormat="1" applyFont="1" applyFill="1" applyBorder="1" applyAlignment="1">
      <alignment horizontal="center" vertical="center"/>
    </xf>
    <xf numFmtId="0" fontId="5" fillId="0" borderId="0" xfId="8" applyFont="1" applyFill="1" applyBorder="1" applyAlignment="1">
      <alignment horizontal="center"/>
    </xf>
    <xf numFmtId="0" fontId="4" fillId="0" borderId="0" xfId="13"/>
    <xf numFmtId="0" fontId="4" fillId="0" borderId="0" xfId="23" applyFont="1" applyAlignment="1"/>
    <xf numFmtId="0" fontId="4" fillId="0" borderId="0" xfId="23" applyNumberFormat="1" applyFont="1" applyAlignment="1">
      <alignment horizontal="left" vertical="top"/>
    </xf>
    <xf numFmtId="0" fontId="4" fillId="0" borderId="0" xfId="23" applyNumberFormat="1" applyFont="1" applyAlignment="1">
      <alignment horizontal="left" vertical="top" wrapText="1"/>
    </xf>
    <xf numFmtId="0" fontId="3" fillId="0" borderId="0" xfId="23" applyNumberFormat="1" applyFont="1" applyAlignment="1">
      <alignment horizontal="left"/>
    </xf>
    <xf numFmtId="0" fontId="2" fillId="0" borderId="0" xfId="6" applyFont="1" applyFill="1" applyBorder="1" applyAlignment="1"/>
    <xf numFmtId="0" fontId="40" fillId="0" borderId="4" xfId="23" applyFont="1" applyBorder="1" applyAlignment="1"/>
    <xf numFmtId="0" fontId="4" fillId="0" borderId="4" xfId="23" applyFont="1" applyBorder="1" applyAlignment="1"/>
    <xf numFmtId="0" fontId="41" fillId="0" borderId="0" xfId="23" applyFont="1" applyAlignment="1"/>
    <xf numFmtId="0" fontId="4" fillId="0" borderId="38" xfId="23" applyNumberFormat="1" applyFont="1" applyBorder="1" applyAlignment="1">
      <alignment horizontal="left" vertical="top"/>
    </xf>
    <xf numFmtId="0" fontId="4" fillId="0" borderId="74" xfId="23" applyNumberFormat="1" applyFont="1" applyBorder="1" applyAlignment="1">
      <alignment horizontal="left" vertical="top"/>
    </xf>
    <xf numFmtId="49" fontId="41" fillId="0" borderId="74" xfId="23" applyNumberFormat="1" applyFont="1" applyBorder="1" applyAlignment="1">
      <alignment horizontal="right" vertical="top"/>
    </xf>
    <xf numFmtId="0" fontId="5" fillId="0" borderId="74" xfId="23" applyNumberFormat="1" applyFont="1" applyBorder="1" applyAlignment="1">
      <alignment horizontal="left" vertical="top"/>
    </xf>
    <xf numFmtId="0" fontId="41" fillId="0" borderId="74" xfId="23" applyNumberFormat="1" applyFont="1" applyBorder="1" applyAlignment="1">
      <alignment horizontal="right" vertical="top"/>
    </xf>
    <xf numFmtId="0" fontId="4" fillId="0" borderId="74" xfId="23" applyNumberFormat="1" applyFont="1" applyBorder="1" applyAlignment="1">
      <alignment horizontal="right" vertical="top" wrapText="1"/>
    </xf>
    <xf numFmtId="0" fontId="4" fillId="0" borderId="75" xfId="23" applyNumberFormat="1" applyFont="1" applyBorder="1" applyAlignment="1">
      <alignment horizontal="left" vertical="top"/>
    </xf>
    <xf numFmtId="49" fontId="41" fillId="0" borderId="75" xfId="23" applyNumberFormat="1" applyFont="1" applyBorder="1" applyAlignment="1">
      <alignment horizontal="right" vertical="top"/>
    </xf>
    <xf numFmtId="0" fontId="39" fillId="7" borderId="72" xfId="23" applyNumberFormat="1" applyFont="1" applyFill="1" applyBorder="1" applyAlignment="1">
      <alignment horizontal="right" vertical="top"/>
    </xf>
    <xf numFmtId="0" fontId="39" fillId="7" borderId="72" xfId="23" applyNumberFormat="1" applyFont="1" applyFill="1" applyBorder="1" applyAlignment="1">
      <alignment horizontal="center" vertical="top"/>
    </xf>
    <xf numFmtId="0" fontId="39" fillId="7" borderId="72" xfId="23" applyNumberFormat="1" applyFont="1" applyFill="1" applyBorder="1" applyAlignment="1">
      <alignment horizontal="left" vertical="top"/>
    </xf>
    <xf numFmtId="0" fontId="8" fillId="0" borderId="46" xfId="23" applyNumberFormat="1" applyFont="1" applyBorder="1" applyAlignment="1">
      <alignment horizontal="left" vertical="top"/>
    </xf>
    <xf numFmtId="0" fontId="4" fillId="0" borderId="3" xfId="23" applyFont="1" applyBorder="1" applyAlignment="1"/>
    <xf numFmtId="0" fontId="41" fillId="0" borderId="3" xfId="23" applyNumberFormat="1" applyFont="1" applyBorder="1" applyAlignment="1">
      <alignment horizontal="right" vertical="top"/>
    </xf>
    <xf numFmtId="0" fontId="41" fillId="0" borderId="47" xfId="23" applyNumberFormat="1" applyFont="1" applyBorder="1" applyAlignment="1">
      <alignment horizontal="right" vertical="top"/>
    </xf>
    <xf numFmtId="0" fontId="4" fillId="0" borderId="0" xfId="23" applyNumberFormat="1" applyFont="1" applyBorder="1" applyAlignment="1">
      <alignment horizontal="left" vertical="top"/>
    </xf>
    <xf numFmtId="0" fontId="41" fillId="0" borderId="0" xfId="23" applyNumberFormat="1" applyFont="1" applyBorder="1" applyAlignment="1">
      <alignment horizontal="right" vertical="top" wrapText="1"/>
    </xf>
    <xf numFmtId="0" fontId="41" fillId="0" borderId="50" xfId="23" applyNumberFormat="1" applyFont="1" applyBorder="1" applyAlignment="1">
      <alignment horizontal="right" vertical="top" wrapText="1"/>
    </xf>
    <xf numFmtId="0" fontId="4" fillId="0" borderId="5" xfId="23" applyNumberFormat="1" applyFont="1" applyBorder="1" applyAlignment="1">
      <alignment horizontal="left" vertical="top" wrapText="1"/>
    </xf>
    <xf numFmtId="0" fontId="4" fillId="0" borderId="4" xfId="23" applyNumberFormat="1" applyFont="1" applyBorder="1" applyAlignment="1">
      <alignment horizontal="left" vertical="top" wrapText="1"/>
    </xf>
    <xf numFmtId="0" fontId="4" fillId="0" borderId="6" xfId="23" applyFont="1" applyBorder="1" applyAlignment="1"/>
    <xf numFmtId="0" fontId="4" fillId="0" borderId="0" xfId="23" applyFont="1" applyBorder="1" applyAlignment="1"/>
    <xf numFmtId="0" fontId="39" fillId="7" borderId="75" xfId="23" applyNumberFormat="1" applyFont="1" applyFill="1" applyBorder="1" applyAlignment="1">
      <alignment horizontal="left" vertical="top"/>
    </xf>
    <xf numFmtId="0" fontId="39" fillId="7" borderId="75" xfId="23" applyNumberFormat="1" applyFont="1" applyFill="1" applyBorder="1" applyAlignment="1">
      <alignment horizontal="center" vertical="top"/>
    </xf>
    <xf numFmtId="0" fontId="39" fillId="7" borderId="75" xfId="23" applyNumberFormat="1" applyFont="1" applyFill="1" applyBorder="1" applyAlignment="1">
      <alignment horizontal="right" vertical="top"/>
    </xf>
    <xf numFmtId="0" fontId="4" fillId="0" borderId="38" xfId="23" applyNumberFormat="1" applyFont="1" applyBorder="1" applyAlignment="1">
      <alignment horizontal="left" vertical="top" wrapText="1"/>
    </xf>
    <xf numFmtId="0" fontId="4" fillId="0" borderId="0" xfId="23" applyNumberFormat="1" applyFont="1" applyBorder="1" applyAlignment="1">
      <alignment horizontal="left" vertical="top" wrapText="1"/>
    </xf>
    <xf numFmtId="0" fontId="4" fillId="0" borderId="50" xfId="23" applyFont="1" applyBorder="1" applyAlignment="1"/>
    <xf numFmtId="0" fontId="39" fillId="7" borderId="73" xfId="23" applyNumberFormat="1" applyFont="1" applyFill="1" applyBorder="1" applyAlignment="1">
      <alignment horizontal="right" vertical="top"/>
    </xf>
    <xf numFmtId="0" fontId="5" fillId="0" borderId="75" xfId="23" applyNumberFormat="1" applyFont="1" applyBorder="1" applyAlignment="1">
      <alignment horizontal="left" vertical="top"/>
    </xf>
    <xf numFmtId="0" fontId="39" fillId="7" borderId="74" xfId="23" applyNumberFormat="1" applyFont="1" applyFill="1" applyBorder="1" applyAlignment="1">
      <alignment horizontal="left" vertical="top"/>
    </xf>
    <xf numFmtId="0" fontId="39" fillId="7" borderId="74" xfId="23" applyNumberFormat="1" applyFont="1" applyFill="1" applyBorder="1" applyAlignment="1">
      <alignment horizontal="center" vertical="top"/>
    </xf>
    <xf numFmtId="0" fontId="39" fillId="7" borderId="74" xfId="23" applyNumberFormat="1" applyFont="1" applyFill="1" applyBorder="1" applyAlignment="1">
      <alignment horizontal="right" vertical="top"/>
    </xf>
    <xf numFmtId="0" fontId="4" fillId="0" borderId="74" xfId="23" applyNumberFormat="1" applyFont="1" applyBorder="1" applyAlignment="1">
      <alignment horizontal="right" vertical="top"/>
    </xf>
    <xf numFmtId="0" fontId="15" fillId="0" borderId="0" xfId="23" applyFont="1" applyBorder="1" applyAlignment="1"/>
    <xf numFmtId="4" fontId="4" fillId="0" borderId="74" xfId="23" applyNumberFormat="1" applyFont="1" applyBorder="1" applyAlignment="1">
      <alignment horizontal="right" vertical="top" wrapText="1"/>
    </xf>
    <xf numFmtId="3" fontId="4" fillId="0" borderId="74" xfId="23" applyNumberFormat="1" applyFont="1" applyBorder="1" applyAlignment="1">
      <alignment horizontal="right" vertical="top" wrapText="1"/>
    </xf>
    <xf numFmtId="3" fontId="4" fillId="0" borderId="75" xfId="23" applyNumberFormat="1" applyFont="1" applyBorder="1" applyAlignment="1">
      <alignment horizontal="right" vertical="top" wrapText="1"/>
    </xf>
    <xf numFmtId="4" fontId="4" fillId="0" borderId="75" xfId="23" applyNumberFormat="1" applyFont="1" applyBorder="1" applyAlignment="1">
      <alignment horizontal="right" vertical="top" wrapText="1"/>
    </xf>
    <xf numFmtId="0" fontId="42" fillId="0" borderId="4" xfId="0" applyFont="1" applyBorder="1"/>
    <xf numFmtId="0" fontId="2" fillId="0" borderId="4" xfId="0" applyFont="1" applyBorder="1"/>
    <xf numFmtId="0" fontId="26" fillId="0" borderId="0" xfId="23" applyFont="1" applyBorder="1" applyAlignment="1"/>
    <xf numFmtId="0" fontId="26" fillId="0" borderId="5" xfId="23" applyFont="1" applyBorder="1" applyAlignment="1"/>
    <xf numFmtId="0" fontId="41" fillId="0" borderId="46" xfId="0" applyFont="1" applyBorder="1" applyAlignment="1">
      <alignment horizontal="right"/>
    </xf>
    <xf numFmtId="0" fontId="41" fillId="0" borderId="5" xfId="0" applyFont="1" applyBorder="1" applyAlignment="1">
      <alignment horizontal="right"/>
    </xf>
    <xf numFmtId="0" fontId="4" fillId="0" borderId="0" xfId="23" applyFont="1" applyAlignment="1"/>
    <xf numFmtId="0" fontId="0" fillId="2" borderId="0" xfId="0" applyFill="1" applyBorder="1" applyAlignment="1">
      <alignment horizontal="left"/>
    </xf>
    <xf numFmtId="0" fontId="4" fillId="0" borderId="74" xfId="23" applyNumberFormat="1" applyFont="1" applyBorder="1" applyAlignment="1">
      <alignment vertical="top"/>
    </xf>
    <xf numFmtId="4" fontId="4" fillId="0" borderId="0" xfId="23" applyNumberFormat="1" applyFont="1" applyAlignment="1"/>
    <xf numFmtId="0" fontId="4" fillId="0" borderId="74" xfId="23" applyNumberFormat="1" applyFont="1" applyFill="1" applyBorder="1" applyAlignment="1">
      <alignment horizontal="left" vertical="top"/>
    </xf>
    <xf numFmtId="0" fontId="2" fillId="2" borderId="0" xfId="0" applyFont="1" applyFill="1" applyAlignment="1">
      <alignment horizontal="left"/>
    </xf>
    <xf numFmtId="0" fontId="2" fillId="2" borderId="74" xfId="0" applyFont="1" applyFill="1" applyBorder="1" applyAlignment="1">
      <alignment horizontal="left"/>
    </xf>
    <xf numFmtId="0" fontId="2" fillId="2" borderId="75" xfId="0" applyFont="1" applyFill="1" applyBorder="1" applyAlignment="1">
      <alignment horizontal="left"/>
    </xf>
    <xf numFmtId="0" fontId="2" fillId="0" borderId="0" xfId="0" applyFont="1"/>
    <xf numFmtId="0" fontId="39" fillId="7" borderId="74" xfId="23" applyNumberFormat="1" applyFont="1" applyFill="1" applyBorder="1" applyAlignment="1"/>
    <xf numFmtId="0" fontId="41" fillId="0" borderId="77" xfId="0" applyFont="1" applyBorder="1" applyAlignment="1">
      <alignment horizontal="right"/>
    </xf>
    <xf numFmtId="0" fontId="41" fillId="0" borderId="30" xfId="0" applyFont="1" applyBorder="1" applyAlignment="1">
      <alignment horizontal="right"/>
    </xf>
    <xf numFmtId="0" fontId="2" fillId="0" borderId="74" xfId="7" applyFill="1" applyBorder="1" applyAlignment="1">
      <alignment horizontal="left"/>
    </xf>
    <xf numFmtId="0" fontId="4" fillId="0" borderId="74" xfId="23" applyFont="1" applyBorder="1" applyAlignment="1"/>
    <xf numFmtId="0" fontId="4" fillId="0" borderId="0" xfId="23" applyFont="1" applyAlignment="1"/>
    <xf numFmtId="3" fontId="2" fillId="0" borderId="74" xfId="0" applyNumberFormat="1" applyFont="1" applyBorder="1" applyAlignment="1">
      <alignment horizontal="right"/>
    </xf>
    <xf numFmtId="3" fontId="0" fillId="2" borderId="74" xfId="0" applyNumberFormat="1" applyFill="1" applyBorder="1" applyAlignment="1">
      <alignment horizontal="right"/>
    </xf>
    <xf numFmtId="3" fontId="2" fillId="2" borderId="74" xfId="0" applyNumberFormat="1" applyFont="1" applyFill="1" applyBorder="1" applyAlignment="1">
      <alignment horizontal="right"/>
    </xf>
    <xf numFmtId="4" fontId="2" fillId="0" borderId="74" xfId="0" applyNumberFormat="1" applyFont="1" applyBorder="1" applyAlignment="1">
      <alignment horizontal="right"/>
    </xf>
    <xf numFmtId="4" fontId="2" fillId="2" borderId="74" xfId="0" applyNumberFormat="1" applyFont="1" applyFill="1" applyBorder="1" applyAlignment="1">
      <alignment horizontal="right"/>
    </xf>
    <xf numFmtId="49" fontId="10" fillId="0" borderId="74" xfId="23" applyNumberFormat="1" applyFont="1" applyBorder="1" applyAlignment="1">
      <alignment horizontal="right" vertical="top"/>
    </xf>
    <xf numFmtId="14" fontId="5" fillId="0" borderId="74" xfId="23" applyNumberFormat="1" applyFont="1" applyBorder="1" applyAlignment="1">
      <alignment horizontal="right" vertical="top" wrapText="1"/>
    </xf>
    <xf numFmtId="0" fontId="5" fillId="0" borderId="0" xfId="23" applyFont="1" applyAlignment="1"/>
    <xf numFmtId="14" fontId="9" fillId="0" borderId="74" xfId="0" applyNumberFormat="1" applyFont="1" applyBorder="1" applyAlignment="1">
      <alignment horizontal="right"/>
    </xf>
    <xf numFmtId="49" fontId="41" fillId="0" borderId="79" xfId="23" applyNumberFormat="1" applyFont="1" applyBorder="1" applyAlignment="1">
      <alignment horizontal="right" vertical="top"/>
    </xf>
    <xf numFmtId="0" fontId="4" fillId="0" borderId="79" xfId="23" applyNumberFormat="1" applyFont="1" applyBorder="1" applyAlignment="1">
      <alignment horizontal="left" vertical="top"/>
    </xf>
    <xf numFmtId="0" fontId="41" fillId="0" borderId="78" xfId="23" applyNumberFormat="1" applyFont="1" applyBorder="1" applyAlignment="1">
      <alignment horizontal="left" vertical="top"/>
    </xf>
    <xf numFmtId="0" fontId="41" fillId="0" borderId="78" xfId="23" applyNumberFormat="1" applyFont="1" applyBorder="1" applyAlignment="1">
      <alignment horizontal="right" vertical="top"/>
    </xf>
    <xf numFmtId="3" fontId="41" fillId="0" borderId="78" xfId="23" applyNumberFormat="1" applyFont="1" applyBorder="1" applyAlignment="1">
      <alignment horizontal="right" vertical="top" wrapText="1"/>
    </xf>
    <xf numFmtId="0" fontId="41" fillId="0" borderId="79" xfId="23" applyNumberFormat="1" applyFont="1" applyBorder="1" applyAlignment="1">
      <alignment horizontal="right" vertical="top"/>
    </xf>
    <xf numFmtId="0" fontId="2" fillId="2" borderId="0" xfId="0" applyFont="1" applyFill="1" applyBorder="1" applyAlignment="1">
      <alignment horizontal="left"/>
    </xf>
    <xf numFmtId="0" fontId="39" fillId="7" borderId="76" xfId="23" applyNumberFormat="1" applyFont="1" applyFill="1" applyBorder="1" applyAlignment="1">
      <alignment horizontal="right" vertical="top" wrapText="1"/>
    </xf>
    <xf numFmtId="0" fontId="39" fillId="7" borderId="72" xfId="23" applyNumberFormat="1" applyFont="1" applyFill="1" applyBorder="1" applyAlignment="1">
      <alignment horizontal="right" vertical="top" wrapText="1"/>
    </xf>
    <xf numFmtId="0" fontId="2" fillId="0" borderId="74" xfId="0" applyFont="1" applyBorder="1" applyAlignment="1">
      <alignment horizontal="right"/>
    </xf>
    <xf numFmtId="0" fontId="2" fillId="2" borderId="74" xfId="0" applyFont="1" applyFill="1" applyBorder="1" applyAlignment="1">
      <alignment horizontal="right"/>
    </xf>
    <xf numFmtId="0" fontId="2" fillId="2" borderId="75" xfId="0" applyFont="1" applyFill="1" applyBorder="1" applyAlignment="1">
      <alignment horizontal="right"/>
    </xf>
    <xf numFmtId="0" fontId="2" fillId="2" borderId="0" xfId="0" applyFont="1" applyFill="1" applyAlignment="1">
      <alignment horizontal="right"/>
    </xf>
    <xf numFmtId="3" fontId="2" fillId="2" borderId="75" xfId="0" applyNumberFormat="1" applyFont="1" applyFill="1" applyBorder="1" applyAlignment="1">
      <alignment horizontal="right"/>
    </xf>
    <xf numFmtId="0" fontId="43" fillId="2" borderId="0" xfId="0" applyFont="1" applyFill="1" applyAlignment="1">
      <alignment horizontal="right"/>
    </xf>
    <xf numFmtId="0" fontId="41" fillId="0" borderId="4" xfId="0" applyFont="1" applyBorder="1" applyAlignment="1">
      <alignment horizontal="right"/>
    </xf>
    <xf numFmtId="0" fontId="41" fillId="0" borderId="3" xfId="0" applyFont="1" applyBorder="1" applyAlignment="1">
      <alignment horizontal="right"/>
    </xf>
    <xf numFmtId="0" fontId="41" fillId="2" borderId="74" xfId="0" applyFont="1" applyFill="1" applyBorder="1" applyAlignment="1">
      <alignment horizontal="right"/>
    </xf>
    <xf numFmtId="0" fontId="41" fillId="2" borderId="75" xfId="0" applyFont="1" applyFill="1" applyBorder="1" applyAlignment="1">
      <alignment horizontal="right"/>
    </xf>
    <xf numFmtId="0" fontId="41" fillId="2" borderId="0" xfId="0" applyFont="1" applyFill="1" applyAlignment="1">
      <alignment horizontal="right"/>
    </xf>
    <xf numFmtId="0" fontId="9" fillId="2" borderId="74" xfId="0" applyFont="1" applyFill="1" applyBorder="1" applyAlignment="1">
      <alignment horizontal="left"/>
    </xf>
    <xf numFmtId="0" fontId="39" fillId="7" borderId="73" xfId="23" applyNumberFormat="1" applyFont="1" applyFill="1" applyBorder="1" applyAlignment="1">
      <alignment vertical="top"/>
    </xf>
    <xf numFmtId="4" fontId="41" fillId="0" borderId="74" xfId="23" applyNumberFormat="1" applyFont="1" applyBorder="1" applyAlignment="1">
      <alignment horizontal="right" vertical="top" wrapText="1"/>
    </xf>
    <xf numFmtId="3" fontId="41" fillId="0" borderId="74" xfId="23" applyNumberFormat="1" applyFont="1" applyBorder="1" applyAlignment="1">
      <alignment horizontal="right" vertical="top" wrapText="1"/>
    </xf>
    <xf numFmtId="0" fontId="2" fillId="2" borderId="80" xfId="0" applyFont="1" applyFill="1" applyBorder="1" applyAlignment="1">
      <alignment horizontal="left"/>
    </xf>
    <xf numFmtId="0" fontId="41" fillId="2" borderId="80" xfId="0" applyFont="1" applyFill="1" applyBorder="1" applyAlignment="1">
      <alignment horizontal="right"/>
    </xf>
    <xf numFmtId="0" fontId="2" fillId="2" borderId="80" xfId="0" applyFont="1" applyFill="1" applyBorder="1" applyAlignment="1">
      <alignment horizontal="right"/>
    </xf>
    <xf numFmtId="0" fontId="4" fillId="0" borderId="81" xfId="23" applyNumberFormat="1" applyFont="1" applyBorder="1" applyAlignment="1">
      <alignment horizontal="left" vertical="top"/>
    </xf>
    <xf numFmtId="49" fontId="41" fillId="0" borderId="81" xfId="23" applyNumberFormat="1" applyFont="1" applyBorder="1" applyAlignment="1">
      <alignment horizontal="right" vertical="top"/>
    </xf>
    <xf numFmtId="3" fontId="4" fillId="0" borderId="81" xfId="23" applyNumberFormat="1" applyFont="1" applyBorder="1" applyAlignment="1">
      <alignment horizontal="right" vertical="top" wrapText="1"/>
    </xf>
    <xf numFmtId="0" fontId="4" fillId="0" borderId="0" xfId="23" applyFont="1" applyAlignment="1"/>
    <xf numFmtId="0" fontId="4" fillId="0" borderId="0" xfId="23" applyFont="1" applyAlignment="1"/>
    <xf numFmtId="3" fontId="4" fillId="0" borderId="74" xfId="23" applyNumberFormat="1" applyFont="1" applyFill="1" applyBorder="1" applyAlignment="1">
      <alignment horizontal="right" vertical="top" wrapText="1"/>
    </xf>
    <xf numFmtId="0" fontId="41" fillId="0" borderId="74" xfId="23" applyNumberFormat="1" applyFont="1" applyFill="1" applyBorder="1" applyAlignment="1">
      <alignment horizontal="right" vertical="top"/>
    </xf>
    <xf numFmtId="49" fontId="41" fillId="0" borderId="74" xfId="23" applyNumberFormat="1" applyFont="1" applyFill="1" applyBorder="1" applyAlignment="1">
      <alignment horizontal="right" vertical="top"/>
    </xf>
    <xf numFmtId="0" fontId="5" fillId="0" borderId="74" xfId="23" applyNumberFormat="1" applyFont="1" applyFill="1" applyBorder="1" applyAlignment="1">
      <alignment horizontal="left" vertical="top"/>
    </xf>
    <xf numFmtId="0" fontId="13" fillId="0" borderId="0" xfId="0" applyFont="1" applyAlignment="1">
      <alignment vertical="center"/>
    </xf>
    <xf numFmtId="0" fontId="12" fillId="0" borderId="0" xfId="12" applyFont="1" applyAlignment="1" applyProtection="1">
      <alignment horizontal="left"/>
    </xf>
    <xf numFmtId="0" fontId="4" fillId="0" borderId="4" xfId="23" applyFont="1" applyBorder="1" applyAlignment="1">
      <alignment horizontal="right"/>
    </xf>
    <xf numFmtId="0" fontId="41" fillId="0" borderId="0" xfId="23" applyNumberFormat="1" applyFont="1" applyBorder="1" applyAlignment="1">
      <alignment horizontal="right" vertical="top"/>
    </xf>
    <xf numFmtId="3" fontId="2" fillId="2" borderId="0" xfId="0" applyNumberFormat="1" applyFont="1" applyFill="1" applyBorder="1" applyAlignment="1">
      <alignment horizontal="right"/>
    </xf>
    <xf numFmtId="0" fontId="41" fillId="2" borderId="73" xfId="0" applyFont="1" applyFill="1" applyBorder="1" applyAlignment="1">
      <alignment horizontal="right"/>
    </xf>
    <xf numFmtId="4" fontId="41" fillId="0" borderId="73" xfId="23" applyNumberFormat="1" applyFont="1" applyBorder="1" applyAlignment="1">
      <alignment horizontal="right" vertical="top" wrapText="1"/>
    </xf>
    <xf numFmtId="0" fontId="41" fillId="0" borderId="73" xfId="23" applyNumberFormat="1" applyFont="1" applyBorder="1" applyAlignment="1">
      <alignment horizontal="left" vertical="top"/>
    </xf>
    <xf numFmtId="0" fontId="2" fillId="0" borderId="0" xfId="13" applyFont="1" applyBorder="1" applyAlignment="1">
      <alignment horizontal="left" vertical="center"/>
    </xf>
    <xf numFmtId="0" fontId="4" fillId="0" borderId="0" xfId="23" applyNumberFormat="1" applyFont="1" applyAlignment="1"/>
    <xf numFmtId="0" fontId="41" fillId="2" borderId="0" xfId="0" applyNumberFormat="1" applyFont="1" applyFill="1" applyBorder="1" applyAlignment="1"/>
    <xf numFmtId="0" fontId="12" fillId="5" borderId="82" xfId="5" applyFont="1" applyFill="1" applyBorder="1" applyAlignment="1">
      <alignment horizontal="center"/>
    </xf>
    <xf numFmtId="0" fontId="12" fillId="0" borderId="0" xfId="5" applyFont="1" applyAlignment="1">
      <alignment horizontal="left" indent="2"/>
    </xf>
    <xf numFmtId="0" fontId="16" fillId="6" borderId="7" xfId="0" applyFont="1" applyFill="1" applyBorder="1" applyAlignment="1">
      <alignment horizontal="centerContinuous" vertical="center"/>
    </xf>
    <xf numFmtId="0" fontId="16" fillId="6" borderId="8" xfId="14" applyFont="1" applyFill="1" applyBorder="1" applyAlignment="1">
      <alignment horizontal="centerContinuous" vertical="center"/>
    </xf>
    <xf numFmtId="0" fontId="4" fillId="0" borderId="0" xfId="23" applyFont="1" applyAlignment="1"/>
    <xf numFmtId="0" fontId="4" fillId="0" borderId="0" xfId="23" applyFont="1" applyAlignment="1"/>
    <xf numFmtId="0" fontId="4" fillId="0" borderId="77" xfId="23" applyFont="1" applyBorder="1" applyAlignment="1"/>
    <xf numFmtId="0" fontId="4" fillId="0" borderId="71" xfId="23" applyFont="1" applyBorder="1" applyAlignment="1"/>
    <xf numFmtId="0" fontId="4" fillId="0" borderId="83" xfId="23" applyNumberFormat="1" applyFont="1" applyBorder="1" applyAlignment="1">
      <alignment horizontal="left" vertical="top"/>
    </xf>
    <xf numFmtId="49" fontId="41" fillId="0" borderId="83" xfId="23" applyNumberFormat="1" applyFont="1" applyBorder="1" applyAlignment="1">
      <alignment horizontal="right" vertical="top"/>
    </xf>
    <xf numFmtId="0" fontId="41" fillId="0" borderId="83" xfId="23" applyNumberFormat="1" applyFont="1" applyBorder="1" applyAlignment="1">
      <alignment horizontal="left" vertical="top"/>
    </xf>
    <xf numFmtId="0" fontId="4" fillId="0" borderId="83" xfId="23" applyFont="1" applyBorder="1" applyAlignment="1"/>
    <xf numFmtId="3" fontId="4" fillId="0" borderId="83" xfId="23" applyNumberFormat="1" applyFont="1" applyBorder="1" applyAlignment="1">
      <alignment horizontal="right"/>
    </xf>
    <xf numFmtId="0" fontId="4" fillId="0" borderId="84" xfId="23" applyFont="1" applyBorder="1" applyAlignment="1"/>
    <xf numFmtId="0" fontId="4" fillId="0" borderId="85" xfId="23" applyFont="1" applyBorder="1" applyAlignment="1"/>
    <xf numFmtId="0" fontId="4" fillId="0" borderId="86" xfId="23" applyFont="1" applyBorder="1" applyAlignment="1"/>
    <xf numFmtId="0" fontId="4" fillId="0" borderId="2" xfId="23" applyFont="1" applyBorder="1" applyAlignment="1"/>
    <xf numFmtId="4" fontId="41" fillId="0" borderId="2" xfId="23" applyNumberFormat="1" applyFont="1" applyBorder="1" applyAlignment="1">
      <alignment horizontal="right" vertical="top" wrapText="1"/>
    </xf>
    <xf numFmtId="0" fontId="4" fillId="0" borderId="2" xfId="23" applyNumberFormat="1" applyFont="1" applyBorder="1" applyAlignment="1">
      <alignment horizontal="left" vertical="top"/>
    </xf>
    <xf numFmtId="49" fontId="41" fillId="0" borderId="2" xfId="23" applyNumberFormat="1" applyFont="1" applyBorder="1" applyAlignment="1">
      <alignment horizontal="right" vertical="top"/>
    </xf>
    <xf numFmtId="0" fontId="41" fillId="0" borderId="2" xfId="23" applyNumberFormat="1" applyFont="1" applyBorder="1" applyAlignment="1">
      <alignment horizontal="left" vertical="top"/>
    </xf>
    <xf numFmtId="3" fontId="4" fillId="0" borderId="2" xfId="23" applyNumberFormat="1" applyFont="1" applyBorder="1" applyAlignment="1">
      <alignment horizontal="right"/>
    </xf>
    <xf numFmtId="0" fontId="41" fillId="0" borderId="11" xfId="23" applyFont="1" applyBorder="1" applyAlignment="1"/>
    <xf numFmtId="0" fontId="4" fillId="0" borderId="12" xfId="23" applyFont="1" applyBorder="1" applyAlignment="1"/>
    <xf numFmtId="0" fontId="4" fillId="0" borderId="13" xfId="23" applyFont="1" applyBorder="1" applyAlignment="1"/>
    <xf numFmtId="0" fontId="4" fillId="0" borderId="77" xfId="23" applyNumberFormat="1" applyFont="1" applyBorder="1" applyAlignment="1">
      <alignment horizontal="left" vertical="top"/>
    </xf>
    <xf numFmtId="49" fontId="41" fillId="0" borderId="77" xfId="23" applyNumberFormat="1" applyFont="1" applyBorder="1" applyAlignment="1">
      <alignment horizontal="right" vertical="top"/>
    </xf>
    <xf numFmtId="0" fontId="41" fillId="0" borderId="77" xfId="23" applyNumberFormat="1" applyFont="1" applyBorder="1" applyAlignment="1">
      <alignment horizontal="left" vertical="top"/>
    </xf>
    <xf numFmtId="3" fontId="4" fillId="0" borderId="77" xfId="23" applyNumberFormat="1" applyFont="1" applyBorder="1" applyAlignment="1">
      <alignment horizontal="right"/>
    </xf>
    <xf numFmtId="0" fontId="4" fillId="0" borderId="71" xfId="23" applyNumberFormat="1" applyFont="1" applyBorder="1" applyAlignment="1">
      <alignment horizontal="left" vertical="top"/>
    </xf>
    <xf numFmtId="49" fontId="41" fillId="0" borderId="71" xfId="23" applyNumberFormat="1" applyFont="1" applyBorder="1" applyAlignment="1">
      <alignment horizontal="right" vertical="top"/>
    </xf>
    <xf numFmtId="0" fontId="41" fillId="0" borderId="71" xfId="23" applyNumberFormat="1" applyFont="1" applyBorder="1" applyAlignment="1">
      <alignment horizontal="left" vertical="top"/>
    </xf>
    <xf numFmtId="3" fontId="4" fillId="0" borderId="71" xfId="23" applyNumberFormat="1" applyFont="1" applyBorder="1" applyAlignment="1">
      <alignment horizontal="right"/>
    </xf>
    <xf numFmtId="0" fontId="41" fillId="0" borderId="0" xfId="23" applyNumberFormat="1" applyFont="1" applyBorder="1" applyAlignment="1">
      <alignment horizontal="left" vertical="top"/>
    </xf>
    <xf numFmtId="0" fontId="41" fillId="0" borderId="0" xfId="0" applyFont="1" applyBorder="1" applyAlignment="1">
      <alignment horizontal="right"/>
    </xf>
    <xf numFmtId="49" fontId="41" fillId="0" borderId="0" xfId="23" applyNumberFormat="1" applyFont="1" applyBorder="1" applyAlignment="1">
      <alignment horizontal="right" vertical="top"/>
    </xf>
    <xf numFmtId="3" fontId="4" fillId="0" borderId="0" xfId="23" applyNumberFormat="1" applyFont="1" applyBorder="1" applyAlignment="1">
      <alignment horizontal="right"/>
    </xf>
    <xf numFmtId="0" fontId="41" fillId="0" borderId="46" xfId="23" applyNumberFormat="1" applyFont="1" applyBorder="1" applyAlignment="1">
      <alignment horizontal="left" vertical="top"/>
    </xf>
    <xf numFmtId="0" fontId="0" fillId="2" borderId="3" xfId="0" applyFill="1" applyBorder="1" applyAlignment="1">
      <alignment horizontal="left"/>
    </xf>
    <xf numFmtId="0" fontId="0" fillId="2" borderId="38" xfId="0" applyFill="1" applyBorder="1" applyAlignment="1">
      <alignment horizontal="left"/>
    </xf>
    <xf numFmtId="0" fontId="0" fillId="2" borderId="50" xfId="0" applyFill="1" applyBorder="1" applyAlignment="1">
      <alignment horizontal="left"/>
    </xf>
    <xf numFmtId="0" fontId="0" fillId="2" borderId="85" xfId="0" applyFill="1" applyBorder="1" applyAlignment="1">
      <alignment horizontal="left"/>
    </xf>
    <xf numFmtId="49" fontId="41" fillId="0" borderId="3" xfId="23" applyNumberFormat="1" applyFont="1" applyBorder="1" applyAlignment="1">
      <alignment horizontal="right" vertical="top"/>
    </xf>
    <xf numFmtId="0" fontId="0" fillId="2" borderId="83" xfId="0" applyFill="1" applyBorder="1" applyAlignment="1">
      <alignment horizontal="left"/>
    </xf>
    <xf numFmtId="0" fontId="0" fillId="2" borderId="84" xfId="0" applyFill="1" applyBorder="1" applyAlignment="1">
      <alignment horizontal="left"/>
    </xf>
    <xf numFmtId="3" fontId="4" fillId="0" borderId="74" xfId="23" applyNumberFormat="1" applyFont="1" applyBorder="1" applyAlignment="1"/>
    <xf numFmtId="2" fontId="41" fillId="0" borderId="74" xfId="23" applyNumberFormat="1" applyFont="1" applyBorder="1" applyAlignment="1">
      <alignment horizontal="right" vertical="top"/>
    </xf>
    <xf numFmtId="2" fontId="41" fillId="0" borderId="74" xfId="23" applyNumberFormat="1" applyFont="1" applyBorder="1" applyAlignment="1">
      <alignment horizontal="right" vertical="top" wrapText="1"/>
    </xf>
    <xf numFmtId="0" fontId="4" fillId="0" borderId="3" xfId="23" applyNumberFormat="1" applyFont="1" applyBorder="1" applyAlignment="1">
      <alignment horizontal="left" vertical="top"/>
    </xf>
    <xf numFmtId="0" fontId="41" fillId="0" borderId="3" xfId="23" applyNumberFormat="1" applyFont="1" applyBorder="1" applyAlignment="1">
      <alignment vertical="top"/>
    </xf>
    <xf numFmtId="49" fontId="41" fillId="0" borderId="47" xfId="23" applyNumberFormat="1" applyFont="1" applyBorder="1" applyAlignment="1">
      <alignment horizontal="right" vertical="top"/>
    </xf>
    <xf numFmtId="49" fontId="41" fillId="0" borderId="50" xfId="23" applyNumberFormat="1" applyFont="1" applyBorder="1" applyAlignment="1">
      <alignment horizontal="right" vertical="top"/>
    </xf>
    <xf numFmtId="49" fontId="41" fillId="0" borderId="86" xfId="23" applyNumberFormat="1" applyFont="1" applyBorder="1" applyAlignment="1">
      <alignment horizontal="right" vertical="top"/>
    </xf>
    <xf numFmtId="49" fontId="41" fillId="0" borderId="83" xfId="23" applyNumberFormat="1" applyFont="1" applyBorder="1" applyAlignment="1">
      <alignment horizontal="left" vertical="top"/>
    </xf>
    <xf numFmtId="0" fontId="41" fillId="0" borderId="77" xfId="23" applyNumberFormat="1" applyFont="1" applyFill="1" applyBorder="1" applyAlignment="1">
      <alignment horizontal="left" vertical="top"/>
    </xf>
    <xf numFmtId="0" fontId="41" fillId="0" borderId="71" xfId="23" applyNumberFormat="1" applyFont="1" applyFill="1" applyBorder="1" applyAlignment="1">
      <alignment horizontal="left" vertical="top"/>
    </xf>
    <xf numFmtId="0" fontId="41" fillId="0" borderId="83" xfId="23" applyNumberFormat="1" applyFont="1" applyFill="1" applyBorder="1" applyAlignment="1">
      <alignment horizontal="left" vertical="top"/>
    </xf>
    <xf numFmtId="49" fontId="41" fillId="0" borderId="12" xfId="23" applyNumberFormat="1" applyFont="1" applyBorder="1" applyAlignment="1">
      <alignment horizontal="right" vertical="top"/>
    </xf>
    <xf numFmtId="0" fontId="41" fillId="0" borderId="12" xfId="23" applyNumberFormat="1" applyFont="1" applyBorder="1" applyAlignment="1">
      <alignment horizontal="left" vertical="top"/>
    </xf>
    <xf numFmtId="3" fontId="4" fillId="0" borderId="13" xfId="23" applyNumberFormat="1" applyFont="1" applyBorder="1" applyAlignment="1">
      <alignment horizontal="right"/>
    </xf>
    <xf numFmtId="0" fontId="5" fillId="0" borderId="11" xfId="23" applyNumberFormat="1" applyFont="1" applyBorder="1" applyAlignment="1">
      <alignment horizontal="left" vertical="top"/>
    </xf>
    <xf numFmtId="0" fontId="41" fillId="0" borderId="0" xfId="23" applyNumberFormat="1" applyFont="1" applyFill="1" applyBorder="1" applyAlignment="1">
      <alignment horizontal="left" vertical="top"/>
    </xf>
    <xf numFmtId="0" fontId="41" fillId="0" borderId="71" xfId="23" applyNumberFormat="1" applyFont="1" applyBorder="1" applyAlignment="1">
      <alignment horizontal="right" vertical="top"/>
    </xf>
    <xf numFmtId="0" fontId="4" fillId="0" borderId="12" xfId="23" applyNumberFormat="1" applyFont="1" applyBorder="1" applyAlignment="1"/>
    <xf numFmtId="0" fontId="4" fillId="0" borderId="85" xfId="23" applyNumberFormat="1" applyFont="1" applyBorder="1" applyAlignment="1"/>
    <xf numFmtId="0" fontId="41" fillId="0" borderId="77" xfId="23" applyNumberFormat="1" applyFont="1" applyBorder="1" applyAlignment="1">
      <alignment horizontal="right" vertical="top"/>
    </xf>
    <xf numFmtId="0" fontId="41" fillId="0" borderId="83" xfId="23" applyNumberFormat="1" applyFont="1" applyBorder="1" applyAlignment="1">
      <alignment horizontal="right" vertical="top"/>
    </xf>
    <xf numFmtId="0" fontId="41" fillId="0" borderId="12" xfId="23" applyNumberFormat="1" applyFont="1" applyBorder="1" applyAlignment="1">
      <alignment horizontal="right" vertical="top"/>
    </xf>
    <xf numFmtId="0" fontId="5" fillId="0" borderId="11" xfId="23" applyFont="1" applyBorder="1" applyAlignment="1"/>
    <xf numFmtId="0" fontId="2" fillId="2" borderId="71" xfId="0" applyFont="1" applyFill="1" applyBorder="1" applyAlignment="1">
      <alignment horizontal="left"/>
    </xf>
    <xf numFmtId="0" fontId="41" fillId="2" borderId="71" xfId="0" applyFont="1" applyFill="1" applyBorder="1" applyAlignment="1">
      <alignment horizontal="right"/>
    </xf>
    <xf numFmtId="0" fontId="41" fillId="2" borderId="71" xfId="0" applyNumberFormat="1" applyFont="1" applyFill="1" applyBorder="1" applyAlignment="1"/>
    <xf numFmtId="0" fontId="2" fillId="2" borderId="77" xfId="0" applyFont="1" applyFill="1" applyBorder="1" applyAlignment="1">
      <alignment horizontal="left"/>
    </xf>
    <xf numFmtId="0" fontId="41" fillId="2" borderId="77" xfId="0" applyFont="1" applyFill="1" applyBorder="1" applyAlignment="1">
      <alignment horizontal="right"/>
    </xf>
    <xf numFmtId="0" fontId="41" fillId="2" borderId="77" xfId="0" applyNumberFormat="1" applyFont="1" applyFill="1" applyBorder="1" applyAlignment="1"/>
    <xf numFmtId="0" fontId="2" fillId="2" borderId="83" xfId="0" applyFont="1" applyFill="1" applyBorder="1" applyAlignment="1">
      <alignment horizontal="left"/>
    </xf>
    <xf numFmtId="0" fontId="41" fillId="2" borderId="83" xfId="0" applyFont="1" applyFill="1" applyBorder="1" applyAlignment="1">
      <alignment horizontal="right"/>
    </xf>
    <xf numFmtId="0" fontId="41" fillId="2" borderId="83" xfId="0" applyNumberFormat="1" applyFont="1" applyFill="1" applyBorder="1" applyAlignment="1"/>
    <xf numFmtId="0" fontId="5" fillId="0" borderId="77" xfId="23" applyNumberFormat="1" applyFont="1" applyBorder="1" applyAlignment="1">
      <alignment horizontal="left" vertical="top"/>
    </xf>
    <xf numFmtId="0" fontId="41" fillId="2" borderId="3" xfId="0" applyNumberFormat="1" applyFont="1" applyFill="1" applyBorder="1" applyAlignment="1"/>
    <xf numFmtId="0" fontId="41" fillId="2" borderId="12" xfId="0" applyNumberFormat="1" applyFont="1" applyFill="1" applyBorder="1" applyAlignment="1"/>
    <xf numFmtId="3" fontId="2" fillId="2" borderId="77" xfId="0" applyNumberFormat="1" applyFont="1" applyFill="1" applyBorder="1" applyAlignment="1">
      <alignment horizontal="right"/>
    </xf>
    <xf numFmtId="3" fontId="2" fillId="2" borderId="71" xfId="0" applyNumberFormat="1" applyFont="1" applyFill="1" applyBorder="1" applyAlignment="1">
      <alignment horizontal="right"/>
    </xf>
    <xf numFmtId="3" fontId="2" fillId="2" borderId="83" xfId="0" applyNumberFormat="1" applyFont="1" applyFill="1" applyBorder="1" applyAlignment="1">
      <alignment horizontal="right"/>
    </xf>
    <xf numFmtId="0" fontId="9" fillId="2" borderId="77" xfId="0" applyFont="1" applyFill="1" applyBorder="1" applyAlignment="1">
      <alignment horizontal="left"/>
    </xf>
    <xf numFmtId="0" fontId="2" fillId="2" borderId="12" xfId="0" applyFont="1" applyFill="1" applyBorder="1" applyAlignment="1">
      <alignment horizontal="left"/>
    </xf>
    <xf numFmtId="0" fontId="41" fillId="2" borderId="12" xfId="0" applyFont="1" applyFill="1" applyBorder="1" applyAlignment="1">
      <alignment horizontal="right"/>
    </xf>
    <xf numFmtId="49" fontId="41" fillId="0" borderId="77" xfId="23" applyNumberFormat="1" applyFont="1" applyBorder="1" applyAlignment="1">
      <alignment horizontal="left" vertical="top"/>
    </xf>
    <xf numFmtId="49" fontId="41" fillId="0" borderId="71" xfId="23" applyNumberFormat="1" applyFont="1" applyBorder="1" applyAlignment="1">
      <alignment horizontal="left" vertical="top"/>
    </xf>
    <xf numFmtId="0" fontId="0" fillId="0" borderId="0" xfId="0" applyFill="1" applyBorder="1" applyAlignment="1">
      <alignment horizontal="left"/>
    </xf>
    <xf numFmtId="0" fontId="41" fillId="0" borderId="0" xfId="0" applyFont="1" applyFill="1" applyBorder="1" applyAlignment="1">
      <alignment horizontal="right"/>
    </xf>
    <xf numFmtId="0" fontId="4" fillId="0" borderId="0" xfId="23" applyNumberFormat="1" applyFont="1" applyFill="1" applyBorder="1" applyAlignment="1">
      <alignment horizontal="left" vertical="top"/>
    </xf>
    <xf numFmtId="49" fontId="41" fillId="0" borderId="0" xfId="23" applyNumberFormat="1" applyFont="1" applyFill="1" applyBorder="1" applyAlignment="1">
      <alignment horizontal="right" vertical="top"/>
    </xf>
    <xf numFmtId="3" fontId="4" fillId="0" borderId="0" xfId="23" applyNumberFormat="1" applyFont="1" applyFill="1" applyBorder="1" applyAlignment="1">
      <alignment horizontal="right"/>
    </xf>
    <xf numFmtId="0" fontId="5" fillId="0" borderId="0" xfId="23" applyNumberFormat="1" applyFont="1" applyBorder="1" applyAlignment="1">
      <alignment horizontal="left" vertical="top"/>
    </xf>
    <xf numFmtId="0" fontId="41" fillId="0" borderId="0" xfId="23" applyNumberFormat="1" applyFont="1" applyBorder="1" applyAlignment="1">
      <alignment vertical="top"/>
    </xf>
    <xf numFmtId="0" fontId="41" fillId="0" borderId="0" xfId="23" applyNumberFormat="1" applyFont="1" applyFill="1" applyBorder="1" applyAlignment="1">
      <alignment horizontal="right" vertical="top" wrapText="1"/>
    </xf>
    <xf numFmtId="3" fontId="4" fillId="0" borderId="0" xfId="23" applyNumberFormat="1" applyFont="1" applyFill="1" applyBorder="1" applyAlignment="1">
      <alignment horizontal="right" vertical="top" wrapText="1"/>
    </xf>
    <xf numFmtId="4" fontId="41" fillId="0" borderId="0" xfId="23" applyNumberFormat="1" applyFont="1" applyBorder="1" applyAlignment="1">
      <alignment horizontal="right" vertical="top" wrapText="1"/>
    </xf>
    <xf numFmtId="0" fontId="4" fillId="0" borderId="0" xfId="23" applyFont="1" applyAlignment="1"/>
    <xf numFmtId="0" fontId="2" fillId="2" borderId="0" xfId="0" applyFont="1" applyFill="1" applyAlignment="1">
      <alignment horizontal="left" wrapText="1"/>
    </xf>
    <xf numFmtId="0" fontId="17" fillId="0" borderId="0" xfId="8" applyFont="1" applyAlignment="1">
      <alignment horizontal="left" wrapText="1"/>
    </xf>
    <xf numFmtId="0" fontId="12" fillId="5" borderId="7" xfId="5" applyFont="1" applyFill="1" applyBorder="1" applyAlignment="1">
      <alignment horizontal="center"/>
    </xf>
    <xf numFmtId="0" fontId="12" fillId="5" borderId="8" xfId="5" applyFont="1" applyFill="1" applyBorder="1" applyAlignment="1">
      <alignment horizontal="center"/>
    </xf>
    <xf numFmtId="0" fontId="4" fillId="0" borderId="0" xfId="23" applyNumberFormat="1" applyFont="1" applyAlignment="1">
      <alignment horizontal="left" vertical="top" wrapText="1"/>
    </xf>
    <xf numFmtId="0" fontId="4" fillId="0" borderId="0" xfId="23" applyFont="1" applyAlignment="1"/>
    <xf numFmtId="0" fontId="10" fillId="7" borderId="73" xfId="23" applyNumberFormat="1" applyFont="1" applyFill="1" applyBorder="1" applyAlignment="1">
      <alignment horizontal="right"/>
    </xf>
    <xf numFmtId="0" fontId="10" fillId="7" borderId="75" xfId="23" applyNumberFormat="1" applyFont="1" applyFill="1" applyBorder="1" applyAlignment="1">
      <alignment horizontal="right"/>
    </xf>
  </cellXfs>
  <cellStyles count="23">
    <cellStyle name="Hyperlink" xfId="5" builtinId="8"/>
    <cellStyle name="Hyperlink 2" xfId="12" xr:uid="{00000000-0005-0000-0000-000001000000}"/>
    <cellStyle name="Normal" xfId="0" builtinId="0"/>
    <cellStyle name="Normal 2" xfId="7" xr:uid="{00000000-0005-0000-0000-000003000000}"/>
    <cellStyle name="Normal 3" xfId="13" xr:uid="{00000000-0005-0000-0000-000004000000}"/>
    <cellStyle name="Normal 4" xfId="23" xr:uid="{00000000-0005-0000-0000-000005000000}"/>
    <cellStyle name="Normal 89" xfId="20" xr:uid="{00000000-0005-0000-0000-000006000000}"/>
    <cellStyle name="Normal 92" xfId="19" xr:uid="{00000000-0005-0000-0000-000007000000}"/>
    <cellStyle name="Normal 93" xfId="21" xr:uid="{00000000-0005-0000-0000-000008000000}"/>
    <cellStyle name="Normal 94" xfId="22" xr:uid="{00000000-0005-0000-0000-000009000000}"/>
    <cellStyle name="Normal 95" xfId="16" xr:uid="{00000000-0005-0000-0000-00000A000000}"/>
    <cellStyle name="Normal_Company List_1" xfId="2" xr:uid="{00000000-0005-0000-0000-00000B000000}"/>
    <cellStyle name="Normal_CompanyList" xfId="4" xr:uid="{00000000-0005-0000-0000-00000C000000}"/>
    <cellStyle name="Normal_Instruction_Instructions" xfId="10" xr:uid="{00000000-0005-0000-0000-00000D000000}"/>
    <cellStyle name="Normal_Instructions" xfId="18" xr:uid="{00000000-0005-0000-0000-00000E000000}"/>
    <cellStyle name="Normal_Instructions_1" xfId="15" xr:uid="{00000000-0005-0000-0000-00000F000000}"/>
    <cellStyle name="Normal_Instructions_Sandler_Schedule_P_06.19.2008_India" xfId="11" xr:uid="{00000000-0005-0000-0000-000010000000}"/>
    <cellStyle name="Normal_PIMCO_P&amp;C_Bondallocation_Analysis_Template_v1" xfId="8" xr:uid="{00000000-0005-0000-0000-000011000000}"/>
    <cellStyle name="Normal_Sheet2_2" xfId="9" xr:uid="{00000000-0005-0000-0000-000012000000}"/>
    <cellStyle name="Normal_SNL_InsuranceStat_ScheduleP_v1(1)" xfId="3" xr:uid="{00000000-0005-0000-0000-000013000000}"/>
    <cellStyle name="Normal_SNL_Life_StatInsuranceTearSheet_9.10.08" xfId="1" xr:uid="{00000000-0005-0000-0000-000014000000}"/>
    <cellStyle name="Normal_SNL_Life_StatInsuranceTearSheet_v1(1)" xfId="14" xr:uid="{00000000-0005-0000-0000-000015000000}"/>
    <cellStyle name="Style 24" xfId="17" xr:uid="{00000000-0005-0000-0000-000016000000}"/>
  </cellStyles>
  <dxfs count="0"/>
  <tableStyles count="0" defaultTableStyle="TableStyleMedium2" defaultPivotStyle="PivotStyleLight16"/>
  <colors>
    <mruColors>
      <color rgb="FF008000"/>
      <color rgb="FFFFFFCC"/>
      <color rgb="FF0000FF"/>
      <color rgb="FF223D92"/>
      <color rgb="FF525252"/>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8BD21D30-EC42-11CE-9E0D-00AA006002F3}" ax:persistence="persistStreamInit" r:id="rId1"/>
</file>

<file path=xl/activeX/activeX12.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8.xml><?xml version="1.0" encoding="utf-8"?>
<ax:ocx xmlns:ax="http://schemas.microsoft.com/office/2006/activeX" xmlns:r="http://schemas.openxmlformats.org/officeDocument/2006/relationships" ax:classid="{8BD21D30-EC42-11CE-9E0D-00AA006002F3}" ax:persistence="persistStreamInit" r:id="rId1"/>
</file>

<file path=xl/activeX/activeX9.xml><?xml version="1.0" encoding="utf-8"?>
<ax:ocx xmlns:ax="http://schemas.microsoft.com/office/2006/activeX" xmlns:r="http://schemas.openxmlformats.org/officeDocument/2006/relationships" ax:classid="{8BD21D30-EC42-11CE-9E0D-00AA006002F3}"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10.emf"/><Relationship Id="rId7" Type="http://schemas.openxmlformats.org/officeDocument/2006/relationships/image" Target="../media/image6.emf"/><Relationship Id="rId12" Type="http://schemas.openxmlformats.org/officeDocument/2006/relationships/image" Target="../media/image1.emf"/><Relationship Id="rId2" Type="http://schemas.openxmlformats.org/officeDocument/2006/relationships/image" Target="../media/image11.emf"/><Relationship Id="rId1" Type="http://schemas.openxmlformats.org/officeDocument/2006/relationships/image" Target="../media/image12.emf"/><Relationship Id="rId6" Type="http://schemas.openxmlformats.org/officeDocument/2006/relationships/image" Target="../media/image7.emf"/><Relationship Id="rId11" Type="http://schemas.openxmlformats.org/officeDocument/2006/relationships/image" Target="../media/image2.emf"/><Relationship Id="rId5" Type="http://schemas.openxmlformats.org/officeDocument/2006/relationships/image" Target="../media/image8.emf"/><Relationship Id="rId10" Type="http://schemas.openxmlformats.org/officeDocument/2006/relationships/image" Target="../media/image3.emf"/><Relationship Id="rId4" Type="http://schemas.openxmlformats.org/officeDocument/2006/relationships/image" Target="../media/image9.emf"/><Relationship Id="rId9"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20</xdr:row>
          <xdr:rowOff>76200</xdr:rowOff>
        </xdr:from>
        <xdr:to>
          <xdr:col>9</xdr:col>
          <xdr:colOff>487680</xdr:colOff>
          <xdr:row>22</xdr:row>
          <xdr:rowOff>22860</xdr:rowOff>
        </xdr:to>
        <xdr:sp macro="" textlink="">
          <xdr:nvSpPr>
            <xdr:cNvPr id="6145" name="Entity_Name"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57150</xdr:rowOff>
        </xdr:from>
        <xdr:to>
          <xdr:col>9</xdr:col>
          <xdr:colOff>487680</xdr:colOff>
          <xdr:row>28</xdr:row>
          <xdr:rowOff>3810</xdr:rowOff>
        </xdr:to>
        <xdr:sp macro="" textlink="">
          <xdr:nvSpPr>
            <xdr:cNvPr id="6147" name="ComboBox18"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12</xdr:row>
          <xdr:rowOff>95250</xdr:rowOff>
        </xdr:from>
        <xdr:to>
          <xdr:col>18</xdr:col>
          <xdr:colOff>11430</xdr:colOff>
          <xdr:row>14</xdr:row>
          <xdr:rowOff>49530</xdr:rowOff>
        </xdr:to>
        <xdr:sp macro="" textlink="">
          <xdr:nvSpPr>
            <xdr:cNvPr id="6151" name="ComboBox2" hidden="1">
              <a:extLst>
                <a:ext uri="{63B3BB69-23CF-44E3-9099-C40C66FF867C}">
                  <a14:compatExt spid="_x0000_s6151"/>
                </a:ext>
                <a:ext uri="{FF2B5EF4-FFF2-40B4-BE49-F238E27FC236}">
                  <a16:creationId xmlns:a16="http://schemas.microsoft.com/office/drawing/2014/main" id="{00000000-0008-0000-0200-00000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14</xdr:row>
          <xdr:rowOff>95250</xdr:rowOff>
        </xdr:from>
        <xdr:to>
          <xdr:col>18</xdr:col>
          <xdr:colOff>11430</xdr:colOff>
          <xdr:row>16</xdr:row>
          <xdr:rowOff>38100</xdr:rowOff>
        </xdr:to>
        <xdr:sp macro="" textlink="">
          <xdr:nvSpPr>
            <xdr:cNvPr id="6152" name="ComboBox3" hidden="1">
              <a:extLst>
                <a:ext uri="{63B3BB69-23CF-44E3-9099-C40C66FF867C}">
                  <a14:compatExt spid="_x0000_s6152"/>
                </a:ext>
                <a:ext uri="{FF2B5EF4-FFF2-40B4-BE49-F238E27FC236}">
                  <a16:creationId xmlns:a16="http://schemas.microsoft.com/office/drawing/2014/main" id="{00000000-0008-0000-0200-00000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16</xdr:row>
          <xdr:rowOff>95250</xdr:rowOff>
        </xdr:from>
        <xdr:to>
          <xdr:col>18</xdr:col>
          <xdr:colOff>11430</xdr:colOff>
          <xdr:row>18</xdr:row>
          <xdr:rowOff>38100</xdr:rowOff>
        </xdr:to>
        <xdr:sp macro="" textlink="">
          <xdr:nvSpPr>
            <xdr:cNvPr id="6153" name="ComboBox4" hidden="1">
              <a:extLst>
                <a:ext uri="{63B3BB69-23CF-44E3-9099-C40C66FF867C}">
                  <a14:compatExt spid="_x0000_s6153"/>
                </a:ext>
                <a:ext uri="{FF2B5EF4-FFF2-40B4-BE49-F238E27FC236}">
                  <a16:creationId xmlns:a16="http://schemas.microsoft.com/office/drawing/2014/main" id="{00000000-0008-0000-0200-00000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18</xdr:row>
          <xdr:rowOff>95250</xdr:rowOff>
        </xdr:from>
        <xdr:to>
          <xdr:col>18</xdr:col>
          <xdr:colOff>11430</xdr:colOff>
          <xdr:row>20</xdr:row>
          <xdr:rowOff>38100</xdr:rowOff>
        </xdr:to>
        <xdr:sp macro="" textlink="">
          <xdr:nvSpPr>
            <xdr:cNvPr id="6154" name="ComboBox5" hidden="1">
              <a:extLst>
                <a:ext uri="{63B3BB69-23CF-44E3-9099-C40C66FF867C}">
                  <a14:compatExt spid="_x0000_s6154"/>
                </a:ext>
                <a:ext uri="{FF2B5EF4-FFF2-40B4-BE49-F238E27FC236}">
                  <a16:creationId xmlns:a16="http://schemas.microsoft.com/office/drawing/2014/main" id="{00000000-0008-0000-0200-00000A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20</xdr:row>
          <xdr:rowOff>95250</xdr:rowOff>
        </xdr:from>
        <xdr:to>
          <xdr:col>18</xdr:col>
          <xdr:colOff>11430</xdr:colOff>
          <xdr:row>22</xdr:row>
          <xdr:rowOff>38100</xdr:rowOff>
        </xdr:to>
        <xdr:sp macro="" textlink="">
          <xdr:nvSpPr>
            <xdr:cNvPr id="6155" name="ComboBox6" hidden="1">
              <a:extLst>
                <a:ext uri="{63B3BB69-23CF-44E3-9099-C40C66FF867C}">
                  <a14:compatExt spid="_x0000_s6155"/>
                </a:ext>
                <a:ext uri="{FF2B5EF4-FFF2-40B4-BE49-F238E27FC236}">
                  <a16:creationId xmlns:a16="http://schemas.microsoft.com/office/drawing/2014/main" id="{00000000-0008-0000-0200-00000B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22</xdr:row>
          <xdr:rowOff>95250</xdr:rowOff>
        </xdr:from>
        <xdr:to>
          <xdr:col>18</xdr:col>
          <xdr:colOff>11430</xdr:colOff>
          <xdr:row>24</xdr:row>
          <xdr:rowOff>38100</xdr:rowOff>
        </xdr:to>
        <xdr:sp macro="" textlink="">
          <xdr:nvSpPr>
            <xdr:cNvPr id="6156" name="ComboBox7"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24</xdr:row>
          <xdr:rowOff>87630</xdr:rowOff>
        </xdr:from>
        <xdr:to>
          <xdr:col>18</xdr:col>
          <xdr:colOff>11430</xdr:colOff>
          <xdr:row>26</xdr:row>
          <xdr:rowOff>19050</xdr:rowOff>
        </xdr:to>
        <xdr:sp macro="" textlink="">
          <xdr:nvSpPr>
            <xdr:cNvPr id="6157" name="ComboBox8" hidden="1">
              <a:extLst>
                <a:ext uri="{63B3BB69-23CF-44E3-9099-C40C66FF867C}">
                  <a14:compatExt spid="_x0000_s6157"/>
                </a:ext>
                <a:ext uri="{FF2B5EF4-FFF2-40B4-BE49-F238E27FC236}">
                  <a16:creationId xmlns:a16="http://schemas.microsoft.com/office/drawing/2014/main" id="{00000000-0008-0000-0200-00000D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26</xdr:row>
          <xdr:rowOff>87630</xdr:rowOff>
        </xdr:from>
        <xdr:to>
          <xdr:col>18</xdr:col>
          <xdr:colOff>11430</xdr:colOff>
          <xdr:row>28</xdr:row>
          <xdr:rowOff>19050</xdr:rowOff>
        </xdr:to>
        <xdr:sp macro="" textlink="">
          <xdr:nvSpPr>
            <xdr:cNvPr id="6158" name="ComboBox9" hidden="1">
              <a:extLst>
                <a:ext uri="{63B3BB69-23CF-44E3-9099-C40C66FF867C}">
                  <a14:compatExt spid="_x0000_s6158"/>
                </a:ext>
                <a:ext uri="{FF2B5EF4-FFF2-40B4-BE49-F238E27FC236}">
                  <a16:creationId xmlns:a16="http://schemas.microsoft.com/office/drawing/2014/main" id="{00000000-0008-0000-0200-00000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28</xdr:row>
          <xdr:rowOff>87630</xdr:rowOff>
        </xdr:from>
        <xdr:to>
          <xdr:col>18</xdr:col>
          <xdr:colOff>11430</xdr:colOff>
          <xdr:row>30</xdr:row>
          <xdr:rowOff>19050</xdr:rowOff>
        </xdr:to>
        <xdr:sp macro="" textlink="">
          <xdr:nvSpPr>
            <xdr:cNvPr id="6159" name="ComboBox10" hidden="1">
              <a:extLst>
                <a:ext uri="{63B3BB69-23CF-44E3-9099-C40C66FF867C}">
                  <a14:compatExt spid="_x0000_s6159"/>
                </a:ext>
                <a:ext uri="{FF2B5EF4-FFF2-40B4-BE49-F238E27FC236}">
                  <a16:creationId xmlns:a16="http://schemas.microsoft.com/office/drawing/2014/main" id="{00000000-0008-0000-0200-00000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30</xdr:row>
          <xdr:rowOff>95250</xdr:rowOff>
        </xdr:from>
        <xdr:to>
          <xdr:col>18</xdr:col>
          <xdr:colOff>11430</xdr:colOff>
          <xdr:row>32</xdr:row>
          <xdr:rowOff>38100</xdr:rowOff>
        </xdr:to>
        <xdr:sp macro="" textlink="">
          <xdr:nvSpPr>
            <xdr:cNvPr id="6160" name="ComboBox11" hidden="1">
              <a:extLst>
                <a:ext uri="{63B3BB69-23CF-44E3-9099-C40C66FF867C}">
                  <a14:compatExt spid="_x0000_s6160"/>
                </a:ext>
                <a:ext uri="{FF2B5EF4-FFF2-40B4-BE49-F238E27FC236}">
                  <a16:creationId xmlns:a16="http://schemas.microsoft.com/office/drawing/2014/main" id="{00000000-0008-0000-0200-000010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9525</xdr:colOff>
      <xdr:row>0</xdr:row>
      <xdr:rowOff>104776</xdr:rowOff>
    </xdr:from>
    <xdr:to>
      <xdr:col>3</xdr:col>
      <xdr:colOff>415531</xdr:colOff>
      <xdr:row>1</xdr:row>
      <xdr:rowOff>546967</xdr:rowOff>
    </xdr:to>
    <xdr:pic>
      <xdr:nvPicPr>
        <xdr:cNvPr id="19" name="Picture 18">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61925" y="104776"/>
          <a:ext cx="1724266" cy="571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7</xdr:col>
          <xdr:colOff>220980</xdr:colOff>
          <xdr:row>24</xdr:row>
          <xdr:rowOff>57150</xdr:rowOff>
        </xdr:from>
        <xdr:to>
          <xdr:col>10</xdr:col>
          <xdr:colOff>11430</xdr:colOff>
          <xdr:row>26</xdr:row>
          <xdr:rowOff>0</xdr:rowOff>
        </xdr:to>
        <xdr:sp macro="" textlink="">
          <xdr:nvSpPr>
            <xdr:cNvPr id="6162" name="Button 18" hidden="1">
              <a:extLst>
                <a:ext uri="{63B3BB69-23CF-44E3-9099-C40C66FF867C}">
                  <a14:compatExt spid="_x0000_s6162"/>
                </a:ext>
                <a:ext uri="{FF2B5EF4-FFF2-40B4-BE49-F238E27FC236}">
                  <a16:creationId xmlns:a16="http://schemas.microsoft.com/office/drawing/2014/main" id="{00000000-0008-0000-0200-0000121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CLEAR PEERS (OPTIONAL)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220980</xdr:colOff>
          <xdr:row>28</xdr:row>
          <xdr:rowOff>76200</xdr:rowOff>
        </xdr:from>
        <xdr:to>
          <xdr:col>10</xdr:col>
          <xdr:colOff>11430</xdr:colOff>
          <xdr:row>30</xdr:row>
          <xdr:rowOff>19050</xdr:rowOff>
        </xdr:to>
        <xdr:sp macro="" textlink="">
          <xdr:nvSpPr>
            <xdr:cNvPr id="6166" name="Button 22" hidden="1">
              <a:extLst>
                <a:ext uri="{63B3BB69-23CF-44E3-9099-C40C66FF867C}">
                  <a14:compatExt spid="_x0000_s6166"/>
                </a:ext>
                <a:ext uri="{FF2B5EF4-FFF2-40B4-BE49-F238E27FC236}">
                  <a16:creationId xmlns:a16="http://schemas.microsoft.com/office/drawing/2014/main" id="{00000000-0008-0000-0200-0000161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GET PEERS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220980</xdr:colOff>
          <xdr:row>30</xdr:row>
          <xdr:rowOff>87630</xdr:rowOff>
        </xdr:from>
        <xdr:to>
          <xdr:col>10</xdr:col>
          <xdr:colOff>11430</xdr:colOff>
          <xdr:row>32</xdr:row>
          <xdr:rowOff>19050</xdr:rowOff>
        </xdr:to>
        <xdr:sp macro="" textlink="">
          <xdr:nvSpPr>
            <xdr:cNvPr id="6167" name="Button 23" hidden="1">
              <a:extLst>
                <a:ext uri="{63B3BB69-23CF-44E3-9099-C40C66FF867C}">
                  <a14:compatExt spid="_x0000_s6167"/>
                </a:ext>
                <a:ext uri="{FF2B5EF4-FFF2-40B4-BE49-F238E27FC236}">
                  <a16:creationId xmlns:a16="http://schemas.microsoft.com/office/drawing/2014/main" id="{00000000-0008-0000-0200-0000171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REFRESH MODEL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11430</xdr:colOff>
          <xdr:row>6</xdr:row>
          <xdr:rowOff>125730</xdr:rowOff>
        </xdr:from>
        <xdr:to>
          <xdr:col>5</xdr:col>
          <xdr:colOff>0</xdr:colOff>
          <xdr:row>8</xdr:row>
          <xdr:rowOff>19050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D00-0000020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REFRESH COMPANY LIST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SNL%20Financial/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26" Type="http://schemas.openxmlformats.org/officeDocument/2006/relationships/image" Target="../media/image11.emf"/><Relationship Id="rId3" Type="http://schemas.openxmlformats.org/officeDocument/2006/relationships/drawing" Target="../drawings/drawing1.xml"/><Relationship Id="rId21" Type="http://schemas.openxmlformats.org/officeDocument/2006/relationships/control" Target="../activeX/activeX9.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5" Type="http://schemas.openxmlformats.org/officeDocument/2006/relationships/control" Target="../activeX/activeX11.xml"/><Relationship Id="rId2" Type="http://schemas.openxmlformats.org/officeDocument/2006/relationships/printerSettings" Target="../printerSettings/printerSettings1.bin"/><Relationship Id="rId16" Type="http://schemas.openxmlformats.org/officeDocument/2006/relationships/image" Target="../media/image6.emf"/><Relationship Id="rId20" Type="http://schemas.openxmlformats.org/officeDocument/2006/relationships/image" Target="../media/image8.emf"/><Relationship Id="rId29" Type="http://schemas.openxmlformats.org/officeDocument/2006/relationships/ctrlProp" Target="../ctrlProps/ctrlProp1.xml"/><Relationship Id="rId1" Type="http://schemas.openxmlformats.org/officeDocument/2006/relationships/hyperlink" Target="mailto:support.mi@spglobal.com" TargetMode="External"/><Relationship Id="rId6" Type="http://schemas.openxmlformats.org/officeDocument/2006/relationships/image" Target="../media/image1.emf"/><Relationship Id="rId11" Type="http://schemas.openxmlformats.org/officeDocument/2006/relationships/control" Target="../activeX/activeX4.xml"/><Relationship Id="rId24" Type="http://schemas.openxmlformats.org/officeDocument/2006/relationships/image" Target="../media/image10.emf"/><Relationship Id="rId5" Type="http://schemas.openxmlformats.org/officeDocument/2006/relationships/control" Target="../activeX/activeX1.xml"/><Relationship Id="rId15" Type="http://schemas.openxmlformats.org/officeDocument/2006/relationships/control" Target="../activeX/activeX6.xml"/><Relationship Id="rId23" Type="http://schemas.openxmlformats.org/officeDocument/2006/relationships/control" Target="../activeX/activeX10.xml"/><Relationship Id="rId28" Type="http://schemas.openxmlformats.org/officeDocument/2006/relationships/image" Target="../media/image12.emf"/><Relationship Id="rId10" Type="http://schemas.openxmlformats.org/officeDocument/2006/relationships/image" Target="../media/image3.emf"/><Relationship Id="rId19" Type="http://schemas.openxmlformats.org/officeDocument/2006/relationships/control" Target="../activeX/activeX8.xml"/><Relationship Id="rId31" Type="http://schemas.openxmlformats.org/officeDocument/2006/relationships/ctrlProp" Target="../ctrlProps/ctrlProp3.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image" Target="../media/image9.emf"/><Relationship Id="rId27" Type="http://schemas.openxmlformats.org/officeDocument/2006/relationships/control" Target="../activeX/activeX12.xml"/><Relationship Id="rId30"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7"/>
  <sheetViews>
    <sheetView workbookViewId="0"/>
  </sheetViews>
  <sheetFormatPr defaultRowHeight="14.4" x14ac:dyDescent="0.55000000000000004"/>
  <sheetData>
    <row r="1" spans="1:1" x14ac:dyDescent="0.55000000000000004">
      <c r="A1" t="s">
        <v>5561</v>
      </c>
    </row>
    <row r="2" spans="1:1" x14ac:dyDescent="0.55000000000000004">
      <c r="A2" t="s">
        <v>5559</v>
      </c>
    </row>
    <row r="3" spans="1:1" x14ac:dyDescent="0.55000000000000004">
      <c r="A3" t="s">
        <v>5560</v>
      </c>
    </row>
    <row r="4" spans="1:1" x14ac:dyDescent="0.55000000000000004">
      <c r="A4" t="s">
        <v>5562</v>
      </c>
    </row>
    <row r="5" spans="1:1" x14ac:dyDescent="0.55000000000000004">
      <c r="A5" t="s">
        <v>5563</v>
      </c>
    </row>
    <row r="6" spans="1:1" x14ac:dyDescent="0.55000000000000004">
      <c r="A6" t="s">
        <v>5565</v>
      </c>
    </row>
    <row r="7" spans="1:1" x14ac:dyDescent="0.55000000000000004">
      <c r="A7" t="s">
        <v>5566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B1:T680"/>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3" width="8.83984375" style="235"/>
    <col min="14" max="14" width="29.68359375" style="235" hidden="1" customWidth="1" outlineLevel="1"/>
    <col min="15" max="15" width="9.68359375" style="235" hidden="1" customWidth="1" outlineLevel="1"/>
    <col min="16" max="16" width="9.68359375" style="357" hidden="1" customWidth="1" outlineLevel="1"/>
    <col min="17" max="17" width="28.26171875" style="235" hidden="1" customWidth="1" outlineLevel="1"/>
    <col min="18" max="19" width="8.83984375" style="235" hidden="1" customWidth="1" outlineLevel="1"/>
    <col min="20" max="20" width="8.83984375" style="235" collapsed="1"/>
    <col min="21"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5360</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[1]!snltable(287,$D$6:$H$6,$C$10:$C$201,$D$7:$H$7,"NA","Options:Curr=USD,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2010Y</v>
      </c>
      <c r="E9" s="251" t="str">
        <f t="shared" ref="E9:G9" si="1">E7</f>
        <v>2011Y</v>
      </c>
      <c r="F9" s="251" t="str">
        <f t="shared" si="1"/>
        <v>2012Y</v>
      </c>
      <c r="G9" s="251" t="str">
        <f t="shared" si="1"/>
        <v>2013Y</v>
      </c>
      <c r="H9" s="251" t="str">
        <f>H7</f>
        <v>2014Y</v>
      </c>
    </row>
    <row r="10" spans="2:10" ht="11.25" customHeight="1" x14ac:dyDescent="0.35">
      <c r="B10" s="246" t="s">
        <v>4945</v>
      </c>
      <c r="C10" s="308">
        <v>202219</v>
      </c>
      <c r="D10" s="309">
        <v>40543</v>
      </c>
      <c r="E10" s="309">
        <v>40908</v>
      </c>
      <c r="F10" s="309">
        <v>41274</v>
      </c>
      <c r="G10" s="309">
        <v>41639</v>
      </c>
      <c r="H10" s="309">
        <v>42004</v>
      </c>
    </row>
    <row r="11" spans="2:10" ht="11.25" customHeight="1" x14ac:dyDescent="0.35">
      <c r="B11" s="244" t="s">
        <v>4946</v>
      </c>
      <c r="C11" s="247"/>
      <c r="D11" s="248"/>
      <c r="E11" s="248"/>
      <c r="F11" s="248"/>
      <c r="G11" s="248"/>
      <c r="H11" s="248"/>
    </row>
    <row r="12" spans="2:10" ht="11.25" customHeight="1" x14ac:dyDescent="0.35">
      <c r="B12" s="246" t="s">
        <v>4999</v>
      </c>
      <c r="C12" s="247"/>
      <c r="D12" s="248"/>
      <c r="E12" s="248"/>
      <c r="F12" s="248"/>
      <c r="G12" s="248"/>
      <c r="H12" s="248"/>
    </row>
    <row r="13" spans="2:10" ht="11.25" customHeight="1" x14ac:dyDescent="0.35">
      <c r="B13" s="244" t="s">
        <v>5283</v>
      </c>
      <c r="C13" s="245">
        <v>123675</v>
      </c>
      <c r="D13" s="279">
        <v>2671731479.362</v>
      </c>
      <c r="E13" s="279">
        <v>2802734744.2849998</v>
      </c>
      <c r="F13" s="279">
        <v>2795374201.43294</v>
      </c>
      <c r="G13" s="279">
        <v>2858756765.00879</v>
      </c>
      <c r="H13" s="279">
        <v>2958790168.4400001</v>
      </c>
    </row>
    <row r="14" spans="2:10" ht="11.25" customHeight="1" x14ac:dyDescent="0.35">
      <c r="B14" s="244" t="s">
        <v>5282</v>
      </c>
      <c r="C14" s="245">
        <v>123676</v>
      </c>
      <c r="D14" s="278">
        <v>3.3858402000000001</v>
      </c>
      <c r="E14" s="278">
        <v>4.9033096</v>
      </c>
      <c r="F14" s="278">
        <v>-0.26262000000000002</v>
      </c>
      <c r="G14" s="278">
        <v>2.2674088999999999</v>
      </c>
      <c r="H14" s="278">
        <v>3.4991924999999999</v>
      </c>
    </row>
    <row r="15" spans="2:10" ht="11.25" customHeight="1" x14ac:dyDescent="0.35">
      <c r="B15" s="244" t="s">
        <v>5281</v>
      </c>
      <c r="C15" s="245">
        <v>123678</v>
      </c>
      <c r="D15" s="279">
        <v>4508355130.7960005</v>
      </c>
      <c r="E15" s="279">
        <v>4634592365.1339998</v>
      </c>
      <c r="F15" s="279">
        <v>4846128064.1339407</v>
      </c>
      <c r="G15" s="279">
        <v>5185723040.2077904</v>
      </c>
      <c r="H15" s="279">
        <v>5380100436.8330002</v>
      </c>
    </row>
    <row r="16" spans="2:10" ht="11.25" customHeight="1" x14ac:dyDescent="0.35">
      <c r="B16" s="244" t="s">
        <v>5280</v>
      </c>
      <c r="C16" s="245">
        <v>123677</v>
      </c>
      <c r="D16" s="278">
        <v>7.2166592999999999</v>
      </c>
      <c r="E16" s="278">
        <v>2.8000729999999998</v>
      </c>
      <c r="F16" s="278">
        <v>4.5642784000000001</v>
      </c>
      <c r="G16" s="278">
        <v>7.0075526999999997</v>
      </c>
      <c r="H16" s="278">
        <v>3.7483181000000001</v>
      </c>
    </row>
    <row r="17" spans="2:8" ht="11.25" customHeight="1" x14ac:dyDescent="0.35">
      <c r="B17" s="244" t="s">
        <v>4960</v>
      </c>
      <c r="C17" s="245">
        <v>123679</v>
      </c>
      <c r="D17" s="278">
        <v>871.88898080000001</v>
      </c>
      <c r="E17" s="278">
        <v>903.02145210000003</v>
      </c>
      <c r="F17" s="278">
        <v>855.77760169999999</v>
      </c>
      <c r="G17" s="278">
        <v>861.11785729999997</v>
      </c>
      <c r="H17" s="278">
        <v>835.89058360000001</v>
      </c>
    </row>
    <row r="18" spans="2:8" ht="11.25" customHeight="1" x14ac:dyDescent="0.35">
      <c r="B18" s="244" t="s">
        <v>4946</v>
      </c>
      <c r="C18" s="247"/>
      <c r="D18" s="248"/>
      <c r="E18" s="248"/>
      <c r="F18" s="248"/>
      <c r="G18" s="248"/>
      <c r="H18" s="248"/>
    </row>
    <row r="19" spans="2:8" ht="11.25" customHeight="1" x14ac:dyDescent="0.35">
      <c r="B19" s="246" t="s">
        <v>5486</v>
      </c>
      <c r="C19" s="247"/>
      <c r="D19" s="248"/>
      <c r="E19" s="248"/>
      <c r="F19" s="248"/>
      <c r="G19" s="248"/>
      <c r="H19" s="248"/>
    </row>
    <row r="20" spans="2:8" ht="11.25" customHeight="1" x14ac:dyDescent="0.35">
      <c r="B20" s="244" t="s">
        <v>5279</v>
      </c>
      <c r="C20" s="245"/>
      <c r="D20" s="279">
        <f>IF(LEFT(D$7,4)&gt;"2018",SUM(D30:D31),D25)</f>
        <v>929219855.24100006</v>
      </c>
      <c r="E20" s="279">
        <f>IF(LEFT(E$7,4)&gt;"2018",SUM(E30:E31),E25)</f>
        <v>979882805.06299996</v>
      </c>
      <c r="F20" s="279">
        <f>IF(LEFT(F$7,4)&gt;"2018",SUM(F30:F31),F25)</f>
        <v>986253534.66400003</v>
      </c>
      <c r="G20" s="279">
        <f>IF(LEFT(G$7,4)&gt;"2018",SUM(G30:G31),G25)</f>
        <v>1020674086.151</v>
      </c>
      <c r="H20" s="279">
        <f>IF(LEFT(H$7,4)&gt;"2018",SUM(H30:H31),H25)</f>
        <v>1060702491.2440001</v>
      </c>
    </row>
    <row r="21" spans="2:8" ht="11.25" customHeight="1" x14ac:dyDescent="0.35">
      <c r="B21" s="244" t="s">
        <v>5129</v>
      </c>
      <c r="C21" s="245"/>
      <c r="D21" s="279">
        <f>IF(LEFT(D$7,4)&gt;"2018",SUM(D32:D33),D26)</f>
        <v>1249491222.2969999</v>
      </c>
      <c r="E21" s="279">
        <f>IF(LEFT(E$7,4)&gt;"2018",SUM(E32:E33),E26)</f>
        <v>1319689355.9720001</v>
      </c>
      <c r="F21" s="279">
        <f>IF(LEFT(F$7,4)&gt;"2018",SUM(F32:F33),F26)</f>
        <v>1304453044.9790001</v>
      </c>
      <c r="G21" s="279">
        <f>IF(LEFT(G$7,4)&gt;"2018",SUM(G32:G33),G26)</f>
        <v>1339195089.4000001</v>
      </c>
      <c r="H21" s="279">
        <f>IF(LEFT(H$7,4)&gt;"2018",SUM(H32:H33),H26)</f>
        <v>1389633518.049</v>
      </c>
    </row>
    <row r="22" spans="2:8" ht="11.25" customHeight="1" x14ac:dyDescent="0.35">
      <c r="B22" s="244" t="s">
        <v>5278</v>
      </c>
      <c r="C22" s="245"/>
      <c r="D22" s="279">
        <f>IF(LEFT(D$7,4)&gt;"2018",D34,D27)</f>
        <v>206860187.17300001</v>
      </c>
      <c r="E22" s="279">
        <f>IF(LEFT(E$7,4)&gt;"2018",E34,E27)</f>
        <v>222225045.82100001</v>
      </c>
      <c r="F22" s="279">
        <f>IF(LEFT(F$7,4)&gt;"2018",F34,F27)</f>
        <v>219242366.359</v>
      </c>
      <c r="G22" s="279">
        <f>IF(LEFT(G$7,4)&gt;"2018",G34,G27)</f>
        <v>218879613.92199999</v>
      </c>
      <c r="H22" s="279">
        <f>IF(LEFT(H$7,4)&gt;"2018",H34,H27)</f>
        <v>223549835.889</v>
      </c>
    </row>
    <row r="23" spans="2:8" ht="11.25" customHeight="1" x14ac:dyDescent="0.35">
      <c r="B23" s="244" t="s">
        <v>5391</v>
      </c>
      <c r="C23" s="245"/>
      <c r="D23" s="279">
        <f>IF(LEFT(D$7,4)&gt;"2018","NA",D28)</f>
        <v>12988513.836000001</v>
      </c>
      <c r="E23" s="279">
        <f>IF(LEFT(E$7,4)&gt;"2018","NA",E28)</f>
        <v>14063951.723000001</v>
      </c>
      <c r="F23" s="279">
        <f>IF(LEFT(F$7,4)&gt;"2018","NA",F28)</f>
        <v>14975068.793</v>
      </c>
      <c r="G23" s="279">
        <f>IF(LEFT(G$7,4)&gt;"2018","NA",G28)</f>
        <v>16000413.59</v>
      </c>
      <c r="H23" s="279">
        <f>IF(LEFT(H$7,4)&gt;"2018","NA",H28)</f>
        <v>17291012.626000002</v>
      </c>
    </row>
    <row r="24" spans="2:8" ht="11.25" customHeight="1" x14ac:dyDescent="0.35">
      <c r="B24" s="244" t="s">
        <v>4946</v>
      </c>
      <c r="C24" s="247"/>
      <c r="D24" s="279"/>
      <c r="E24" s="279"/>
      <c r="F24" s="279"/>
      <c r="G24" s="279"/>
      <c r="H24" s="279"/>
    </row>
    <row r="25" spans="2:8" s="288" customFormat="1" ht="11.25" hidden="1" customHeight="1" outlineLevel="1" x14ac:dyDescent="0.35">
      <c r="B25" s="244" t="s">
        <v>5279</v>
      </c>
      <c r="C25" s="245">
        <v>123680</v>
      </c>
      <c r="D25" s="279">
        <v>929219855.24100006</v>
      </c>
      <c r="E25" s="279">
        <v>979882805.06299996</v>
      </c>
      <c r="F25" s="279">
        <v>986253534.66400003</v>
      </c>
      <c r="G25" s="279">
        <v>1020674086.151</v>
      </c>
      <c r="H25" s="279">
        <v>1060702491.2440001</v>
      </c>
    </row>
    <row r="26" spans="2:8" s="288" customFormat="1" ht="11.25" hidden="1" customHeight="1" outlineLevel="1" x14ac:dyDescent="0.35">
      <c r="B26" s="244" t="s">
        <v>5129</v>
      </c>
      <c r="C26" s="245">
        <v>123681</v>
      </c>
      <c r="D26" s="279">
        <v>1249491222.2969999</v>
      </c>
      <c r="E26" s="279">
        <v>1319689355.9720001</v>
      </c>
      <c r="F26" s="279">
        <v>1304453044.9790001</v>
      </c>
      <c r="G26" s="279">
        <v>1339195089.4000001</v>
      </c>
      <c r="H26" s="279">
        <v>1389633518.049</v>
      </c>
    </row>
    <row r="27" spans="2:8" s="288" customFormat="1" ht="11.25" hidden="1" customHeight="1" outlineLevel="1" x14ac:dyDescent="0.35">
      <c r="B27" s="244" t="s">
        <v>5278</v>
      </c>
      <c r="C27" s="245">
        <v>123682</v>
      </c>
      <c r="D27" s="279">
        <v>206860187.17300001</v>
      </c>
      <c r="E27" s="279">
        <v>222225045.82100001</v>
      </c>
      <c r="F27" s="279">
        <v>219242366.359</v>
      </c>
      <c r="G27" s="279">
        <v>218879613.92199999</v>
      </c>
      <c r="H27" s="279">
        <v>223549835.889</v>
      </c>
    </row>
    <row r="28" spans="2:8" s="288" customFormat="1" ht="11.25" hidden="1" customHeight="1" outlineLevel="1" x14ac:dyDescent="0.35">
      <c r="B28" s="244" t="s">
        <v>5391</v>
      </c>
      <c r="C28" s="245">
        <v>123683</v>
      </c>
      <c r="D28" s="279">
        <v>12988513.836000001</v>
      </c>
      <c r="E28" s="279">
        <v>14063951.723000001</v>
      </c>
      <c r="F28" s="279">
        <v>14975068.793</v>
      </c>
      <c r="G28" s="279">
        <v>16000413.59</v>
      </c>
      <c r="H28" s="279">
        <v>17291012.626000002</v>
      </c>
    </row>
    <row r="29" spans="2:8" s="288" customFormat="1" ht="11.25" hidden="1" customHeight="1" outlineLevel="1" x14ac:dyDescent="0.35">
      <c r="B29" s="244"/>
      <c r="C29" s="247"/>
      <c r="D29" s="279"/>
      <c r="E29" s="279"/>
      <c r="F29" s="279"/>
      <c r="G29" s="279"/>
      <c r="H29" s="279"/>
    </row>
    <row r="30" spans="2:8" s="302" customFormat="1" ht="11.25" hidden="1" customHeight="1" outlineLevel="1" x14ac:dyDescent="0.35">
      <c r="B30" s="244" t="s">
        <v>5487</v>
      </c>
      <c r="C30" s="247"/>
      <c r="D30" s="279" t="str">
        <f>IF(S226="","",S226)</f>
        <v>NA</v>
      </c>
      <c r="E30" s="279" t="str">
        <f>IF(S221="","",S221)</f>
        <v>NA</v>
      </c>
      <c r="F30" s="279" t="str">
        <f>IF(S216="","",S216)</f>
        <v>NA</v>
      </c>
      <c r="G30" s="279" t="str">
        <f>IF(S211="","",S211)</f>
        <v>NA</v>
      </c>
      <c r="H30" s="279" t="str">
        <f>IF(S206="","",S206)</f>
        <v>NA</v>
      </c>
    </row>
    <row r="31" spans="2:8" s="302" customFormat="1" ht="11.25" hidden="1" customHeight="1" outlineLevel="1" x14ac:dyDescent="0.35">
      <c r="B31" s="244" t="s">
        <v>5488</v>
      </c>
      <c r="C31" s="247"/>
      <c r="D31" s="279" t="str">
        <f>IF(S227="","",S227)</f>
        <v>NA</v>
      </c>
      <c r="E31" s="279" t="str">
        <f>IF(S222="","",S222)</f>
        <v>NA</v>
      </c>
      <c r="F31" s="279" t="str">
        <f>IF(S217="","",S217)</f>
        <v>NA</v>
      </c>
      <c r="G31" s="279" t="str">
        <f>IF(S212="","",S212)</f>
        <v>NA</v>
      </c>
      <c r="H31" s="279" t="str">
        <f>IF(S207="","",S207)</f>
        <v>NA</v>
      </c>
    </row>
    <row r="32" spans="2:8" s="288" customFormat="1" ht="11.25" hidden="1" customHeight="1" outlineLevel="1" x14ac:dyDescent="0.35">
      <c r="B32" s="244" t="s">
        <v>5489</v>
      </c>
      <c r="C32" s="247"/>
      <c r="D32" s="279" t="str">
        <f>IF(S228="","",S228)</f>
        <v>NA</v>
      </c>
      <c r="E32" s="279" t="str">
        <f>IF(S223="","",S223)</f>
        <v>NA</v>
      </c>
      <c r="F32" s="279" t="str">
        <f>IF(S218="","",S218)</f>
        <v>NA</v>
      </c>
      <c r="G32" s="279" t="str">
        <f>IF(S213="","",S213)</f>
        <v>NA</v>
      </c>
      <c r="H32" s="279" t="str">
        <f>IF(S208="","",S208)</f>
        <v>NA</v>
      </c>
    </row>
    <row r="33" spans="2:8" s="288" customFormat="1" ht="11.25" hidden="1" customHeight="1" outlineLevel="1" x14ac:dyDescent="0.35">
      <c r="B33" s="244" t="s">
        <v>5490</v>
      </c>
      <c r="C33" s="247"/>
      <c r="D33" s="279" t="str">
        <f>IF(S229="","",S229)</f>
        <v>NA</v>
      </c>
      <c r="E33" s="279" t="str">
        <f>IF(S224="","",S224)</f>
        <v>NA</v>
      </c>
      <c r="F33" s="279" t="str">
        <f>IF(S219="","",S219)</f>
        <v>NA</v>
      </c>
      <c r="G33" s="279" t="str">
        <f>IF(S214="","",S214)</f>
        <v>NA</v>
      </c>
      <c r="H33" s="279" t="str">
        <f>IF(S209="","",S209)</f>
        <v>NA</v>
      </c>
    </row>
    <row r="34" spans="2:8" s="288" customFormat="1" ht="11.25" hidden="1" customHeight="1" outlineLevel="1" x14ac:dyDescent="0.35">
      <c r="B34" s="300" t="s">
        <v>5491</v>
      </c>
      <c r="C34" s="247"/>
      <c r="D34" s="279" t="str">
        <f>IF(S230="","",S230)</f>
        <v>NA</v>
      </c>
      <c r="E34" s="279" t="str">
        <f>IF(S225="","",S225)</f>
        <v>NA</v>
      </c>
      <c r="F34" s="279" t="str">
        <f>IF(S220="","",S220)</f>
        <v>NA</v>
      </c>
      <c r="G34" s="279" t="str">
        <f>IF(S215="","",S215)</f>
        <v>NA</v>
      </c>
      <c r="H34" s="279" t="str">
        <f>IF(S210="","",S210)</f>
        <v>NA</v>
      </c>
    </row>
    <row r="35" spans="2:8" s="288" customFormat="1" ht="11.25" hidden="1" customHeight="1" outlineLevel="1" x14ac:dyDescent="0.35">
      <c r="B35" s="244"/>
      <c r="C35" s="247"/>
      <c r="D35" s="279"/>
      <c r="E35" s="279"/>
      <c r="F35" s="279"/>
      <c r="G35" s="279"/>
      <c r="H35" s="279"/>
    </row>
    <row r="36" spans="2:8" s="288" customFormat="1" ht="11.25" customHeight="1" collapsed="1" x14ac:dyDescent="0.35">
      <c r="B36" s="246" t="s">
        <v>5406</v>
      </c>
      <c r="C36" s="247"/>
      <c r="D36" s="279"/>
      <c r="E36" s="279"/>
      <c r="F36" s="279"/>
      <c r="G36" s="279"/>
      <c r="H36" s="279"/>
    </row>
    <row r="37" spans="2:8" s="288" customFormat="1" ht="11.25" customHeight="1" x14ac:dyDescent="0.35">
      <c r="B37" s="244" t="s">
        <v>5411</v>
      </c>
      <c r="C37" s="247"/>
      <c r="D37" s="279" t="str">
        <f>IF(S280="","",S280)</f>
        <v>NA</v>
      </c>
      <c r="E37" s="279" t="str">
        <f>IF(S268="","",S268)</f>
        <v>NA</v>
      </c>
      <c r="F37" s="279" t="str">
        <f>IF(S256="","",S256)</f>
        <v>NA</v>
      </c>
      <c r="G37" s="279" t="str">
        <f>IF(S244="","",S244)</f>
        <v>NA</v>
      </c>
      <c r="H37" s="279" t="str">
        <f>IF(S232="","",S232)</f>
        <v>NA</v>
      </c>
    </row>
    <row r="38" spans="2:8" s="343" customFormat="1" ht="11.25" customHeight="1" x14ac:dyDescent="0.35">
      <c r="B38" s="244" t="s">
        <v>5412</v>
      </c>
      <c r="C38" s="247"/>
      <c r="D38" s="279" t="str">
        <f>IF(S281="","",S281)</f>
        <v>NA</v>
      </c>
      <c r="E38" s="279" t="str">
        <f>IF(S269="","",S269)</f>
        <v>NA</v>
      </c>
      <c r="F38" s="279" t="str">
        <f>IF(S257="","",S257)</f>
        <v>NA</v>
      </c>
      <c r="G38" s="279" t="str">
        <f>IF(S245="","",S245)</f>
        <v>NA</v>
      </c>
      <c r="H38" s="279" t="str">
        <f>IF(S233="","",S233)</f>
        <v>NA</v>
      </c>
    </row>
    <row r="39" spans="2:8" s="343" customFormat="1" ht="11.25" customHeight="1" x14ac:dyDescent="0.35">
      <c r="B39" s="244" t="s">
        <v>5413</v>
      </c>
      <c r="C39" s="247"/>
      <c r="D39" s="279" t="str">
        <f>IF(S282="","",S282)</f>
        <v>NA</v>
      </c>
      <c r="E39" s="279" t="str">
        <f>IF(S270="","",S270)</f>
        <v>NA</v>
      </c>
      <c r="F39" s="279" t="str">
        <f>IF(S258="","",S258)</f>
        <v>NA</v>
      </c>
      <c r="G39" s="279" t="str">
        <f>IF(S246="","",S246)</f>
        <v>NA</v>
      </c>
      <c r="H39" s="279" t="str">
        <f>IF(S234="","",S234)</f>
        <v>NA</v>
      </c>
    </row>
    <row r="40" spans="2:8" s="343" customFormat="1" ht="11.25" customHeight="1" x14ac:dyDescent="0.35">
      <c r="B40" s="244" t="s">
        <v>5414</v>
      </c>
      <c r="C40" s="247"/>
      <c r="D40" s="279" t="str">
        <f>IF(S283="","",S283)</f>
        <v>NA</v>
      </c>
      <c r="E40" s="279" t="str">
        <f>IF(S271="","",S271)</f>
        <v>NA</v>
      </c>
      <c r="F40" s="279" t="str">
        <f>IF(S259="","",S259)</f>
        <v>NA</v>
      </c>
      <c r="G40" s="279" t="str">
        <f>IF(S247="","",S247)</f>
        <v>NA</v>
      </c>
      <c r="H40" s="279" t="str">
        <f>IF(S235="","",S235)</f>
        <v>NA</v>
      </c>
    </row>
    <row r="41" spans="2:8" s="343" customFormat="1" ht="11.25" customHeight="1" x14ac:dyDescent="0.35">
      <c r="B41" s="244" t="s">
        <v>5415</v>
      </c>
      <c r="C41" s="247"/>
      <c r="D41" s="279" t="str">
        <f>IF(S284="","",S284)</f>
        <v>NA</v>
      </c>
      <c r="E41" s="279" t="str">
        <f>IF(S272="","",S272)</f>
        <v>NA</v>
      </c>
      <c r="F41" s="279" t="str">
        <f>IF(S260="","",S260)</f>
        <v>NA</v>
      </c>
      <c r="G41" s="279" t="str">
        <f>IF(S248="","",S248)</f>
        <v>NA</v>
      </c>
      <c r="H41" s="279" t="str">
        <f>IF(S236="","",S236)</f>
        <v>NA</v>
      </c>
    </row>
    <row r="42" spans="2:8" s="343" customFormat="1" ht="11.25" customHeight="1" x14ac:dyDescent="0.35">
      <c r="B42" s="244" t="s">
        <v>5416</v>
      </c>
      <c r="C42" s="247"/>
      <c r="D42" s="279" t="str">
        <f>IF(S285="","",S285)</f>
        <v>NA</v>
      </c>
      <c r="E42" s="279" t="str">
        <f>IF(S273="","",S273)</f>
        <v>NA</v>
      </c>
      <c r="F42" s="279" t="str">
        <f>IF(S261="","",S261)</f>
        <v>NA</v>
      </c>
      <c r="G42" s="279" t="str">
        <f>IF(S249="","",S249)</f>
        <v>NA</v>
      </c>
      <c r="H42" s="279" t="str">
        <f>IF(S237="","",S237)</f>
        <v>NA</v>
      </c>
    </row>
    <row r="43" spans="2:8" s="343" customFormat="1" ht="11.25" customHeight="1" x14ac:dyDescent="0.35">
      <c r="B43" s="244" t="s">
        <v>5417</v>
      </c>
      <c r="C43" s="247"/>
      <c r="D43" s="279" t="str">
        <f>IF(S286="","",S286)</f>
        <v>NA</v>
      </c>
      <c r="E43" s="279" t="str">
        <f>IF(S274="","",S274)</f>
        <v>NA</v>
      </c>
      <c r="F43" s="279" t="str">
        <f>IF(S262="","",S262)</f>
        <v>NA</v>
      </c>
      <c r="G43" s="279" t="str">
        <f>IF(S250="","",S250)</f>
        <v>NA</v>
      </c>
      <c r="H43" s="279" t="str">
        <f>IF(S238="","",S238)</f>
        <v>NA</v>
      </c>
    </row>
    <row r="44" spans="2:8" s="343" customFormat="1" ht="11.25" customHeight="1" x14ac:dyDescent="0.35">
      <c r="B44" s="244" t="s">
        <v>5418</v>
      </c>
      <c r="C44" s="247"/>
      <c r="D44" s="279" t="str">
        <f>IF(S287="","",S287)</f>
        <v>NA</v>
      </c>
      <c r="E44" s="279" t="str">
        <f>IF(S275="","",S275)</f>
        <v>NA</v>
      </c>
      <c r="F44" s="279" t="str">
        <f>IF(S263="","",S263)</f>
        <v>NA</v>
      </c>
      <c r="G44" s="279" t="str">
        <f>IF(S251="","",S251)</f>
        <v>NA</v>
      </c>
      <c r="H44" s="279" t="str">
        <f>IF(S239="","",S239)</f>
        <v>NA</v>
      </c>
    </row>
    <row r="45" spans="2:8" s="343" customFormat="1" ht="11.25" customHeight="1" x14ac:dyDescent="0.35">
      <c r="B45" s="244" t="s">
        <v>5419</v>
      </c>
      <c r="C45" s="247"/>
      <c r="D45" s="279" t="str">
        <f>IF(S288="","",S288)</f>
        <v>NA</v>
      </c>
      <c r="E45" s="279" t="str">
        <f>IF(S276="","",S276)</f>
        <v>NA</v>
      </c>
      <c r="F45" s="279" t="str">
        <f>IF(S264="","",S264)</f>
        <v>NA</v>
      </c>
      <c r="G45" s="279" t="str">
        <f>IF(S252="","",S252)</f>
        <v>NA</v>
      </c>
      <c r="H45" s="279" t="str">
        <f>IF(S240="","",S240)</f>
        <v>NA</v>
      </c>
    </row>
    <row r="46" spans="2:8" s="343" customFormat="1" ht="11.25" customHeight="1" x14ac:dyDescent="0.35">
      <c r="B46" s="244" t="s">
        <v>5420</v>
      </c>
      <c r="C46" s="247"/>
      <c r="D46" s="279" t="str">
        <f>IF(S289="","",S289)</f>
        <v>NA</v>
      </c>
      <c r="E46" s="279" t="str">
        <f>IF(S277="","",S277)</f>
        <v>NA</v>
      </c>
      <c r="F46" s="279" t="str">
        <f>IF(S265="","",S265)</f>
        <v>NA</v>
      </c>
      <c r="G46" s="279" t="str">
        <f>IF(S253="","",S253)</f>
        <v>NA</v>
      </c>
      <c r="H46" s="279" t="str">
        <f>IF(S241="","",S241)</f>
        <v>NA</v>
      </c>
    </row>
    <row r="47" spans="2:8" s="343" customFormat="1" ht="11.25" customHeight="1" x14ac:dyDescent="0.35">
      <c r="B47" s="244" t="s">
        <v>5421</v>
      </c>
      <c r="C47" s="247"/>
      <c r="D47" s="279" t="str">
        <f>IF(S290="","",S290)</f>
        <v>NA</v>
      </c>
      <c r="E47" s="279" t="str">
        <f>IF(S278="","",S278)</f>
        <v>NA</v>
      </c>
      <c r="F47" s="279" t="str">
        <f>IF(S266="","",S266)</f>
        <v>NA</v>
      </c>
      <c r="G47" s="279" t="str">
        <f>IF(S254="","",S254)</f>
        <v>NA</v>
      </c>
      <c r="H47" s="279" t="str">
        <f>IF(S242="","",S242)</f>
        <v>NA</v>
      </c>
    </row>
    <row r="48" spans="2:8" s="343" customFormat="1" ht="11.25" customHeight="1" x14ac:dyDescent="0.35">
      <c r="B48" s="244" t="s">
        <v>5422</v>
      </c>
      <c r="C48" s="247"/>
      <c r="D48" s="279" t="str">
        <f>IF(S291="","",S291)</f>
        <v>NA</v>
      </c>
      <c r="E48" s="279" t="str">
        <f>IF(S279="","",S279)</f>
        <v>NA</v>
      </c>
      <c r="F48" s="279" t="str">
        <f>IF(S267="","",S267)</f>
        <v>NA</v>
      </c>
      <c r="G48" s="279" t="str">
        <f>IF(S255="","",S255)</f>
        <v>NA</v>
      </c>
      <c r="H48" s="279" t="str">
        <f>IF(S243="","",S243)</f>
        <v>NA</v>
      </c>
    </row>
    <row r="49" spans="2:8" s="343" customFormat="1" ht="11.25" customHeight="1" x14ac:dyDescent="0.35">
      <c r="B49" s="244"/>
      <c r="C49" s="247"/>
      <c r="D49" s="279"/>
      <c r="E49" s="279"/>
      <c r="F49" s="279"/>
      <c r="G49" s="279"/>
      <c r="H49" s="279"/>
    </row>
    <row r="50" spans="2:8" s="343" customFormat="1" ht="11.25" customHeight="1" x14ac:dyDescent="0.35">
      <c r="B50" s="246" t="s">
        <v>5407</v>
      </c>
      <c r="C50" s="247"/>
      <c r="D50" s="279"/>
      <c r="E50" s="279"/>
      <c r="F50" s="279"/>
      <c r="G50" s="279"/>
      <c r="H50" s="279"/>
    </row>
    <row r="51" spans="2:8" s="343" customFormat="1" ht="11.25" customHeight="1" x14ac:dyDescent="0.35">
      <c r="B51" s="244" t="s">
        <v>5423</v>
      </c>
      <c r="C51" s="247"/>
      <c r="D51" s="279" t="str">
        <f>IF(S329="","",S329)</f>
        <v>NA</v>
      </c>
      <c r="E51" s="279" t="str">
        <f>IF(S320="","",S320)</f>
        <v>NA</v>
      </c>
      <c r="F51" s="279" t="str">
        <f>IF(S311="","",S311)</f>
        <v>NA</v>
      </c>
      <c r="G51" s="279" t="str">
        <f>IF(S302="","",S302)</f>
        <v>NA</v>
      </c>
      <c r="H51" s="279" t="str">
        <f>IF(S293="","",S293)</f>
        <v>NA</v>
      </c>
    </row>
    <row r="52" spans="2:8" s="343" customFormat="1" ht="11.25" customHeight="1" x14ac:dyDescent="0.35">
      <c r="B52" s="244" t="s">
        <v>5424</v>
      </c>
      <c r="C52" s="247"/>
      <c r="D52" s="279" t="str">
        <f>IF(S330="","",S330)</f>
        <v>NA</v>
      </c>
      <c r="E52" s="279" t="str">
        <f>IF(S321="","",S321)</f>
        <v>NA</v>
      </c>
      <c r="F52" s="279" t="str">
        <f>IF(S312="","",S312)</f>
        <v>NA</v>
      </c>
      <c r="G52" s="279" t="str">
        <f>IF(S303="","",S303)</f>
        <v>NA</v>
      </c>
      <c r="H52" s="279" t="str">
        <f>IF(S294="","",S294)</f>
        <v>NA</v>
      </c>
    </row>
    <row r="53" spans="2:8" s="343" customFormat="1" ht="11.25" customHeight="1" x14ac:dyDescent="0.35">
      <c r="B53" s="244" t="s">
        <v>5425</v>
      </c>
      <c r="C53" s="247"/>
      <c r="D53" s="279" t="str">
        <f>IF(S331="","",S331)</f>
        <v>NA</v>
      </c>
      <c r="E53" s="279" t="str">
        <f>IF(S322="","",S322)</f>
        <v>NA</v>
      </c>
      <c r="F53" s="279" t="str">
        <f>IF(S313="","",S313)</f>
        <v>NA</v>
      </c>
      <c r="G53" s="279" t="str">
        <f>IF(S304="","",S304)</f>
        <v>NA</v>
      </c>
      <c r="H53" s="279" t="str">
        <f>IF(S295="","",S295)</f>
        <v>NA</v>
      </c>
    </row>
    <row r="54" spans="2:8" s="343" customFormat="1" ht="11.25" customHeight="1" x14ac:dyDescent="0.35">
      <c r="B54" s="244" t="s">
        <v>5426</v>
      </c>
      <c r="C54" s="247"/>
      <c r="D54" s="279" t="str">
        <f>IF(S332="","",S332)</f>
        <v>NA</v>
      </c>
      <c r="E54" s="279" t="str">
        <f>IF(S323="","",S323)</f>
        <v>NA</v>
      </c>
      <c r="F54" s="279" t="str">
        <f>IF(S314="","",S314)</f>
        <v>NA</v>
      </c>
      <c r="G54" s="279" t="str">
        <f>IF(S305="","",S305)</f>
        <v>NA</v>
      </c>
      <c r="H54" s="279" t="str">
        <f>IF(S296="","",S296)</f>
        <v>NA</v>
      </c>
    </row>
    <row r="55" spans="2:8" s="343" customFormat="1" ht="11.25" customHeight="1" x14ac:dyDescent="0.35">
      <c r="B55" s="244" t="s">
        <v>5427</v>
      </c>
      <c r="C55" s="247"/>
      <c r="D55" s="279" t="str">
        <f>IF(S333="","",S333)</f>
        <v>NA</v>
      </c>
      <c r="E55" s="279" t="str">
        <f>IF(S324="","",S324)</f>
        <v>NA</v>
      </c>
      <c r="F55" s="279" t="str">
        <f>IF(S315="","",S315)</f>
        <v>NA</v>
      </c>
      <c r="G55" s="279" t="str">
        <f>IF(S306="","",S306)</f>
        <v>NA</v>
      </c>
      <c r="H55" s="279" t="str">
        <f>IF(S297="","",S297)</f>
        <v>NA</v>
      </c>
    </row>
    <row r="56" spans="2:8" s="343" customFormat="1" ht="11.25" customHeight="1" x14ac:dyDescent="0.35">
      <c r="B56" s="244" t="s">
        <v>5428</v>
      </c>
      <c r="C56" s="247"/>
      <c r="D56" s="279" t="str">
        <f>IF(S334="","",S334)</f>
        <v>NA</v>
      </c>
      <c r="E56" s="279" t="str">
        <f>IF(S325="","",S325)</f>
        <v>NA</v>
      </c>
      <c r="F56" s="279" t="str">
        <f>IF(S316="","",S316)</f>
        <v>NA</v>
      </c>
      <c r="G56" s="279" t="str">
        <f>IF(S307="","",S307)</f>
        <v>NA</v>
      </c>
      <c r="H56" s="279" t="str">
        <f>IF(S298="","",S298)</f>
        <v>NA</v>
      </c>
    </row>
    <row r="57" spans="2:8" s="343" customFormat="1" ht="11.25" customHeight="1" x14ac:dyDescent="0.35">
      <c r="B57" s="244" t="s">
        <v>5429</v>
      </c>
      <c r="C57" s="247"/>
      <c r="D57" s="279" t="str">
        <f>IF(S335="","",S335)</f>
        <v>NA</v>
      </c>
      <c r="E57" s="279" t="str">
        <f>IF(S326="","",S326)</f>
        <v>NA</v>
      </c>
      <c r="F57" s="279" t="str">
        <f>IF(S317="","",S317)</f>
        <v>NA</v>
      </c>
      <c r="G57" s="279" t="str">
        <f>IF(S308="","",S308)</f>
        <v>NA</v>
      </c>
      <c r="H57" s="279" t="str">
        <f>IF(S299="","",S299)</f>
        <v>NA</v>
      </c>
    </row>
    <row r="58" spans="2:8" s="343" customFormat="1" ht="11.25" customHeight="1" x14ac:dyDescent="0.35">
      <c r="B58" s="244" t="s">
        <v>5430</v>
      </c>
      <c r="C58" s="247"/>
      <c r="D58" s="279" t="str">
        <f>IF(S336="","",S336)</f>
        <v>NA</v>
      </c>
      <c r="E58" s="279" t="str">
        <f>IF(S327="","",S327)</f>
        <v>NA</v>
      </c>
      <c r="F58" s="279" t="str">
        <f>IF(S318="","",S318)</f>
        <v>NA</v>
      </c>
      <c r="G58" s="279" t="str">
        <f>IF(S309="","",S309)</f>
        <v>NA</v>
      </c>
      <c r="H58" s="279" t="str">
        <f>IF(S300="","",S300)</f>
        <v>NA</v>
      </c>
    </row>
    <row r="59" spans="2:8" s="343" customFormat="1" ht="11.25" customHeight="1" x14ac:dyDescent="0.35">
      <c r="B59" s="244" t="s">
        <v>5431</v>
      </c>
      <c r="C59" s="247"/>
      <c r="D59" s="279" t="str">
        <f>IF(S337="","",S337)</f>
        <v>NA</v>
      </c>
      <c r="E59" s="279" t="str">
        <f>IF(S328="","",S328)</f>
        <v>NA</v>
      </c>
      <c r="F59" s="279" t="str">
        <f>IF(S319="","",S319)</f>
        <v>NA</v>
      </c>
      <c r="G59" s="279" t="str">
        <f>IF(S310="","",S310)</f>
        <v>NA</v>
      </c>
      <c r="H59" s="279" t="str">
        <f>IF(S301="","",S301)</f>
        <v>NA</v>
      </c>
    </row>
    <row r="60" spans="2:8" s="343" customFormat="1" ht="11.25" customHeight="1" x14ac:dyDescent="0.35">
      <c r="B60" s="244"/>
      <c r="C60" s="247"/>
      <c r="D60" s="279"/>
      <c r="E60" s="279"/>
      <c r="F60" s="279"/>
      <c r="G60" s="279"/>
      <c r="H60" s="279"/>
    </row>
    <row r="61" spans="2:8" s="343" customFormat="1" ht="11.25" customHeight="1" x14ac:dyDescent="0.35">
      <c r="B61" s="246" t="s">
        <v>5408</v>
      </c>
      <c r="C61" s="247"/>
      <c r="D61" s="279"/>
      <c r="E61" s="279"/>
      <c r="F61" s="279"/>
      <c r="G61" s="279"/>
      <c r="H61" s="279"/>
    </row>
    <row r="62" spans="2:8" s="343" customFormat="1" ht="11.25" customHeight="1" x14ac:dyDescent="0.35">
      <c r="B62" s="244" t="s">
        <v>5432</v>
      </c>
      <c r="C62" s="247"/>
      <c r="D62" s="279" t="str">
        <f>IF(S367="","",S367)</f>
        <v>NA</v>
      </c>
      <c r="E62" s="279" t="str">
        <f>IF(S360="","",S360)</f>
        <v>NA</v>
      </c>
      <c r="F62" s="279" t="str">
        <f>IF(S353="","",S353)</f>
        <v>NA</v>
      </c>
      <c r="G62" s="279" t="str">
        <f>IF(S346="","",S346)</f>
        <v>NA</v>
      </c>
      <c r="H62" s="279" t="str">
        <f>IF(S339="","",S339)</f>
        <v>NA</v>
      </c>
    </row>
    <row r="63" spans="2:8" s="343" customFormat="1" ht="11.25" customHeight="1" x14ac:dyDescent="0.35">
      <c r="B63" s="244" t="s">
        <v>5433</v>
      </c>
      <c r="C63" s="247"/>
      <c r="D63" s="279" t="str">
        <f>IF(S368="","",S368)</f>
        <v>NA</v>
      </c>
      <c r="E63" s="279" t="str">
        <f>IF(S361="","",S361)</f>
        <v>NA</v>
      </c>
      <c r="F63" s="279" t="str">
        <f>IF(S354="","",S354)</f>
        <v>NA</v>
      </c>
      <c r="G63" s="279" t="str">
        <f>IF(S347="","",S347)</f>
        <v>NA</v>
      </c>
      <c r="H63" s="279" t="str">
        <f>IF(S340="","",S340)</f>
        <v>NA</v>
      </c>
    </row>
    <row r="64" spans="2:8" s="343" customFormat="1" ht="11.25" customHeight="1" x14ac:dyDescent="0.35">
      <c r="B64" s="244" t="s">
        <v>5434</v>
      </c>
      <c r="C64" s="247"/>
      <c r="D64" s="279" t="str">
        <f>IF(S369="","",S369)</f>
        <v>NA</v>
      </c>
      <c r="E64" s="279" t="str">
        <f>IF(S362="","",S362)</f>
        <v>NA</v>
      </c>
      <c r="F64" s="279" t="str">
        <f>IF(S355="","",S355)</f>
        <v>NA</v>
      </c>
      <c r="G64" s="279" t="str">
        <f>IF(S348="","",S348)</f>
        <v>NA</v>
      </c>
      <c r="H64" s="279" t="str">
        <f>IF(S341="","",S341)</f>
        <v>NA</v>
      </c>
    </row>
    <row r="65" spans="2:8" s="343" customFormat="1" ht="11.25" customHeight="1" x14ac:dyDescent="0.35">
      <c r="B65" s="244" t="s">
        <v>5435</v>
      </c>
      <c r="C65" s="247"/>
      <c r="D65" s="279" t="str">
        <f>IF(S370="","",S370)</f>
        <v>NA</v>
      </c>
      <c r="E65" s="279" t="str">
        <f>IF(S363="","",S363)</f>
        <v>NA</v>
      </c>
      <c r="F65" s="279" t="str">
        <f>IF(S356="","",S356)</f>
        <v>NA</v>
      </c>
      <c r="G65" s="279" t="str">
        <f>IF(S349="","",S349)</f>
        <v>NA</v>
      </c>
      <c r="H65" s="279" t="str">
        <f>IF(S342="","",S342)</f>
        <v>NA</v>
      </c>
    </row>
    <row r="66" spans="2:8" s="343" customFormat="1" ht="11.25" customHeight="1" x14ac:dyDescent="0.35">
      <c r="B66" s="244" t="s">
        <v>5436</v>
      </c>
      <c r="C66" s="247"/>
      <c r="D66" s="279" t="str">
        <f>IF(S371="","",S371)</f>
        <v>NA</v>
      </c>
      <c r="E66" s="279" t="str">
        <f>IF(S364="","",S364)</f>
        <v>NA</v>
      </c>
      <c r="F66" s="279" t="str">
        <f>IF(S357="","",S357)</f>
        <v>NA</v>
      </c>
      <c r="G66" s="279" t="str">
        <f>IF(S350="","",S350)</f>
        <v>NA</v>
      </c>
      <c r="H66" s="279" t="str">
        <f>IF(S343="","",S343)</f>
        <v>NA</v>
      </c>
    </row>
    <row r="67" spans="2:8" s="343" customFormat="1" ht="11.25" customHeight="1" x14ac:dyDescent="0.35">
      <c r="B67" s="244" t="s">
        <v>5437</v>
      </c>
      <c r="C67" s="247"/>
      <c r="D67" s="279" t="str">
        <f>IF(S372="","",S372)</f>
        <v>NA</v>
      </c>
      <c r="E67" s="279" t="str">
        <f>IF(S365="","",S365)</f>
        <v>NA</v>
      </c>
      <c r="F67" s="279" t="str">
        <f>IF(S358="","",S358)</f>
        <v>NA</v>
      </c>
      <c r="G67" s="279" t="str">
        <f>IF(S351="","",S351)</f>
        <v>NA</v>
      </c>
      <c r="H67" s="279" t="str">
        <f>IF(S344="","",S344)</f>
        <v>NA</v>
      </c>
    </row>
    <row r="68" spans="2:8" s="343" customFormat="1" ht="11.25" customHeight="1" x14ac:dyDescent="0.35">
      <c r="B68" s="244" t="s">
        <v>5438</v>
      </c>
      <c r="C68" s="247"/>
      <c r="D68" s="279" t="str">
        <f>IF(S373="","",S373)</f>
        <v>NA</v>
      </c>
      <c r="E68" s="279" t="str">
        <f>IF(S366="","",S366)</f>
        <v>NA</v>
      </c>
      <c r="F68" s="279" t="str">
        <f>IF(S359="","",S359)</f>
        <v>NA</v>
      </c>
      <c r="G68" s="279" t="str">
        <f>IF(S352="","",S352)</f>
        <v>NA</v>
      </c>
      <c r="H68" s="279" t="str">
        <f>IF(S345="","",S345)</f>
        <v>NA</v>
      </c>
    </row>
    <row r="69" spans="2:8" s="343" customFormat="1" ht="11.25" customHeight="1" x14ac:dyDescent="0.35">
      <c r="B69" s="244"/>
      <c r="C69" s="247"/>
      <c r="D69" s="279"/>
      <c r="E69" s="279"/>
      <c r="F69" s="279"/>
      <c r="G69" s="279"/>
      <c r="H69" s="279"/>
    </row>
    <row r="70" spans="2:8" s="343" customFormat="1" ht="11.25" customHeight="1" x14ac:dyDescent="0.35">
      <c r="B70" s="246" t="s">
        <v>5409</v>
      </c>
      <c r="C70" s="247"/>
      <c r="D70" s="279"/>
      <c r="E70" s="279"/>
      <c r="F70" s="279"/>
      <c r="G70" s="279"/>
      <c r="H70" s="279"/>
    </row>
    <row r="71" spans="2:8" s="343" customFormat="1" ht="11.25" customHeight="1" x14ac:dyDescent="0.35">
      <c r="B71" s="244" t="s">
        <v>5439</v>
      </c>
      <c r="C71" s="247"/>
      <c r="D71" s="279" t="str">
        <f>IF(S403="","",S403)</f>
        <v>NA</v>
      </c>
      <c r="E71" s="279" t="str">
        <f>IF(S396="","",S396)</f>
        <v>NA</v>
      </c>
      <c r="F71" s="279" t="str">
        <f>IF(S389="","",S389)</f>
        <v>NA</v>
      </c>
      <c r="G71" s="279" t="str">
        <f>IF(S382="","",S382)</f>
        <v>NA</v>
      </c>
      <c r="H71" s="279" t="str">
        <f>IF(S375="","",S375)</f>
        <v>NA</v>
      </c>
    </row>
    <row r="72" spans="2:8" s="343" customFormat="1" ht="11.25" customHeight="1" x14ac:dyDescent="0.35">
      <c r="B72" s="244" t="s">
        <v>5440</v>
      </c>
      <c r="C72" s="247"/>
      <c r="D72" s="279" t="str">
        <f>IF(S404="","",S404)</f>
        <v>NA</v>
      </c>
      <c r="E72" s="279" t="str">
        <f>IF(S397="","",S397)</f>
        <v>NA</v>
      </c>
      <c r="F72" s="279" t="str">
        <f>IF(S390="","",S390)</f>
        <v>NA</v>
      </c>
      <c r="G72" s="279" t="str">
        <f>IF(S383="","",S383)</f>
        <v>NA</v>
      </c>
      <c r="H72" s="279" t="str">
        <f>IF(S376="","",S376)</f>
        <v>NA</v>
      </c>
    </row>
    <row r="73" spans="2:8" s="343" customFormat="1" ht="11.25" customHeight="1" x14ac:dyDescent="0.35">
      <c r="B73" s="244" t="s">
        <v>5441</v>
      </c>
      <c r="C73" s="247"/>
      <c r="D73" s="279" t="str">
        <f>IF(S405="","",S405)</f>
        <v>NA</v>
      </c>
      <c r="E73" s="279" t="str">
        <f>IF(S398="","",S398)</f>
        <v>NA</v>
      </c>
      <c r="F73" s="279" t="str">
        <f>IF(S391="","",S391)</f>
        <v>NA</v>
      </c>
      <c r="G73" s="279" t="str">
        <f>IF(S384="","",S384)</f>
        <v>NA</v>
      </c>
      <c r="H73" s="279" t="str">
        <f>IF(S377="","",S377)</f>
        <v>NA</v>
      </c>
    </row>
    <row r="74" spans="2:8" s="343" customFormat="1" ht="11.25" customHeight="1" x14ac:dyDescent="0.35">
      <c r="B74" s="244" t="s">
        <v>5442</v>
      </c>
      <c r="C74" s="247"/>
      <c r="D74" s="279" t="str">
        <f>IF(S406="","",S406)</f>
        <v>NA</v>
      </c>
      <c r="E74" s="279" t="str">
        <f>IF(S399="","",S399)</f>
        <v>NA</v>
      </c>
      <c r="F74" s="279" t="str">
        <f>IF(S392="","",S392)</f>
        <v>NA</v>
      </c>
      <c r="G74" s="279" t="str">
        <f>IF(S385="","",S385)</f>
        <v>NA</v>
      </c>
      <c r="H74" s="279" t="str">
        <f>IF(S378="","",S378)</f>
        <v>NA</v>
      </c>
    </row>
    <row r="75" spans="2:8" s="343" customFormat="1" ht="11.25" customHeight="1" x14ac:dyDescent="0.35">
      <c r="B75" s="244" t="s">
        <v>5443</v>
      </c>
      <c r="C75" s="247"/>
      <c r="D75" s="279" t="str">
        <f>IF(S407="","",S407)</f>
        <v>NA</v>
      </c>
      <c r="E75" s="279" t="str">
        <f>IF(S400="","",S400)</f>
        <v>NA</v>
      </c>
      <c r="F75" s="279" t="str">
        <f>IF(S393="","",S393)</f>
        <v>NA</v>
      </c>
      <c r="G75" s="279" t="str">
        <f>IF(S386="","",S386)</f>
        <v>NA</v>
      </c>
      <c r="H75" s="279" t="str">
        <f>IF(S379="","",S379)</f>
        <v>NA</v>
      </c>
    </row>
    <row r="76" spans="2:8" s="343" customFormat="1" ht="11.25" customHeight="1" x14ac:dyDescent="0.35">
      <c r="B76" s="244" t="s">
        <v>5444</v>
      </c>
      <c r="C76" s="247"/>
      <c r="D76" s="279" t="str">
        <f>IF(S408="","",S408)</f>
        <v>NA</v>
      </c>
      <c r="E76" s="279" t="str">
        <f>IF(S401="","",S401)</f>
        <v>NA</v>
      </c>
      <c r="F76" s="279" t="str">
        <f>IF(S394="","",S394)</f>
        <v>NA</v>
      </c>
      <c r="G76" s="279" t="str">
        <f>IF(S387="","",S387)</f>
        <v>NA</v>
      </c>
      <c r="H76" s="279" t="str">
        <f>IF(S380="","",S380)</f>
        <v>NA</v>
      </c>
    </row>
    <row r="77" spans="2:8" s="343" customFormat="1" ht="11.25" customHeight="1" x14ac:dyDescent="0.35">
      <c r="B77" s="244" t="s">
        <v>5445</v>
      </c>
      <c r="C77" s="247"/>
      <c r="D77" s="279" t="str">
        <f>IF(S409="","",S409)</f>
        <v>NA</v>
      </c>
      <c r="E77" s="279" t="str">
        <f>IF(S402="","",S402)</f>
        <v>NA</v>
      </c>
      <c r="F77" s="279" t="str">
        <f>IF(S395="","",S395)</f>
        <v>NA</v>
      </c>
      <c r="G77" s="279" t="str">
        <f>IF(S388="","",S388)</f>
        <v>NA</v>
      </c>
      <c r="H77" s="279" t="str">
        <f>IF(S381="","",S381)</f>
        <v>NA</v>
      </c>
    </row>
    <row r="78" spans="2:8" s="343" customFormat="1" ht="11.25" customHeight="1" x14ac:dyDescent="0.35">
      <c r="B78" s="244"/>
      <c r="C78" s="247"/>
      <c r="D78" s="279"/>
      <c r="E78" s="279"/>
      <c r="F78" s="279"/>
      <c r="G78" s="279"/>
      <c r="H78" s="279"/>
    </row>
    <row r="79" spans="2:8" s="343" customFormat="1" ht="11.25" customHeight="1" x14ac:dyDescent="0.35">
      <c r="B79" s="246" t="s">
        <v>5410</v>
      </c>
      <c r="C79" s="247"/>
      <c r="D79" s="279"/>
      <c r="E79" s="279"/>
      <c r="F79" s="279"/>
      <c r="G79" s="279"/>
      <c r="H79" s="279"/>
    </row>
    <row r="80" spans="2:8" s="343" customFormat="1" ht="11.25" customHeight="1" x14ac:dyDescent="0.35">
      <c r="B80" s="244" t="s">
        <v>5446</v>
      </c>
      <c r="C80" s="247"/>
      <c r="D80" s="279" t="str">
        <f>IF(S463="","",S463)</f>
        <v>NA</v>
      </c>
      <c r="E80" s="279" t="str">
        <f>IF(S450="","",S450)</f>
        <v>NA</v>
      </c>
      <c r="F80" s="279" t="str">
        <f>IF(S437="","",S437)</f>
        <v>NA</v>
      </c>
      <c r="G80" s="279" t="str">
        <f>IF(S424="","",S424)</f>
        <v>NA</v>
      </c>
      <c r="H80" s="279" t="str">
        <f>IF(S411="","",S411)</f>
        <v>NA</v>
      </c>
    </row>
    <row r="81" spans="2:8" s="343" customFormat="1" ht="11.25" customHeight="1" x14ac:dyDescent="0.35">
      <c r="B81" s="244" t="s">
        <v>5447</v>
      </c>
      <c r="C81" s="247"/>
      <c r="D81" s="279" t="str">
        <f>IF(S464="","",S464)</f>
        <v>NA</v>
      </c>
      <c r="E81" s="279" t="str">
        <f>IF(S451="","",S451)</f>
        <v>NA</v>
      </c>
      <c r="F81" s="279" t="str">
        <f>IF(S438="","",S438)</f>
        <v>NA</v>
      </c>
      <c r="G81" s="279" t="str">
        <f>IF(S425="","",S425)</f>
        <v>NA</v>
      </c>
      <c r="H81" s="279" t="str">
        <f>IF(S412="","",S412)</f>
        <v>NA</v>
      </c>
    </row>
    <row r="82" spans="2:8" s="343" customFormat="1" ht="11.25" customHeight="1" x14ac:dyDescent="0.35">
      <c r="B82" s="244" t="s">
        <v>5448</v>
      </c>
      <c r="C82" s="247"/>
      <c r="D82" s="279" t="str">
        <f>IF(S465="","",S465)</f>
        <v>NA</v>
      </c>
      <c r="E82" s="279" t="str">
        <f>IF(S452="","",S452)</f>
        <v>NA</v>
      </c>
      <c r="F82" s="279" t="str">
        <f>IF(S439="","",S439)</f>
        <v>NA</v>
      </c>
      <c r="G82" s="279" t="str">
        <f>IF(S426="","",S426)</f>
        <v>NA</v>
      </c>
      <c r="H82" s="279" t="str">
        <f>IF(S413="","",S413)</f>
        <v>NA</v>
      </c>
    </row>
    <row r="83" spans="2:8" s="343" customFormat="1" ht="11.25" customHeight="1" x14ac:dyDescent="0.35">
      <c r="B83" s="244" t="s">
        <v>5449</v>
      </c>
      <c r="C83" s="247"/>
      <c r="D83" s="279">
        <f>IF(S466="","",S466)</f>
        <v>0</v>
      </c>
      <c r="E83" s="279">
        <f>IF(S453="","",S453)</f>
        <v>0</v>
      </c>
      <c r="F83" s="279">
        <f>IF(S440="","",S440)</f>
        <v>-23</v>
      </c>
      <c r="G83" s="279">
        <f>IF(S427="","",S427)</f>
        <v>0</v>
      </c>
      <c r="H83" s="279">
        <f>IF(S414="","",S414)</f>
        <v>0</v>
      </c>
    </row>
    <row r="84" spans="2:8" s="343" customFormat="1" ht="11.25" customHeight="1" x14ac:dyDescent="0.35">
      <c r="B84" s="244" t="s">
        <v>5450</v>
      </c>
      <c r="C84" s="247"/>
      <c r="D84" s="279" t="str">
        <f>IF(S467="","",S467)</f>
        <v>NA</v>
      </c>
      <c r="E84" s="279" t="str">
        <f>IF(S454="","",S454)</f>
        <v>NA</v>
      </c>
      <c r="F84" s="279" t="str">
        <f>IF(S441="","",S441)</f>
        <v>NA</v>
      </c>
      <c r="G84" s="279" t="str">
        <f>IF(S428="","",S428)</f>
        <v>NA</v>
      </c>
      <c r="H84" s="279" t="str">
        <f>IF(S415="","",S415)</f>
        <v>NA</v>
      </c>
    </row>
    <row r="85" spans="2:8" s="343" customFormat="1" ht="11.25" customHeight="1" x14ac:dyDescent="0.35">
      <c r="B85" s="244" t="s">
        <v>5451</v>
      </c>
      <c r="C85" s="247"/>
      <c r="D85" s="279">
        <f>IF(S468="","",S468)</f>
        <v>0</v>
      </c>
      <c r="E85" s="279">
        <f>IF(S455="","",S455)</f>
        <v>0</v>
      </c>
      <c r="F85" s="279">
        <f>IF(S442="","",S442)</f>
        <v>0</v>
      </c>
      <c r="G85" s="279">
        <f>IF(S429="","",S429)</f>
        <v>0</v>
      </c>
      <c r="H85" s="279">
        <f>IF(S416="","",S416)</f>
        <v>0</v>
      </c>
    </row>
    <row r="86" spans="2:8" s="343" customFormat="1" ht="11.25" customHeight="1" x14ac:dyDescent="0.35">
      <c r="B86" s="244" t="s">
        <v>5452</v>
      </c>
      <c r="C86" s="247"/>
      <c r="D86" s="279" t="str">
        <f>IF(S469="","",S469)</f>
        <v>NA</v>
      </c>
      <c r="E86" s="279" t="str">
        <f>IF(S456="","",S456)</f>
        <v>NA</v>
      </c>
      <c r="F86" s="279" t="str">
        <f>IF(S443="","",S443)</f>
        <v>NA</v>
      </c>
      <c r="G86" s="279" t="str">
        <f>IF(S430="","",S430)</f>
        <v>NA</v>
      </c>
      <c r="H86" s="279" t="str">
        <f>IF(S417="","",S417)</f>
        <v>NA</v>
      </c>
    </row>
    <row r="87" spans="2:8" s="343" customFormat="1" ht="11.25" customHeight="1" x14ac:dyDescent="0.35">
      <c r="B87" s="244" t="s">
        <v>5453</v>
      </c>
      <c r="C87" s="247"/>
      <c r="D87" s="279">
        <f>IF(S470="","",S470)</f>
        <v>69.7</v>
      </c>
      <c r="E87" s="279">
        <f>IF(S457="","",S457)</f>
        <v>94.5</v>
      </c>
      <c r="F87" s="279">
        <f>IF(S444="","",S444)</f>
        <v>258.62400000000002</v>
      </c>
      <c r="G87" s="279">
        <f>IF(S431="","",S431)</f>
        <v>442.577</v>
      </c>
      <c r="H87" s="279">
        <f>IF(S418="","",S418)</f>
        <v>727.89</v>
      </c>
    </row>
    <row r="88" spans="2:8" s="343" customFormat="1" ht="11.25" customHeight="1" x14ac:dyDescent="0.35">
      <c r="B88" s="244" t="s">
        <v>5454</v>
      </c>
      <c r="C88" s="247"/>
      <c r="D88" s="279">
        <f>IF(S471="","",S471)</f>
        <v>0</v>
      </c>
      <c r="E88" s="279">
        <f>IF(S458="","",S458)</f>
        <v>0</v>
      </c>
      <c r="F88" s="279">
        <f>IF(S445="","",S445)</f>
        <v>0</v>
      </c>
      <c r="G88" s="279">
        <f>IF(S432="","",S432)</f>
        <v>0</v>
      </c>
      <c r="H88" s="279">
        <f>IF(S419="","",S419)</f>
        <v>0</v>
      </c>
    </row>
    <row r="89" spans="2:8" s="343" customFormat="1" ht="11.25" customHeight="1" x14ac:dyDescent="0.35">
      <c r="B89" s="244" t="s">
        <v>5455</v>
      </c>
      <c r="C89" s="247"/>
      <c r="D89" s="279">
        <f>IF(S472="","",S472)</f>
        <v>0</v>
      </c>
      <c r="E89" s="279">
        <f>IF(S459="","",S459)</f>
        <v>0</v>
      </c>
      <c r="F89" s="279">
        <f>IF(S446="","",S446)</f>
        <v>0</v>
      </c>
      <c r="G89" s="279">
        <f>IF(S433="","",S433)</f>
        <v>0</v>
      </c>
      <c r="H89" s="279">
        <f>IF(S420="","",S420)</f>
        <v>0</v>
      </c>
    </row>
    <row r="90" spans="2:8" s="343" customFormat="1" ht="11.25" customHeight="1" x14ac:dyDescent="0.35">
      <c r="B90" s="244" t="s">
        <v>5456</v>
      </c>
      <c r="C90" s="247"/>
      <c r="D90" s="279">
        <f>IF(S473="","",S473)</f>
        <v>0</v>
      </c>
      <c r="E90" s="279">
        <f>IF(S460="","",S460)</f>
        <v>0</v>
      </c>
      <c r="F90" s="279">
        <f>IF(S447="","",S447)</f>
        <v>0</v>
      </c>
      <c r="G90" s="279">
        <f>IF(S434="","",S434)</f>
        <v>0</v>
      </c>
      <c r="H90" s="279">
        <f>IF(S421="","",S421)</f>
        <v>0</v>
      </c>
    </row>
    <row r="91" spans="2:8" s="343" customFormat="1" ht="11.25" customHeight="1" x14ac:dyDescent="0.35">
      <c r="B91" s="244" t="s">
        <v>5400</v>
      </c>
      <c r="C91" s="247"/>
      <c r="D91" s="279" t="str">
        <f>IF(S474="","",S474)</f>
        <v>NA</v>
      </c>
      <c r="E91" s="279" t="str">
        <f>IF(S461="","",S461)</f>
        <v>NA</v>
      </c>
      <c r="F91" s="279" t="str">
        <f>IF(S448="","",S448)</f>
        <v>NA</v>
      </c>
      <c r="G91" s="279" t="str">
        <f>IF(S435="","",S435)</f>
        <v>NA</v>
      </c>
      <c r="H91" s="279" t="str">
        <f>IF(S422="","",S422)</f>
        <v>NA</v>
      </c>
    </row>
    <row r="92" spans="2:8" s="343" customFormat="1" ht="11.25" customHeight="1" x14ac:dyDescent="0.35">
      <c r="B92" s="244" t="s">
        <v>5401</v>
      </c>
      <c r="C92" s="247"/>
      <c r="D92" s="279" t="str">
        <f>IF(S475="","",S475)</f>
        <v>NA</v>
      </c>
      <c r="E92" s="279" t="str">
        <f>IF(S462="","",S462)</f>
        <v>NA</v>
      </c>
      <c r="F92" s="279" t="str">
        <f>IF(S449="","",S449)</f>
        <v>NA</v>
      </c>
      <c r="G92" s="279" t="str">
        <f>IF(S436="","",S436)</f>
        <v>NA</v>
      </c>
      <c r="H92" s="279" t="str">
        <f>IF(S423="","",S423)</f>
        <v>NA</v>
      </c>
    </row>
    <row r="93" spans="2:8" s="343" customFormat="1" ht="11.25" customHeight="1" x14ac:dyDescent="0.35">
      <c r="B93" s="301"/>
      <c r="C93" s="247"/>
      <c r="D93" s="279"/>
      <c r="E93" s="279"/>
      <c r="F93" s="279"/>
      <c r="G93" s="279"/>
      <c r="H93" s="279"/>
    </row>
    <row r="94" spans="2:8" s="343" customFormat="1" ht="11.25" customHeight="1" x14ac:dyDescent="0.35">
      <c r="B94" s="246" t="s">
        <v>5397</v>
      </c>
      <c r="C94" s="247"/>
      <c r="D94" s="279"/>
      <c r="E94" s="279"/>
      <c r="F94" s="279"/>
      <c r="G94" s="279"/>
      <c r="H94" s="279"/>
    </row>
    <row r="95" spans="2:8" s="288" customFormat="1" ht="11.25" customHeight="1" x14ac:dyDescent="0.35">
      <c r="B95" s="244" t="s">
        <v>5126</v>
      </c>
      <c r="C95" s="245">
        <v>123684</v>
      </c>
      <c r="D95" s="279">
        <v>7796837.7439999999</v>
      </c>
      <c r="E95" s="279">
        <v>7589210.6600000001</v>
      </c>
      <c r="F95" s="279">
        <v>7143911.7690000003</v>
      </c>
      <c r="G95" s="279">
        <v>6471037.0260000005</v>
      </c>
      <c r="H95" s="279">
        <v>6203628.9939999999</v>
      </c>
    </row>
    <row r="96" spans="2:8" s="288" customFormat="1" ht="11.25" customHeight="1" x14ac:dyDescent="0.35">
      <c r="B96" s="244" t="s">
        <v>5125</v>
      </c>
      <c r="C96" s="245">
        <v>123685</v>
      </c>
      <c r="D96" s="279">
        <v>873896421.59099996</v>
      </c>
      <c r="E96" s="279">
        <v>923207742.028</v>
      </c>
      <c r="F96" s="279">
        <v>927476360.18900001</v>
      </c>
      <c r="G96" s="279">
        <v>960102465.33099997</v>
      </c>
      <c r="H96" s="279">
        <v>997184234.84300005</v>
      </c>
    </row>
    <row r="97" spans="2:8" ht="11.25" customHeight="1" x14ac:dyDescent="0.35">
      <c r="B97" s="244" t="s">
        <v>5277</v>
      </c>
      <c r="C97" s="245">
        <v>123686</v>
      </c>
      <c r="D97" s="279">
        <v>929639286.41499996</v>
      </c>
      <c r="E97" s="279">
        <v>987798996.15799999</v>
      </c>
      <c r="F97" s="279">
        <v>964693301.69300008</v>
      </c>
      <c r="G97" s="279">
        <v>992221610.01300001</v>
      </c>
      <c r="H97" s="279">
        <v>1037197168.344</v>
      </c>
    </row>
    <row r="98" spans="2:8" ht="11.25" customHeight="1" x14ac:dyDescent="0.35">
      <c r="B98" s="244" t="s">
        <v>5276</v>
      </c>
      <c r="C98" s="245">
        <v>123687</v>
      </c>
      <c r="D98" s="279">
        <v>12988513.836000001</v>
      </c>
      <c r="E98" s="279">
        <v>14063951.723000001</v>
      </c>
      <c r="F98" s="279">
        <v>14975068.793</v>
      </c>
      <c r="G98" s="279">
        <v>16000413.59</v>
      </c>
      <c r="H98" s="279">
        <v>17291012.626000002</v>
      </c>
    </row>
    <row r="99" spans="2:8" ht="11.25" customHeight="1" x14ac:dyDescent="0.35">
      <c r="B99" s="244" t="s">
        <v>5123</v>
      </c>
      <c r="C99" s="245">
        <v>123688</v>
      </c>
      <c r="D99" s="279">
        <v>804165.43099999998</v>
      </c>
      <c r="E99" s="279">
        <v>667083.73499999999</v>
      </c>
      <c r="F99" s="279">
        <v>637178.647</v>
      </c>
      <c r="G99" s="279">
        <v>620436.65</v>
      </c>
      <c r="H99" s="279">
        <v>621075.33200000005</v>
      </c>
    </row>
    <row r="100" spans="2:8" ht="11.25" customHeight="1" x14ac:dyDescent="0.35">
      <c r="B100" s="244" t="s">
        <v>5275</v>
      </c>
      <c r="C100" s="245">
        <v>123689</v>
      </c>
      <c r="D100" s="279">
        <v>46722430.475000001</v>
      </c>
      <c r="E100" s="279">
        <v>48418768.640000001</v>
      </c>
      <c r="F100" s="279">
        <v>50996084.059</v>
      </c>
      <c r="G100" s="279">
        <v>53480147.144000001</v>
      </c>
      <c r="H100" s="279">
        <v>56693552.075000003</v>
      </c>
    </row>
    <row r="101" spans="2:8" ht="11.25" customHeight="1" x14ac:dyDescent="0.35">
      <c r="B101" s="244" t="s">
        <v>5121</v>
      </c>
      <c r="C101" s="245">
        <v>123690</v>
      </c>
      <c r="D101" s="279">
        <v>319851935.88200003</v>
      </c>
      <c r="E101" s="279">
        <v>331890359.81400001</v>
      </c>
      <c r="F101" s="279">
        <v>339759743.28600001</v>
      </c>
      <c r="G101" s="279">
        <v>346973479.38700002</v>
      </c>
      <c r="H101" s="279">
        <v>352436349.70499998</v>
      </c>
    </row>
    <row r="102" spans="2:8" ht="11.25" customHeight="1" x14ac:dyDescent="0.35">
      <c r="B102" s="244" t="s">
        <v>5120</v>
      </c>
      <c r="C102" s="245">
        <v>123691</v>
      </c>
      <c r="D102" s="279">
        <v>51780569.557999998</v>
      </c>
      <c r="E102" s="279">
        <v>53809846.678000003</v>
      </c>
      <c r="F102" s="279">
        <v>56312624.447999999</v>
      </c>
      <c r="G102" s="279">
        <v>58224483.895999998</v>
      </c>
      <c r="H102" s="279">
        <v>60463589.289999999</v>
      </c>
    </row>
    <row r="103" spans="2:8" ht="11.25" customHeight="1" x14ac:dyDescent="0.35">
      <c r="B103" s="244" t="s">
        <v>5119</v>
      </c>
      <c r="C103" s="245">
        <v>123692</v>
      </c>
      <c r="D103" s="279">
        <v>1228047.8640000001</v>
      </c>
      <c r="E103" s="279">
        <v>1076851.5719999999</v>
      </c>
      <c r="F103" s="279">
        <v>1079336.03</v>
      </c>
      <c r="G103" s="279">
        <v>1034105.057</v>
      </c>
      <c r="H103" s="279">
        <v>1016398.1730000001</v>
      </c>
    </row>
    <row r="104" spans="2:8" ht="11.25" customHeight="1" x14ac:dyDescent="0.35">
      <c r="B104" s="244" t="s">
        <v>5107</v>
      </c>
      <c r="C104" s="245">
        <v>123693</v>
      </c>
      <c r="D104" s="279">
        <v>153851569.752</v>
      </c>
      <c r="E104" s="279">
        <v>167338347.56999999</v>
      </c>
      <c r="F104" s="279">
        <v>161850405.882</v>
      </c>
      <c r="G104" s="279">
        <v>159621024.97499999</v>
      </c>
      <c r="H104" s="279">
        <v>162069848.426</v>
      </c>
    </row>
    <row r="105" spans="2:8" ht="11.25" customHeight="1" x14ac:dyDescent="0.35">
      <c r="B105" s="244" t="s">
        <v>4946</v>
      </c>
      <c r="C105" s="247"/>
      <c r="D105" s="279"/>
      <c r="E105" s="279"/>
      <c r="F105" s="279"/>
      <c r="G105" s="279"/>
      <c r="H105" s="279"/>
    </row>
    <row r="106" spans="2:8" ht="11.25" customHeight="1" x14ac:dyDescent="0.35">
      <c r="B106" s="246" t="s">
        <v>5499</v>
      </c>
      <c r="C106" s="247"/>
      <c r="D106" s="279"/>
      <c r="E106" s="279"/>
      <c r="F106" s="279"/>
      <c r="G106" s="279"/>
      <c r="H106" s="279"/>
    </row>
    <row r="107" spans="2:8" ht="11.25" customHeight="1" x14ac:dyDescent="0.35">
      <c r="B107" s="244" t="s">
        <v>5398</v>
      </c>
      <c r="C107" s="247"/>
      <c r="D107" s="279" t="str">
        <f>IF(S497="","",S497)</f>
        <v>NA</v>
      </c>
      <c r="E107" s="279" t="str">
        <f>IF(S492="","",S492)</f>
        <v>NA</v>
      </c>
      <c r="F107" s="279" t="str">
        <f>IF(S487="","",S487)</f>
        <v>NA</v>
      </c>
      <c r="G107" s="279" t="str">
        <f>IF(S482="","",S482)</f>
        <v>NA</v>
      </c>
      <c r="H107" s="279" t="str">
        <f>IF(S477="","",S477)</f>
        <v>NA</v>
      </c>
    </row>
    <row r="108" spans="2:8" s="288" customFormat="1" ht="11.25" customHeight="1" x14ac:dyDescent="0.35">
      <c r="B108" s="244" t="s">
        <v>5399</v>
      </c>
      <c r="C108" s="247"/>
      <c r="D108" s="279" t="str">
        <f>IF(S498="","",S498)</f>
        <v>NA</v>
      </c>
      <c r="E108" s="279" t="str">
        <f>IF(S493="","",S493)</f>
        <v>NA</v>
      </c>
      <c r="F108" s="279" t="str">
        <f>IF(S488="","",S488)</f>
        <v>NA</v>
      </c>
      <c r="G108" s="279" t="str">
        <f>IF(S483="","",S483)</f>
        <v>NA</v>
      </c>
      <c r="H108" s="279" t="str">
        <f>IF(S478="","",S478)</f>
        <v>NA</v>
      </c>
    </row>
    <row r="109" spans="2:8" s="302" customFormat="1" ht="11.25" customHeight="1" x14ac:dyDescent="0.35">
      <c r="B109" s="244" t="s">
        <v>5400</v>
      </c>
      <c r="C109" s="247"/>
      <c r="D109" s="279" t="str">
        <f>IF(S499="","",S499)</f>
        <v>NA</v>
      </c>
      <c r="E109" s="279" t="str">
        <f>IF(S494="","",S494)</f>
        <v>NA</v>
      </c>
      <c r="F109" s="279" t="str">
        <f>IF(S489="","",S489)</f>
        <v>NA</v>
      </c>
      <c r="G109" s="279" t="str">
        <f>IF(S484="","",S484)</f>
        <v>NA</v>
      </c>
      <c r="H109" s="279" t="str">
        <f>IF(S479="","",S479)</f>
        <v>NA</v>
      </c>
    </row>
    <row r="110" spans="2:8" s="302" customFormat="1" ht="11.25" customHeight="1" x14ac:dyDescent="0.35">
      <c r="B110" s="244" t="s">
        <v>5401</v>
      </c>
      <c r="C110" s="247"/>
      <c r="D110" s="279" t="str">
        <f>IF(S500="","",S500)</f>
        <v>NA</v>
      </c>
      <c r="E110" s="279" t="str">
        <f>IF(S495="","",S495)</f>
        <v>NA</v>
      </c>
      <c r="F110" s="279" t="str">
        <f>IF(S490="","",S490)</f>
        <v>NA</v>
      </c>
      <c r="G110" s="279" t="str">
        <f>IF(S485="","",S485)</f>
        <v>NA</v>
      </c>
      <c r="H110" s="279" t="str">
        <f>IF(S480="","",S480)</f>
        <v>NA</v>
      </c>
    </row>
    <row r="111" spans="2:8" s="288" customFormat="1" ht="11.25" customHeight="1" x14ac:dyDescent="0.35">
      <c r="B111" s="244" t="s">
        <v>5402</v>
      </c>
      <c r="C111" s="247"/>
      <c r="D111" s="279" t="str">
        <f>IF(S501="","",S501)</f>
        <v>NA</v>
      </c>
      <c r="E111" s="279" t="str">
        <f>IF(S496="","",S496)</f>
        <v>NA</v>
      </c>
      <c r="F111" s="279" t="str">
        <f>IF(S491="","",S491)</f>
        <v>NA</v>
      </c>
      <c r="G111" s="279" t="str">
        <f>IF(S486="","",S486)</f>
        <v>NA</v>
      </c>
      <c r="H111" s="279" t="str">
        <f>IF(S481="","",S481)</f>
        <v>NA</v>
      </c>
    </row>
    <row r="112" spans="2:8" s="288" customFormat="1" ht="11.25" customHeight="1" x14ac:dyDescent="0.35">
      <c r="B112" s="244"/>
      <c r="C112" s="247"/>
      <c r="D112" s="279"/>
      <c r="E112" s="279"/>
      <c r="F112" s="279"/>
      <c r="G112" s="279"/>
      <c r="H112" s="279"/>
    </row>
    <row r="113" spans="2:8" s="288" customFormat="1" ht="11.25" customHeight="1" x14ac:dyDescent="0.35">
      <c r="B113" s="246" t="s">
        <v>5500</v>
      </c>
      <c r="C113" s="247"/>
      <c r="D113" s="279"/>
      <c r="E113" s="279"/>
      <c r="F113" s="279"/>
      <c r="G113" s="279"/>
      <c r="H113" s="279"/>
    </row>
    <row r="114" spans="2:8" s="288" customFormat="1" ht="11.25" customHeight="1" x14ac:dyDescent="0.35">
      <c r="B114" s="244" t="s">
        <v>5398</v>
      </c>
      <c r="C114" s="247"/>
      <c r="D114" s="279" t="str">
        <f>IF(COUNT(D120,D126,D132,D138,D144)=0,"NA",SUM(D120,D126,D132,D138,D144))</f>
        <v>NA</v>
      </c>
      <c r="E114" s="279" t="str">
        <f>IF(COUNT(E120,E126,E132,E138,E144)=0,"NA",SUM(E120,E126,E132,E138,E144))</f>
        <v>NA</v>
      </c>
      <c r="F114" s="279" t="str">
        <f>IF(COUNT(F120,F126,F132,F138,F144)=0,"NA",SUM(F120,F126,F132,F138,F144))</f>
        <v>NA</v>
      </c>
      <c r="G114" s="279" t="str">
        <f>IF(COUNT(G120,G126,G132,G138,G144)=0,"NA",SUM(G120,G126,G132,G138,G144))</f>
        <v>NA</v>
      </c>
      <c r="H114" s="279" t="str">
        <f>IF(COUNT(H120,H126,H132,H138,H144)=0,"NA",SUM(H120,H126,H132,H138,H144))</f>
        <v>NA</v>
      </c>
    </row>
    <row r="115" spans="2:8" s="288" customFormat="1" ht="11.25" customHeight="1" x14ac:dyDescent="0.35">
      <c r="B115" s="244" t="s">
        <v>5399</v>
      </c>
      <c r="C115" s="247"/>
      <c r="D115" s="279" t="str">
        <f>IF(COUNT(D121,D127,D133,D139,D145)=0,"NA",SUM(D121,D127,D133,D139,D145))</f>
        <v>NA</v>
      </c>
      <c r="E115" s="279" t="str">
        <f>IF(COUNT(E121,E127,E133,E139,E145)=0,"NA",SUM(E121,E127,E133,E139,E145))</f>
        <v>NA</v>
      </c>
      <c r="F115" s="279" t="str">
        <f>IF(COUNT(F121,F127,F133,F139,F145)=0,"NA",SUM(F121,F127,F133,F139,F145))</f>
        <v>NA</v>
      </c>
      <c r="G115" s="279" t="str">
        <f>IF(COUNT(G121,G127,G133,G139,G145)=0,"NA",SUM(G121,G127,G133,G139,G145))</f>
        <v>NA</v>
      </c>
      <c r="H115" s="279" t="str">
        <f>IF(COUNT(H121,H127,H133,H139,H145)=0,"NA",SUM(H121,H127,H133,H139,H145))</f>
        <v>NA</v>
      </c>
    </row>
    <row r="116" spans="2:8" s="288" customFormat="1" ht="11.25" customHeight="1" x14ac:dyDescent="0.35">
      <c r="B116" s="244" t="s">
        <v>5400</v>
      </c>
      <c r="C116" s="247"/>
      <c r="D116" s="279" t="str">
        <f>IF(COUNT(D122,D128,D134,D140,D146)=0,"NA",SUM(D122,D128,D134,D140,D146))</f>
        <v>NA</v>
      </c>
      <c r="E116" s="279" t="str">
        <f>IF(COUNT(E122,E128,E134,E140,E146)=0,"NA",SUM(E122,E128,E134,E140,E146))</f>
        <v>NA</v>
      </c>
      <c r="F116" s="279" t="str">
        <f>IF(COUNT(F122,F128,F134,F140,F146)=0,"NA",SUM(F122,F128,F134,F140,F146))</f>
        <v>NA</v>
      </c>
      <c r="G116" s="279" t="str">
        <f>IF(COUNT(G122,G128,G134,G140,G146)=0,"NA",SUM(G122,G128,G134,G140,G146))</f>
        <v>NA</v>
      </c>
      <c r="H116" s="279" t="str">
        <f>IF(COUNT(H122,H128,H134,H140,H146)=0,"NA",SUM(H122,H128,H134,H140,H146))</f>
        <v>NA</v>
      </c>
    </row>
    <row r="117" spans="2:8" s="288" customFormat="1" ht="11.25" customHeight="1" x14ac:dyDescent="0.35">
      <c r="B117" s="244" t="s">
        <v>5401</v>
      </c>
      <c r="C117" s="247"/>
      <c r="D117" s="279" t="str">
        <f>IF(COUNT(D123,D129,D135,D141,D147)=0,"NA",SUM(D123,D129,D135,D141,D147))</f>
        <v>NA</v>
      </c>
      <c r="E117" s="279" t="str">
        <f>IF(COUNT(E123,E129,E135,E141,E147)=0,"NA",SUM(E123,E129,E135,E141,E147))</f>
        <v>NA</v>
      </c>
      <c r="F117" s="279" t="str">
        <f>IF(COUNT(F123,F129,F135,F141,F147)=0,"NA",SUM(F123,F129,F135,F141,F147))</f>
        <v>NA</v>
      </c>
      <c r="G117" s="279" t="str">
        <f>IF(COUNT(G123,G129,G135,G141,G147)=0,"NA",SUM(G123,G129,G135,G141,G147))</f>
        <v>NA</v>
      </c>
      <c r="H117" s="279" t="str">
        <f>IF(COUNT(H123,H129,H135,H141,H147)=0,"NA",SUM(H123,H129,H135,H141,H147))</f>
        <v>NA</v>
      </c>
    </row>
    <row r="118" spans="2:8" s="288" customFormat="1" ht="11.25" customHeight="1" x14ac:dyDescent="0.35">
      <c r="B118" s="244" t="s">
        <v>5402</v>
      </c>
      <c r="C118" s="247"/>
      <c r="D118" s="279" t="str">
        <f>IF(COUNT(D124,D130,D136,D142,D148)=0,"NA",SUM(D124,D130,D136,D142,D148))</f>
        <v>NA</v>
      </c>
      <c r="E118" s="279" t="str">
        <f>IF(COUNT(E124,E130,E136,E142,E148)=0,"NA",SUM(E124,E130,E136,E142,E148))</f>
        <v>NA</v>
      </c>
      <c r="F118" s="279" t="str">
        <f>IF(COUNT(F124,F130,F136,F142,F148)=0,"NA",SUM(F124,F130,F136,F142,F148))</f>
        <v>NA</v>
      </c>
      <c r="G118" s="279" t="str">
        <f>IF(COUNT(G124,G130,G136,G142,G148)=0,"NA",SUM(G124,G130,G136,G142,G148))</f>
        <v>NA</v>
      </c>
      <c r="H118" s="279" t="str">
        <f>IF(COUNT(H124,H130,H136,H142,H148)=0,"NA",SUM(H124,H130,H136,H142,H148))</f>
        <v>NA</v>
      </c>
    </row>
    <row r="119" spans="2:8" s="288" customFormat="1" ht="11.25" customHeight="1" x14ac:dyDescent="0.35">
      <c r="B119" s="244"/>
      <c r="C119" s="247"/>
      <c r="D119" s="279"/>
      <c r="E119" s="279"/>
      <c r="F119" s="279"/>
      <c r="G119" s="279"/>
      <c r="H119" s="279"/>
    </row>
    <row r="120" spans="2:8" s="288" customFormat="1" ht="11.25" hidden="1" customHeight="1" outlineLevel="1" x14ac:dyDescent="0.35">
      <c r="B120" s="244" t="s">
        <v>5492</v>
      </c>
      <c r="C120" s="247"/>
      <c r="D120" s="279" t="str">
        <f>IF(S523="","",S523)</f>
        <v>NA</v>
      </c>
      <c r="E120" s="279" t="str">
        <f>IF(S518="","",S518)</f>
        <v>NA</v>
      </c>
      <c r="F120" s="279" t="str">
        <f>IF(S513="","",S513)</f>
        <v>NA</v>
      </c>
      <c r="G120" s="279" t="str">
        <f>IF(S508="","",S508)</f>
        <v>NA</v>
      </c>
      <c r="H120" s="279" t="str">
        <f>IF(S503="","",S503)</f>
        <v>NA</v>
      </c>
    </row>
    <row r="121" spans="2:8" s="288" customFormat="1" ht="11.25" hidden="1" customHeight="1" outlineLevel="1" x14ac:dyDescent="0.35">
      <c r="B121" s="244" t="s">
        <v>5492</v>
      </c>
      <c r="C121" s="247"/>
      <c r="D121" s="279" t="str">
        <f>IF(S524="","",S524)</f>
        <v>NA</v>
      </c>
      <c r="E121" s="279" t="str">
        <f>IF(S519="","",S519)</f>
        <v>NA</v>
      </c>
      <c r="F121" s="279" t="str">
        <f>IF(S514="","",S514)</f>
        <v>NA</v>
      </c>
      <c r="G121" s="279" t="str">
        <f>IF(S509="","",S509)</f>
        <v>NA</v>
      </c>
      <c r="H121" s="279" t="str">
        <f>IF(S504="","",S504)</f>
        <v>NA</v>
      </c>
    </row>
    <row r="122" spans="2:8" s="288" customFormat="1" ht="11.25" hidden="1" customHeight="1" outlineLevel="1" x14ac:dyDescent="0.35">
      <c r="B122" s="244" t="s">
        <v>5492</v>
      </c>
      <c r="C122" s="247"/>
      <c r="D122" s="279" t="str">
        <f>IF(S525="","",S525)</f>
        <v>NA</v>
      </c>
      <c r="E122" s="279" t="str">
        <f>IF(S520="","",S520)</f>
        <v>NA</v>
      </c>
      <c r="F122" s="279" t="str">
        <f>IF(S515="","",S515)</f>
        <v>NA</v>
      </c>
      <c r="G122" s="279" t="str">
        <f>IF(S510="","",S510)</f>
        <v>NA</v>
      </c>
      <c r="H122" s="279" t="str">
        <f>IF(S505="","",S505)</f>
        <v>NA</v>
      </c>
    </row>
    <row r="123" spans="2:8" s="288" customFormat="1" ht="11.25" hidden="1" customHeight="1" outlineLevel="1" x14ac:dyDescent="0.35">
      <c r="B123" s="244" t="s">
        <v>5492</v>
      </c>
      <c r="C123" s="247"/>
      <c r="D123" s="279" t="str">
        <f>IF(S526="","",S526)</f>
        <v>NA</v>
      </c>
      <c r="E123" s="279" t="str">
        <f>IF(S521="","",S521)</f>
        <v>NA</v>
      </c>
      <c r="F123" s="279" t="str">
        <f>IF(S516="","",S516)</f>
        <v>NA</v>
      </c>
      <c r="G123" s="279" t="str">
        <f>IF(S511="","",S511)</f>
        <v>NA</v>
      </c>
      <c r="H123" s="279" t="str">
        <f>IF(S506="","",S506)</f>
        <v>NA</v>
      </c>
    </row>
    <row r="124" spans="2:8" s="302" customFormat="1" ht="11.25" hidden="1" customHeight="1" outlineLevel="1" x14ac:dyDescent="0.35">
      <c r="B124" s="244" t="s">
        <v>5492</v>
      </c>
      <c r="C124" s="247"/>
      <c r="D124" s="279" t="str">
        <f>IF(S527="","",S527)</f>
        <v>NA</v>
      </c>
      <c r="E124" s="279" t="str">
        <f>IF(S522="","",S522)</f>
        <v>NA</v>
      </c>
      <c r="F124" s="279" t="str">
        <f>IF(S517="","",S517)</f>
        <v>NA</v>
      </c>
      <c r="G124" s="279" t="str">
        <f>IF(S512="","",S512)</f>
        <v>NA</v>
      </c>
      <c r="H124" s="279" t="str">
        <f>IF(S507="","",S507)</f>
        <v>NA</v>
      </c>
    </row>
    <row r="125" spans="2:8" s="302" customFormat="1" ht="11.25" hidden="1" customHeight="1" outlineLevel="1" x14ac:dyDescent="0.35">
      <c r="B125" s="244"/>
      <c r="C125" s="247"/>
      <c r="D125" s="279"/>
      <c r="E125" s="279"/>
      <c r="F125" s="279"/>
      <c r="G125" s="279"/>
      <c r="H125" s="279"/>
    </row>
    <row r="126" spans="2:8" s="288" customFormat="1" ht="11.25" hidden="1" customHeight="1" outlineLevel="1" x14ac:dyDescent="0.35">
      <c r="B126" s="244" t="s">
        <v>5493</v>
      </c>
      <c r="C126" s="247"/>
      <c r="D126" s="279" t="str">
        <f>IF(S549="","",S549)</f>
        <v>NA</v>
      </c>
      <c r="E126" s="279" t="str">
        <f>IF(S544="","",S544)</f>
        <v>NA</v>
      </c>
      <c r="F126" s="279" t="str">
        <f>IF(S539="","",S539)</f>
        <v>NA</v>
      </c>
      <c r="G126" s="279" t="str">
        <f>IF(S534="","",S534)</f>
        <v>NA</v>
      </c>
      <c r="H126" s="279" t="str">
        <f>IF(S529="","",S529)</f>
        <v>NA</v>
      </c>
    </row>
    <row r="127" spans="2:8" s="288" customFormat="1" ht="11.25" hidden="1" customHeight="1" outlineLevel="1" x14ac:dyDescent="0.35">
      <c r="B127" s="244" t="s">
        <v>5493</v>
      </c>
      <c r="C127" s="247"/>
      <c r="D127" s="279" t="str">
        <f>IF(S550="","",S550)</f>
        <v>NA</v>
      </c>
      <c r="E127" s="279" t="str">
        <f>IF(S545="","",S545)</f>
        <v>NA</v>
      </c>
      <c r="F127" s="279" t="str">
        <f>IF(S540="","",S540)</f>
        <v>NA</v>
      </c>
      <c r="G127" s="279" t="str">
        <f>IF(S535="","",S535)</f>
        <v>NA</v>
      </c>
      <c r="H127" s="279" t="str">
        <f>IF(S530="","",S530)</f>
        <v>NA</v>
      </c>
    </row>
    <row r="128" spans="2:8" s="288" customFormat="1" ht="11.25" hidden="1" customHeight="1" outlineLevel="1" x14ac:dyDescent="0.35">
      <c r="B128" s="244" t="s">
        <v>5493</v>
      </c>
      <c r="C128" s="247"/>
      <c r="D128" s="279" t="str">
        <f>IF(S551="","",S551)</f>
        <v>NA</v>
      </c>
      <c r="E128" s="279" t="str">
        <f>IF(S546="","",S546)</f>
        <v>NA</v>
      </c>
      <c r="F128" s="279" t="str">
        <f>IF(S541="","",S541)</f>
        <v>NA</v>
      </c>
      <c r="G128" s="279" t="str">
        <f>IF(S536="","",S536)</f>
        <v>NA</v>
      </c>
      <c r="H128" s="279" t="str">
        <f>IF(S531="","",S531)</f>
        <v>NA</v>
      </c>
    </row>
    <row r="129" spans="2:8" s="288" customFormat="1" ht="11.25" hidden="1" customHeight="1" outlineLevel="1" x14ac:dyDescent="0.35">
      <c r="B129" s="244" t="s">
        <v>5493</v>
      </c>
      <c r="C129" s="247"/>
      <c r="D129" s="279" t="str">
        <f>IF(S552="","",S552)</f>
        <v>NA</v>
      </c>
      <c r="E129" s="279" t="str">
        <f>IF(S547="","",S547)</f>
        <v>NA</v>
      </c>
      <c r="F129" s="279" t="str">
        <f>IF(S542="","",S542)</f>
        <v>NA</v>
      </c>
      <c r="G129" s="279" t="str">
        <f>IF(S537="","",S537)</f>
        <v>NA</v>
      </c>
      <c r="H129" s="279" t="str">
        <f>IF(S532="","",S532)</f>
        <v>NA</v>
      </c>
    </row>
    <row r="130" spans="2:8" s="288" customFormat="1" ht="11.25" hidden="1" customHeight="1" outlineLevel="1" x14ac:dyDescent="0.35">
      <c r="B130" s="244" t="s">
        <v>5493</v>
      </c>
      <c r="C130" s="247"/>
      <c r="D130" s="279" t="str">
        <f>IF(S553="","",S553)</f>
        <v>NA</v>
      </c>
      <c r="E130" s="279" t="str">
        <f>IF(S548="","",S548)</f>
        <v>NA</v>
      </c>
      <c r="F130" s="279" t="str">
        <f>IF(S543="","",S543)</f>
        <v>NA</v>
      </c>
      <c r="G130" s="279" t="str">
        <f>IF(S538="","",S538)</f>
        <v>NA</v>
      </c>
      <c r="H130" s="279" t="str">
        <f>IF(S533="","",S533)</f>
        <v>NA</v>
      </c>
    </row>
    <row r="131" spans="2:8" s="288" customFormat="1" ht="11.25" hidden="1" customHeight="1" outlineLevel="1" x14ac:dyDescent="0.35">
      <c r="B131" s="244"/>
      <c r="C131" s="247"/>
      <c r="D131" s="279"/>
      <c r="E131" s="279"/>
      <c r="F131" s="279"/>
      <c r="G131" s="279"/>
      <c r="H131" s="279"/>
    </row>
    <row r="132" spans="2:8" s="288" customFormat="1" ht="11.25" hidden="1" customHeight="1" outlineLevel="1" x14ac:dyDescent="0.35">
      <c r="B132" s="244" t="s">
        <v>5494</v>
      </c>
      <c r="C132" s="247"/>
      <c r="D132" s="279" t="str">
        <f>IF(S575="","",S575)</f>
        <v>NA</v>
      </c>
      <c r="E132" s="279" t="str">
        <f>IF(S570="","",S570)</f>
        <v>NA</v>
      </c>
      <c r="F132" s="279" t="str">
        <f>IF(S565="","",S565)</f>
        <v>NA</v>
      </c>
      <c r="G132" s="279" t="str">
        <f>IF(S560="","",S560)</f>
        <v>NA</v>
      </c>
      <c r="H132" s="279" t="str">
        <f>IF(S555="","",S555)</f>
        <v>NA</v>
      </c>
    </row>
    <row r="133" spans="2:8" s="288" customFormat="1" ht="11.25" hidden="1" customHeight="1" outlineLevel="1" x14ac:dyDescent="0.35">
      <c r="B133" s="244" t="s">
        <v>5494</v>
      </c>
      <c r="C133" s="247"/>
      <c r="D133" s="279" t="str">
        <f>IF(S576="","",S576)</f>
        <v>NA</v>
      </c>
      <c r="E133" s="279" t="str">
        <f>IF(S571="","",S571)</f>
        <v>NA</v>
      </c>
      <c r="F133" s="279" t="str">
        <f>IF(S566="","",S566)</f>
        <v>NA</v>
      </c>
      <c r="G133" s="279" t="str">
        <f>IF(S561="","",S561)</f>
        <v>NA</v>
      </c>
      <c r="H133" s="279" t="str">
        <f>IF(S556="","",S556)</f>
        <v>NA</v>
      </c>
    </row>
    <row r="134" spans="2:8" s="288" customFormat="1" ht="11.25" hidden="1" customHeight="1" outlineLevel="1" x14ac:dyDescent="0.35">
      <c r="B134" s="244" t="s">
        <v>5494</v>
      </c>
      <c r="C134" s="247"/>
      <c r="D134" s="279" t="str">
        <f>IF(S577="","",S577)</f>
        <v>NA</v>
      </c>
      <c r="E134" s="279" t="str">
        <f>IF(S572="","",S572)</f>
        <v>NA</v>
      </c>
      <c r="F134" s="279" t="str">
        <f>IF(S567="","",S567)</f>
        <v>NA</v>
      </c>
      <c r="G134" s="279" t="str">
        <f>IF(S562="","",S562)</f>
        <v>NA</v>
      </c>
      <c r="H134" s="279" t="str">
        <f>IF(S557="","",S557)</f>
        <v>NA</v>
      </c>
    </row>
    <row r="135" spans="2:8" s="288" customFormat="1" ht="11.25" hidden="1" customHeight="1" outlineLevel="1" x14ac:dyDescent="0.35">
      <c r="B135" s="244" t="s">
        <v>5494</v>
      </c>
      <c r="C135" s="247"/>
      <c r="D135" s="279" t="str">
        <f>IF(S578="","",S578)</f>
        <v>NA</v>
      </c>
      <c r="E135" s="279" t="str">
        <f>IF(S573="","",S573)</f>
        <v>NA</v>
      </c>
      <c r="F135" s="279" t="str">
        <f>IF(S568="","",S568)</f>
        <v>NA</v>
      </c>
      <c r="G135" s="279" t="str">
        <f>IF(S563="","",S563)</f>
        <v>NA</v>
      </c>
      <c r="H135" s="279" t="str">
        <f>IF(S558="","",S558)</f>
        <v>NA</v>
      </c>
    </row>
    <row r="136" spans="2:8" s="288" customFormat="1" ht="11.25" hidden="1" customHeight="1" outlineLevel="1" x14ac:dyDescent="0.35">
      <c r="B136" s="244" t="s">
        <v>5494</v>
      </c>
      <c r="C136" s="247"/>
      <c r="D136" s="279" t="str">
        <f>IF(S579="","",S579)</f>
        <v>NA</v>
      </c>
      <c r="E136" s="279" t="str">
        <f>IF(S574="","",S574)</f>
        <v>NA</v>
      </c>
      <c r="F136" s="279" t="str">
        <f>IF(S569="","",S569)</f>
        <v>NA</v>
      </c>
      <c r="G136" s="279" t="str">
        <f>IF(S564="","",S564)</f>
        <v>NA</v>
      </c>
      <c r="H136" s="279" t="str">
        <f>IF(S559="","",S559)</f>
        <v>NA</v>
      </c>
    </row>
    <row r="137" spans="2:8" s="288" customFormat="1" ht="11.25" hidden="1" customHeight="1" outlineLevel="1" x14ac:dyDescent="0.35">
      <c r="B137" s="244"/>
      <c r="C137" s="247"/>
      <c r="D137" s="279"/>
      <c r="E137" s="279"/>
      <c r="F137" s="279"/>
      <c r="G137" s="279"/>
      <c r="H137" s="279"/>
    </row>
    <row r="138" spans="2:8" s="288" customFormat="1" ht="11.25" hidden="1" customHeight="1" outlineLevel="1" x14ac:dyDescent="0.35">
      <c r="B138" s="244" t="s">
        <v>5495</v>
      </c>
      <c r="C138" s="247"/>
      <c r="D138" s="279" t="str">
        <f>IF(S601="","",S601)</f>
        <v>NA</v>
      </c>
      <c r="E138" s="279" t="str">
        <f>IF(S596="","",S596)</f>
        <v>NA</v>
      </c>
      <c r="F138" s="279" t="str">
        <f>IF(S591="","",S591)</f>
        <v>NA</v>
      </c>
      <c r="G138" s="279" t="str">
        <f>IF(S586="","",S586)</f>
        <v>NA</v>
      </c>
      <c r="H138" s="279" t="str">
        <f>IF(S581="","",S581)</f>
        <v>NA</v>
      </c>
    </row>
    <row r="139" spans="2:8" s="288" customFormat="1" ht="11.25" hidden="1" customHeight="1" outlineLevel="1" x14ac:dyDescent="0.35">
      <c r="B139" s="244" t="s">
        <v>5495</v>
      </c>
      <c r="C139" s="247"/>
      <c r="D139" s="279" t="str">
        <f>IF(S602="","",S602)</f>
        <v>NA</v>
      </c>
      <c r="E139" s="279" t="str">
        <f>IF(S597="","",S597)</f>
        <v>NA</v>
      </c>
      <c r="F139" s="279" t="str">
        <f>IF(S592="","",S592)</f>
        <v>NA</v>
      </c>
      <c r="G139" s="279" t="str">
        <f>IF(S587="","",S587)</f>
        <v>NA</v>
      </c>
      <c r="H139" s="279" t="str">
        <f>IF(S582="","",S582)</f>
        <v>NA</v>
      </c>
    </row>
    <row r="140" spans="2:8" s="288" customFormat="1" ht="11.25" hidden="1" customHeight="1" outlineLevel="1" x14ac:dyDescent="0.35">
      <c r="B140" s="244" t="s">
        <v>5495</v>
      </c>
      <c r="C140" s="247"/>
      <c r="D140" s="279" t="str">
        <f>IF(S603="","",S603)</f>
        <v>NA</v>
      </c>
      <c r="E140" s="279" t="str">
        <f>IF(S598="","",S598)</f>
        <v>NA</v>
      </c>
      <c r="F140" s="279" t="str">
        <f>IF(S593="","",S593)</f>
        <v>NA</v>
      </c>
      <c r="G140" s="279" t="str">
        <f>IF(S588="","",S588)</f>
        <v>NA</v>
      </c>
      <c r="H140" s="279" t="str">
        <f>IF(S583="","",S583)</f>
        <v>NA</v>
      </c>
    </row>
    <row r="141" spans="2:8" s="288" customFormat="1" ht="11.25" hidden="1" customHeight="1" outlineLevel="1" x14ac:dyDescent="0.35">
      <c r="B141" s="244" t="s">
        <v>5495</v>
      </c>
      <c r="C141" s="247"/>
      <c r="D141" s="279" t="str">
        <f>IF(S604="","",S604)</f>
        <v>NA</v>
      </c>
      <c r="E141" s="279" t="str">
        <f>IF(S599="","",S599)</f>
        <v>NA</v>
      </c>
      <c r="F141" s="279" t="str">
        <f>IF(S594="","",S594)</f>
        <v>NA</v>
      </c>
      <c r="G141" s="279" t="str">
        <f>IF(S589="","",S589)</f>
        <v>NA</v>
      </c>
      <c r="H141" s="279" t="str">
        <f>IF(S584="","",S584)</f>
        <v>NA</v>
      </c>
    </row>
    <row r="142" spans="2:8" s="288" customFormat="1" ht="11.25" hidden="1" customHeight="1" outlineLevel="1" x14ac:dyDescent="0.35">
      <c r="B142" s="244" t="s">
        <v>5495</v>
      </c>
      <c r="C142" s="247"/>
      <c r="D142" s="279" t="str">
        <f>IF(S605="","",S605)</f>
        <v>NA</v>
      </c>
      <c r="E142" s="279" t="str">
        <f>IF(S600="","",S600)</f>
        <v>NA</v>
      </c>
      <c r="F142" s="279" t="str">
        <f>IF(S595="","",S595)</f>
        <v>NA</v>
      </c>
      <c r="G142" s="279" t="str">
        <f>IF(S590="","",S590)</f>
        <v>NA</v>
      </c>
      <c r="H142" s="279" t="str">
        <f>IF(S585="","",S585)</f>
        <v>NA</v>
      </c>
    </row>
    <row r="143" spans="2:8" s="288" customFormat="1" ht="11.25" hidden="1" customHeight="1" outlineLevel="1" x14ac:dyDescent="0.35">
      <c r="B143" s="244"/>
      <c r="C143" s="247"/>
      <c r="D143" s="279"/>
      <c r="E143" s="279"/>
      <c r="F143" s="279"/>
      <c r="G143" s="279"/>
      <c r="H143" s="279"/>
    </row>
    <row r="144" spans="2:8" s="288" customFormat="1" ht="11.25" hidden="1" customHeight="1" outlineLevel="1" x14ac:dyDescent="0.35">
      <c r="B144" s="244" t="s">
        <v>5496</v>
      </c>
      <c r="C144" s="247"/>
      <c r="D144" s="279" t="str">
        <f>IF(S627="","",S627)</f>
        <v>NA</v>
      </c>
      <c r="E144" s="279" t="str">
        <f>IF(S622="","",S622)</f>
        <v>NA</v>
      </c>
      <c r="F144" s="279" t="str">
        <f>IF(S617="","",S617)</f>
        <v>NA</v>
      </c>
      <c r="G144" s="279" t="str">
        <f>IF(S612="","",S612)</f>
        <v>NA</v>
      </c>
      <c r="H144" s="279" t="str">
        <f>IF(S607="","",S607)</f>
        <v>NA</v>
      </c>
    </row>
    <row r="145" spans="2:8" s="288" customFormat="1" ht="11.25" hidden="1" customHeight="1" outlineLevel="1" x14ac:dyDescent="0.35">
      <c r="B145" s="244" t="s">
        <v>5496</v>
      </c>
      <c r="C145" s="247"/>
      <c r="D145" s="279" t="str">
        <f>IF(S628="","",S628)</f>
        <v>NA</v>
      </c>
      <c r="E145" s="279" t="str">
        <f>IF(S623="","",S623)</f>
        <v>NA</v>
      </c>
      <c r="F145" s="279" t="str">
        <f>IF(S618="","",S618)</f>
        <v>NA</v>
      </c>
      <c r="G145" s="279" t="str">
        <f>IF(S613="","",S613)</f>
        <v>NA</v>
      </c>
      <c r="H145" s="279" t="str">
        <f>IF(S608="","",S608)</f>
        <v>NA</v>
      </c>
    </row>
    <row r="146" spans="2:8" s="288" customFormat="1" ht="11.25" hidden="1" customHeight="1" outlineLevel="1" x14ac:dyDescent="0.35">
      <c r="B146" s="244" t="s">
        <v>5496</v>
      </c>
      <c r="C146" s="247"/>
      <c r="D146" s="279" t="str">
        <f>IF(S629="","",S629)</f>
        <v>NA</v>
      </c>
      <c r="E146" s="279" t="str">
        <f>IF(S624="","",S624)</f>
        <v>NA</v>
      </c>
      <c r="F146" s="279" t="str">
        <f>IF(S619="","",S619)</f>
        <v>NA</v>
      </c>
      <c r="G146" s="279" t="str">
        <f>IF(S614="","",S614)</f>
        <v>NA</v>
      </c>
      <c r="H146" s="279" t="str">
        <f>IF(S609="","",S609)</f>
        <v>NA</v>
      </c>
    </row>
    <row r="147" spans="2:8" s="288" customFormat="1" ht="11.25" hidden="1" customHeight="1" outlineLevel="1" x14ac:dyDescent="0.35">
      <c r="B147" s="244" t="s">
        <v>5496</v>
      </c>
      <c r="C147" s="247"/>
      <c r="D147" s="279" t="str">
        <f>IF(S630="","",S630)</f>
        <v>NA</v>
      </c>
      <c r="E147" s="279" t="str">
        <f>IF(S625="","",S625)</f>
        <v>NA</v>
      </c>
      <c r="F147" s="279" t="str">
        <f>IF(S620="","",S620)</f>
        <v>NA</v>
      </c>
      <c r="G147" s="279" t="str">
        <f>IF(S615="","",S615)</f>
        <v>NA</v>
      </c>
      <c r="H147" s="279" t="str">
        <f>IF(S610="","",S610)</f>
        <v>NA</v>
      </c>
    </row>
    <row r="148" spans="2:8" s="288" customFormat="1" ht="11.25" hidden="1" customHeight="1" outlineLevel="1" x14ac:dyDescent="0.35">
      <c r="B148" s="244" t="s">
        <v>5496</v>
      </c>
      <c r="C148" s="247"/>
      <c r="D148" s="279" t="str">
        <f>IF(S631="","",S631)</f>
        <v>NA</v>
      </c>
      <c r="E148" s="279" t="str">
        <f>IF(S626="","",S626)</f>
        <v>NA</v>
      </c>
      <c r="F148" s="279" t="str">
        <f>IF(S621="","",S621)</f>
        <v>NA</v>
      </c>
      <c r="G148" s="279" t="str">
        <f>IF(S616="","",S616)</f>
        <v>NA</v>
      </c>
      <c r="H148" s="279" t="str">
        <f>IF(S611="","",S611)</f>
        <v>NA</v>
      </c>
    </row>
    <row r="149" spans="2:8" s="288" customFormat="1" ht="11.25" hidden="1" customHeight="1" outlineLevel="1" x14ac:dyDescent="0.35">
      <c r="B149" s="244"/>
      <c r="C149" s="247"/>
      <c r="D149" s="279"/>
      <c r="E149" s="279"/>
      <c r="F149" s="279"/>
      <c r="G149" s="279"/>
      <c r="H149" s="279"/>
    </row>
    <row r="150" spans="2:8" s="288" customFormat="1" ht="11.25" customHeight="1" collapsed="1" x14ac:dyDescent="0.35">
      <c r="B150" s="246" t="s">
        <v>5497</v>
      </c>
      <c r="C150" s="247"/>
      <c r="D150" s="279"/>
      <c r="E150" s="279"/>
      <c r="F150" s="279"/>
      <c r="G150" s="279"/>
      <c r="H150" s="279"/>
    </row>
    <row r="151" spans="2:8" s="288" customFormat="1" ht="11.25" customHeight="1" x14ac:dyDescent="0.35">
      <c r="B151" s="244" t="s">
        <v>5398</v>
      </c>
      <c r="C151" s="247"/>
      <c r="D151" s="279" t="str">
        <f>IF(S653="","",S653)</f>
        <v>NA</v>
      </c>
      <c r="E151" s="279" t="str">
        <f>IF(S648="","",S648)</f>
        <v>NA</v>
      </c>
      <c r="F151" s="279" t="str">
        <f>IF(S643="","",S643)</f>
        <v>NA</v>
      </c>
      <c r="G151" s="279" t="str">
        <f>IF(S638="","",S638)</f>
        <v>NA</v>
      </c>
      <c r="H151" s="279" t="str">
        <f>IF(S633="","",S633)</f>
        <v>NA</v>
      </c>
    </row>
    <row r="152" spans="2:8" s="288" customFormat="1" ht="11.25" customHeight="1" x14ac:dyDescent="0.35">
      <c r="B152" s="244" t="s">
        <v>5399</v>
      </c>
      <c r="C152" s="247"/>
      <c r="D152" s="279" t="str">
        <f>IF(S654="","",S654)</f>
        <v>NA</v>
      </c>
      <c r="E152" s="279" t="str">
        <f>IF(S649="","",S649)</f>
        <v>NA</v>
      </c>
      <c r="F152" s="279" t="str">
        <f>IF(S644="","",S644)</f>
        <v>NA</v>
      </c>
      <c r="G152" s="279" t="str">
        <f>IF(S639="","",S639)</f>
        <v>NA</v>
      </c>
      <c r="H152" s="279" t="str">
        <f>IF(S634="","",S634)</f>
        <v>NA</v>
      </c>
    </row>
    <row r="153" spans="2:8" s="288" customFormat="1" ht="11.25" customHeight="1" x14ac:dyDescent="0.35">
      <c r="B153" s="244" t="s">
        <v>5400</v>
      </c>
      <c r="C153" s="247"/>
      <c r="D153" s="279" t="str">
        <f>IF(S655="","",S655)</f>
        <v>NA</v>
      </c>
      <c r="E153" s="279" t="str">
        <f>IF(S650="","",S650)</f>
        <v>NA</v>
      </c>
      <c r="F153" s="279" t="str">
        <f>IF(S645="","",S645)</f>
        <v>NA</v>
      </c>
      <c r="G153" s="279" t="str">
        <f>IF(S640="","",S640)</f>
        <v>NA</v>
      </c>
      <c r="H153" s="279" t="str">
        <f>IF(S635="","",S635)</f>
        <v>NA</v>
      </c>
    </row>
    <row r="154" spans="2:8" s="288" customFormat="1" ht="11.25" customHeight="1" x14ac:dyDescent="0.35">
      <c r="B154" s="244" t="s">
        <v>5401</v>
      </c>
      <c r="C154" s="247"/>
      <c r="D154" s="279" t="str">
        <f>IF(S656="","",S656)</f>
        <v>NA</v>
      </c>
      <c r="E154" s="279" t="str">
        <f>IF(S651="","",S651)</f>
        <v>NA</v>
      </c>
      <c r="F154" s="279" t="str">
        <f>IF(S646="","",S646)</f>
        <v>NA</v>
      </c>
      <c r="G154" s="279" t="str">
        <f>IF(S641="","",S641)</f>
        <v>NA</v>
      </c>
      <c r="H154" s="279" t="str">
        <f>IF(S636="","",S636)</f>
        <v>NA</v>
      </c>
    </row>
    <row r="155" spans="2:8" s="288" customFormat="1" ht="11.25" customHeight="1" x14ac:dyDescent="0.35">
      <c r="B155" s="244" t="s">
        <v>5402</v>
      </c>
      <c r="C155" s="247"/>
      <c r="D155" s="279" t="str">
        <f>IF(S657="","",S657)</f>
        <v>NA</v>
      </c>
      <c r="E155" s="279" t="str">
        <f>IF(S652="","",S652)</f>
        <v>NA</v>
      </c>
      <c r="F155" s="279" t="str">
        <f>IF(S647="","",S647)</f>
        <v>NA</v>
      </c>
      <c r="G155" s="279" t="str">
        <f>IF(S642="","",S642)</f>
        <v>NA</v>
      </c>
      <c r="H155" s="279" t="str">
        <f>IF(S637="","",S637)</f>
        <v>NA</v>
      </c>
    </row>
    <row r="156" spans="2:8" s="288" customFormat="1" ht="11.25" customHeight="1" x14ac:dyDescent="0.35">
      <c r="B156" s="244"/>
      <c r="C156" s="247"/>
      <c r="D156" s="279"/>
      <c r="E156" s="279"/>
      <c r="F156" s="279"/>
      <c r="G156" s="279"/>
      <c r="H156" s="279"/>
    </row>
    <row r="157" spans="2:8" s="302" customFormat="1" ht="11.25" customHeight="1" x14ac:dyDescent="0.35">
      <c r="B157" s="246" t="s">
        <v>5498</v>
      </c>
      <c r="C157" s="247"/>
      <c r="D157" s="279"/>
      <c r="E157" s="279"/>
      <c r="F157" s="279"/>
      <c r="G157" s="279"/>
      <c r="H157" s="279"/>
    </row>
    <row r="158" spans="2:8" s="302" customFormat="1" ht="11.25" customHeight="1" x14ac:dyDescent="0.35">
      <c r="B158" s="244" t="s">
        <v>5263</v>
      </c>
      <c r="C158" s="245">
        <v>123719</v>
      </c>
      <c r="D158" s="279">
        <v>271934927.282664</v>
      </c>
      <c r="E158" s="279">
        <v>266826697.21599999</v>
      </c>
      <c r="F158" s="279">
        <v>270568959.54870003</v>
      </c>
      <c r="G158" s="279">
        <v>264289599.07185999</v>
      </c>
      <c r="H158" s="279">
        <v>267690564.30337</v>
      </c>
    </row>
    <row r="159" spans="2:8" s="288" customFormat="1" ht="11.25" customHeight="1" x14ac:dyDescent="0.35">
      <c r="B159" s="244" t="s">
        <v>4946</v>
      </c>
      <c r="C159" s="247"/>
      <c r="D159" s="279"/>
      <c r="E159" s="279"/>
      <c r="F159" s="279"/>
      <c r="G159" s="279"/>
      <c r="H159" s="279"/>
    </row>
    <row r="160" spans="2:8" s="288" customFormat="1" ht="11.25" customHeight="1" x14ac:dyDescent="0.35">
      <c r="B160" s="244" t="s">
        <v>5262</v>
      </c>
      <c r="C160" s="245">
        <v>123720</v>
      </c>
      <c r="D160" s="279">
        <v>81285651.894000009</v>
      </c>
      <c r="E160" s="279">
        <v>77810256.031000003</v>
      </c>
      <c r="F160" s="279">
        <v>73742848.538000003</v>
      </c>
      <c r="G160" s="279">
        <v>67929777.991999999</v>
      </c>
      <c r="H160" s="279">
        <v>61067790.245999999</v>
      </c>
    </row>
    <row r="161" spans="2:8" s="288" customFormat="1" ht="11.25" customHeight="1" x14ac:dyDescent="0.35">
      <c r="B161" s="244" t="s">
        <v>5261</v>
      </c>
      <c r="C161" s="245">
        <v>123721</v>
      </c>
      <c r="D161" s="279">
        <v>33826284.805</v>
      </c>
      <c r="E161" s="279">
        <v>33392488.184</v>
      </c>
      <c r="F161" s="279">
        <v>35207985.421999998</v>
      </c>
      <c r="G161" s="279">
        <v>35328754.766999997</v>
      </c>
      <c r="H161" s="279">
        <v>34750064.111000001</v>
      </c>
    </row>
    <row r="162" spans="2:8" s="288" customFormat="1" ht="11.25" customHeight="1" x14ac:dyDescent="0.35">
      <c r="B162" s="244" t="s">
        <v>5260</v>
      </c>
      <c r="C162" s="245">
        <v>123722</v>
      </c>
      <c r="D162" s="279">
        <v>38155403.932999998</v>
      </c>
      <c r="E162" s="279">
        <v>39288219.781999998</v>
      </c>
      <c r="F162" s="279">
        <v>39150317.122000001</v>
      </c>
      <c r="G162" s="279">
        <v>39818104.795000002</v>
      </c>
      <c r="H162" s="279">
        <v>40381739.824000001</v>
      </c>
    </row>
    <row r="163" spans="2:8" s="288" customFormat="1" ht="11.25" customHeight="1" x14ac:dyDescent="0.35">
      <c r="B163" s="244" t="s">
        <v>5259</v>
      </c>
      <c r="C163" s="245">
        <v>123723</v>
      </c>
      <c r="D163" s="279">
        <v>22323781.487</v>
      </c>
      <c r="E163" s="279">
        <v>22058825.357999999</v>
      </c>
      <c r="F163" s="279">
        <v>21803466.909000002</v>
      </c>
      <c r="G163" s="279">
        <v>21497604.041000001</v>
      </c>
      <c r="H163" s="279">
        <v>21231516.936999999</v>
      </c>
    </row>
    <row r="164" spans="2:8" s="288" customFormat="1" ht="11.25" customHeight="1" x14ac:dyDescent="0.35">
      <c r="B164" s="244" t="s">
        <v>4977</v>
      </c>
      <c r="C164" s="245">
        <v>123724</v>
      </c>
      <c r="D164" s="279">
        <v>97580611.022</v>
      </c>
      <c r="E164" s="279">
        <v>94323964.917999998</v>
      </c>
      <c r="F164" s="279">
        <v>100669258.63700001</v>
      </c>
      <c r="G164" s="279">
        <v>99738649.309</v>
      </c>
      <c r="H164" s="279">
        <v>110259453.176</v>
      </c>
    </row>
    <row r="165" spans="2:8" s="288" customFormat="1" ht="11.25" customHeight="1" x14ac:dyDescent="0.35">
      <c r="B165" s="244"/>
      <c r="C165" s="247"/>
      <c r="D165" s="279"/>
      <c r="E165" s="279"/>
      <c r="F165" s="279"/>
      <c r="G165" s="279"/>
      <c r="H165" s="279"/>
    </row>
    <row r="166" spans="2:8" s="288" customFormat="1" ht="11.25" customHeight="1" x14ac:dyDescent="0.35">
      <c r="B166" s="347" t="s">
        <v>5397</v>
      </c>
      <c r="C166" s="247"/>
      <c r="D166" s="279"/>
      <c r="E166" s="279"/>
      <c r="F166" s="279"/>
      <c r="G166" s="279"/>
      <c r="H166" s="279"/>
    </row>
    <row r="167" spans="2:8" s="288" customFormat="1" ht="11.25" customHeight="1" x14ac:dyDescent="0.35">
      <c r="B167" s="246" t="s">
        <v>5499</v>
      </c>
      <c r="C167" s="247"/>
      <c r="D167" s="279"/>
      <c r="E167" s="279"/>
      <c r="F167" s="279"/>
      <c r="G167" s="279"/>
      <c r="H167" s="279"/>
    </row>
    <row r="168" spans="2:8" s="288" customFormat="1" ht="11.25" customHeight="1" x14ac:dyDescent="0.35">
      <c r="B168" s="244" t="s">
        <v>5274</v>
      </c>
      <c r="C168" s="245">
        <v>123694</v>
      </c>
      <c r="D168" s="279">
        <v>7001072.4240000006</v>
      </c>
      <c r="E168" s="279">
        <v>6863670.8090000004</v>
      </c>
      <c r="F168" s="279">
        <v>6767781.4720000001</v>
      </c>
      <c r="G168" s="279">
        <v>6607622.415</v>
      </c>
      <c r="H168" s="279">
        <v>6671277.3650000002</v>
      </c>
    </row>
    <row r="169" spans="2:8" s="288" customFormat="1" ht="11.25" customHeight="1" x14ac:dyDescent="0.35">
      <c r="B169" s="244" t="s">
        <v>4946</v>
      </c>
      <c r="C169" s="247"/>
      <c r="D169" s="279"/>
      <c r="E169" s="279"/>
      <c r="F169" s="279"/>
      <c r="G169" s="279"/>
      <c r="H169" s="279"/>
    </row>
    <row r="170" spans="2:8" s="288" customFormat="1" ht="11.25" customHeight="1" x14ac:dyDescent="0.35">
      <c r="B170" s="244" t="s">
        <v>5271</v>
      </c>
      <c r="C170" s="245">
        <v>123695</v>
      </c>
      <c r="D170" s="279">
        <v>1243520.2520000001</v>
      </c>
      <c r="E170" s="279">
        <v>1197447.0860000001</v>
      </c>
      <c r="F170" s="279">
        <v>1250741.6470000001</v>
      </c>
      <c r="G170" s="279">
        <v>1218270.7779999999</v>
      </c>
      <c r="H170" s="279">
        <v>1272332.872</v>
      </c>
    </row>
    <row r="171" spans="2:8" s="288" customFormat="1" ht="11.25" customHeight="1" x14ac:dyDescent="0.35">
      <c r="B171" s="244" t="s">
        <v>5270</v>
      </c>
      <c r="C171" s="245">
        <v>123696</v>
      </c>
      <c r="D171" s="279">
        <v>897993.71299999999</v>
      </c>
      <c r="E171" s="279">
        <v>798244.48</v>
      </c>
      <c r="F171" s="279">
        <v>814876.09100000001</v>
      </c>
      <c r="G171" s="279">
        <v>789060.86900000006</v>
      </c>
      <c r="H171" s="279">
        <v>783811.53</v>
      </c>
    </row>
    <row r="172" spans="2:8" s="288" customFormat="1" ht="11.25" customHeight="1" x14ac:dyDescent="0.35">
      <c r="B172" s="244" t="s">
        <v>5269</v>
      </c>
      <c r="C172" s="245">
        <v>123697</v>
      </c>
      <c r="D172" s="279">
        <v>5847.7070000000003</v>
      </c>
      <c r="E172" s="279">
        <v>5132.0429999999997</v>
      </c>
      <c r="F172" s="279">
        <v>5442.0609999999997</v>
      </c>
      <c r="G172" s="279">
        <v>4827.1080000000002</v>
      </c>
      <c r="H172" s="279">
        <v>5276.9710000000005</v>
      </c>
    </row>
    <row r="173" spans="2:8" s="288" customFormat="1" ht="11.25" customHeight="1" x14ac:dyDescent="0.35">
      <c r="B173" s="246" t="s">
        <v>5268</v>
      </c>
      <c r="C173" s="247"/>
      <c r="D173" s="279"/>
      <c r="E173" s="279"/>
      <c r="F173" s="279"/>
      <c r="G173" s="279"/>
      <c r="H173" s="279"/>
    </row>
    <row r="174" spans="2:8" s="288" customFormat="1" ht="11.25" customHeight="1" x14ac:dyDescent="0.35">
      <c r="B174" s="244" t="s">
        <v>5267</v>
      </c>
      <c r="C174" s="245">
        <v>123698</v>
      </c>
      <c r="D174" s="279">
        <v>934846.88399999996</v>
      </c>
      <c r="E174" s="279">
        <v>828868.55</v>
      </c>
      <c r="F174" s="279">
        <v>680358.81799999997</v>
      </c>
      <c r="G174" s="279">
        <v>688903.696</v>
      </c>
      <c r="H174" s="279">
        <v>677819.71299999999</v>
      </c>
    </row>
    <row r="175" spans="2:8" ht="11.25" customHeight="1" x14ac:dyDescent="0.35">
      <c r="B175" s="244" t="s">
        <v>5266</v>
      </c>
      <c r="C175" s="245">
        <v>123699</v>
      </c>
      <c r="D175" s="279">
        <v>3639063.4649999999</v>
      </c>
      <c r="E175" s="279">
        <v>3774178.3960000002</v>
      </c>
      <c r="F175" s="279">
        <v>3792266.128</v>
      </c>
      <c r="G175" s="279">
        <v>3676169.702</v>
      </c>
      <c r="H175" s="279">
        <v>3713766.5060000001</v>
      </c>
    </row>
    <row r="176" spans="2:8" ht="11.25" customHeight="1" x14ac:dyDescent="0.35">
      <c r="B176" s="244" t="s">
        <v>5265</v>
      </c>
      <c r="C176" s="245">
        <v>123700</v>
      </c>
      <c r="D176" s="279">
        <v>69647.691000000006</v>
      </c>
      <c r="E176" s="279">
        <v>62038.125</v>
      </c>
      <c r="F176" s="279">
        <v>58559.613000000005</v>
      </c>
      <c r="G176" s="279">
        <v>65030.633999999998</v>
      </c>
      <c r="H176" s="279">
        <v>45279.692999999999</v>
      </c>
    </row>
    <row r="177" spans="2:8" ht="11.25" customHeight="1" x14ac:dyDescent="0.35">
      <c r="B177" s="244" t="s">
        <v>5264</v>
      </c>
      <c r="C177" s="245">
        <v>123701</v>
      </c>
      <c r="D177" s="279">
        <v>115623.08100000001</v>
      </c>
      <c r="E177" s="279">
        <v>104986.564</v>
      </c>
      <c r="F177" s="279">
        <v>95402.100999999995</v>
      </c>
      <c r="G177" s="279">
        <v>94848.525000000009</v>
      </c>
      <c r="H177" s="279">
        <v>95263.187000000005</v>
      </c>
    </row>
    <row r="178" spans="2:8" ht="11.25" customHeight="1" x14ac:dyDescent="0.35">
      <c r="B178" s="244" t="s">
        <v>4946</v>
      </c>
      <c r="C178" s="247"/>
      <c r="D178" s="279"/>
      <c r="E178" s="279"/>
      <c r="F178" s="279"/>
      <c r="G178" s="279"/>
      <c r="H178" s="279"/>
    </row>
    <row r="179" spans="2:8" ht="11.25" customHeight="1" x14ac:dyDescent="0.35">
      <c r="B179" s="246" t="s">
        <v>5500</v>
      </c>
      <c r="C179" s="247"/>
      <c r="D179" s="279"/>
      <c r="E179" s="279"/>
      <c r="F179" s="279"/>
      <c r="G179" s="279"/>
      <c r="H179" s="279"/>
    </row>
    <row r="180" spans="2:8" ht="11.25" customHeight="1" x14ac:dyDescent="0.35">
      <c r="B180" s="244" t="s">
        <v>5273</v>
      </c>
      <c r="C180" s="245">
        <v>123703</v>
      </c>
      <c r="D180" s="279">
        <v>163689742.94800001</v>
      </c>
      <c r="E180" s="279">
        <v>179758819.833</v>
      </c>
      <c r="F180" s="279">
        <v>178113780.05000001</v>
      </c>
      <c r="G180" s="279">
        <v>180014634.36700001</v>
      </c>
      <c r="H180" s="279">
        <v>187281567.13100001</v>
      </c>
    </row>
    <row r="181" spans="2:8" ht="11.25" customHeight="1" x14ac:dyDescent="0.35">
      <c r="B181" s="244" t="s">
        <v>4946</v>
      </c>
      <c r="C181" s="247"/>
      <c r="D181" s="279"/>
      <c r="E181" s="279"/>
      <c r="F181" s="279"/>
      <c r="G181" s="279"/>
      <c r="H181" s="279"/>
    </row>
    <row r="182" spans="2:8" ht="11.25" customHeight="1" x14ac:dyDescent="0.35">
      <c r="B182" s="244" t="s">
        <v>5271</v>
      </c>
      <c r="C182" s="245">
        <v>123704</v>
      </c>
      <c r="D182" s="279">
        <v>13884907.137</v>
      </c>
      <c r="E182" s="279">
        <v>15404657.931</v>
      </c>
      <c r="F182" s="279">
        <v>17300575.675000001</v>
      </c>
      <c r="G182" s="279">
        <v>19177203.655999999</v>
      </c>
      <c r="H182" s="279">
        <v>20884444.938000001</v>
      </c>
    </row>
    <row r="183" spans="2:8" ht="11.25" customHeight="1" x14ac:dyDescent="0.35">
      <c r="B183" s="244" t="s">
        <v>5270</v>
      </c>
      <c r="C183" s="245">
        <v>123705</v>
      </c>
      <c r="D183" s="279">
        <v>30714.359</v>
      </c>
      <c r="E183" s="279">
        <v>27294.833999999999</v>
      </c>
      <c r="F183" s="279">
        <v>21185.21</v>
      </c>
      <c r="G183" s="279">
        <v>15704.387000000001</v>
      </c>
      <c r="H183" s="279">
        <v>12316.25</v>
      </c>
    </row>
    <row r="184" spans="2:8" ht="11.25" customHeight="1" x14ac:dyDescent="0.35">
      <c r="B184" s="244" t="s">
        <v>5269</v>
      </c>
      <c r="C184" s="245">
        <v>123706</v>
      </c>
      <c r="D184" s="279">
        <v>11114.593000000001</v>
      </c>
      <c r="E184" s="279">
        <v>10367.195</v>
      </c>
      <c r="F184" s="279">
        <v>9604.0439999999999</v>
      </c>
      <c r="G184" s="279">
        <v>8298.1470000000008</v>
      </c>
      <c r="H184" s="279">
        <v>8200.514000000001</v>
      </c>
    </row>
    <row r="185" spans="2:8" ht="11.25" customHeight="1" x14ac:dyDescent="0.35">
      <c r="B185" s="246" t="s">
        <v>5268</v>
      </c>
      <c r="C185" s="247"/>
      <c r="D185" s="279"/>
      <c r="E185" s="279"/>
      <c r="F185" s="279"/>
      <c r="G185" s="279"/>
      <c r="H185" s="279"/>
    </row>
    <row r="186" spans="2:8" ht="11.25" customHeight="1" x14ac:dyDescent="0.35">
      <c r="B186" s="244" t="s">
        <v>5267</v>
      </c>
      <c r="C186" s="245">
        <v>123707</v>
      </c>
      <c r="D186" s="279">
        <v>14588163.82</v>
      </c>
      <c r="E186" s="279">
        <v>15577366.748</v>
      </c>
      <c r="F186" s="279">
        <v>7713181.5180000002</v>
      </c>
      <c r="G186" s="279">
        <v>7831523.0140000004</v>
      </c>
      <c r="H186" s="279">
        <v>7619704.9040000001</v>
      </c>
    </row>
    <row r="187" spans="2:8" ht="11.25" customHeight="1" x14ac:dyDescent="0.35">
      <c r="B187" s="244" t="s">
        <v>5266</v>
      </c>
      <c r="C187" s="245">
        <v>123708</v>
      </c>
      <c r="D187" s="279">
        <v>133605382.162</v>
      </c>
      <c r="E187" s="279">
        <v>146652799.171</v>
      </c>
      <c r="F187" s="279">
        <v>152207627.42700002</v>
      </c>
      <c r="G187" s="279">
        <v>152222037.317</v>
      </c>
      <c r="H187" s="279">
        <v>157999890.88100001</v>
      </c>
    </row>
    <row r="188" spans="2:8" ht="11.25" customHeight="1" x14ac:dyDescent="0.35">
      <c r="B188" s="244" t="s">
        <v>5265</v>
      </c>
      <c r="C188" s="245">
        <v>123709</v>
      </c>
      <c r="D188" s="279">
        <v>156267.821</v>
      </c>
      <c r="E188" s="279">
        <v>189378.13</v>
      </c>
      <c r="F188" s="279">
        <v>186504.481</v>
      </c>
      <c r="G188" s="279">
        <v>142979.96600000001</v>
      </c>
      <c r="H188" s="279">
        <v>170318.21900000001</v>
      </c>
    </row>
    <row r="189" spans="2:8" ht="11.25" customHeight="1" x14ac:dyDescent="0.35">
      <c r="B189" s="244" t="s">
        <v>5264</v>
      </c>
      <c r="C189" s="245">
        <v>123710</v>
      </c>
      <c r="D189" s="279">
        <v>1183490.743</v>
      </c>
      <c r="E189" s="279">
        <v>1666027.3740000001</v>
      </c>
      <c r="F189" s="279">
        <v>457908.538</v>
      </c>
      <c r="G189" s="279">
        <v>442870.56099999999</v>
      </c>
      <c r="H189" s="279">
        <v>454464.41600000003</v>
      </c>
    </row>
    <row r="190" spans="2:8" ht="11.25" customHeight="1" x14ac:dyDescent="0.35">
      <c r="B190" s="244" t="s">
        <v>4946</v>
      </c>
      <c r="C190" s="247"/>
      <c r="D190" s="279"/>
      <c r="E190" s="279"/>
      <c r="F190" s="279"/>
      <c r="G190" s="279"/>
      <c r="H190" s="279"/>
    </row>
    <row r="191" spans="2:8" ht="11.25" customHeight="1" x14ac:dyDescent="0.35">
      <c r="B191" s="246" t="s">
        <v>5497</v>
      </c>
      <c r="C191" s="247"/>
      <c r="D191" s="279"/>
      <c r="E191" s="279"/>
      <c r="F191" s="279"/>
      <c r="G191" s="279"/>
      <c r="H191" s="279"/>
    </row>
    <row r="192" spans="2:8" ht="11.25" customHeight="1" x14ac:dyDescent="0.35">
      <c r="B192" s="244" t="s">
        <v>5272</v>
      </c>
      <c r="C192" s="245"/>
      <c r="D192" s="279">
        <f>IF(D207="","",D207)</f>
        <v>73745861.614999995</v>
      </c>
      <c r="E192" s="279">
        <f>IF(E207="","",E207)</f>
        <v>76161188.510000005</v>
      </c>
      <c r="F192" s="279">
        <f>IF(F207="","",F207)</f>
        <v>78189863.091000006</v>
      </c>
      <c r="G192" s="279">
        <f>IF(G207="","",G207)</f>
        <v>79892610.474000007</v>
      </c>
      <c r="H192" s="279">
        <f>IF(H207="","",H207)</f>
        <v>82511791.142000005</v>
      </c>
    </row>
    <row r="193" spans="2:19" ht="11.25" customHeight="1" x14ac:dyDescent="0.35">
      <c r="B193" s="244" t="s">
        <v>4946</v>
      </c>
      <c r="C193" s="247"/>
      <c r="D193" s="279"/>
      <c r="E193" s="279"/>
      <c r="F193" s="279"/>
      <c r="G193" s="279"/>
      <c r="H193" s="279"/>
    </row>
    <row r="194" spans="2:19" ht="11.25" customHeight="1" x14ac:dyDescent="0.35">
      <c r="B194" s="244" t="s">
        <v>5271</v>
      </c>
      <c r="C194" s="245">
        <v>123712</v>
      </c>
      <c r="D194" s="279">
        <v>40663288.776000001</v>
      </c>
      <c r="E194" s="279">
        <v>41686408.489</v>
      </c>
      <c r="F194" s="279">
        <v>42745491.075999998</v>
      </c>
      <c r="G194" s="279">
        <v>43448841.149000004</v>
      </c>
      <c r="H194" s="279">
        <v>44387767.368000001</v>
      </c>
    </row>
    <row r="195" spans="2:19" ht="11.25" customHeight="1" x14ac:dyDescent="0.35">
      <c r="B195" s="244" t="s">
        <v>5270</v>
      </c>
      <c r="C195" s="245">
        <v>123713</v>
      </c>
      <c r="D195" s="279">
        <v>592018.54500000004</v>
      </c>
      <c r="E195" s="279">
        <v>508511.66200000001</v>
      </c>
      <c r="F195" s="279">
        <v>474695.41800000001</v>
      </c>
      <c r="G195" s="279">
        <v>440495.18200000003</v>
      </c>
      <c r="H195" s="279">
        <v>420441.10399999999</v>
      </c>
    </row>
    <row r="196" spans="2:19" ht="11.25" customHeight="1" x14ac:dyDescent="0.35">
      <c r="B196" s="244" t="s">
        <v>5269</v>
      </c>
      <c r="C196" s="245">
        <v>123714</v>
      </c>
      <c r="D196" s="279">
        <v>76534.438999999998</v>
      </c>
      <c r="E196" s="279">
        <v>65945.962</v>
      </c>
      <c r="F196" s="279">
        <v>60706.984000000004</v>
      </c>
      <c r="G196" s="279">
        <v>55577.228000000003</v>
      </c>
      <c r="H196" s="279">
        <v>51956.690999999999</v>
      </c>
    </row>
    <row r="197" spans="2:19" ht="11.25" customHeight="1" x14ac:dyDescent="0.35">
      <c r="B197" s="246" t="s">
        <v>5268</v>
      </c>
      <c r="C197" s="247"/>
      <c r="D197" s="279"/>
      <c r="E197" s="279"/>
      <c r="F197" s="279"/>
      <c r="G197" s="279"/>
      <c r="H197" s="279"/>
    </row>
    <row r="198" spans="2:19" ht="11.25" customHeight="1" x14ac:dyDescent="0.35">
      <c r="B198" s="244" t="s">
        <v>5267</v>
      </c>
      <c r="C198" s="245">
        <v>123715</v>
      </c>
      <c r="D198" s="279">
        <v>21815375.147</v>
      </c>
      <c r="E198" s="279">
        <v>22079257.186999999</v>
      </c>
      <c r="F198" s="279">
        <v>21929712.172000002</v>
      </c>
      <c r="G198" s="279">
        <v>22177289.642999999</v>
      </c>
      <c r="H198" s="279">
        <v>22444540.026999999</v>
      </c>
    </row>
    <row r="199" spans="2:19" ht="11.25" customHeight="1" x14ac:dyDescent="0.35">
      <c r="B199" s="244" t="s">
        <v>5266</v>
      </c>
      <c r="C199" s="245">
        <v>123716</v>
      </c>
      <c r="D199" s="279">
        <v>10078872.444</v>
      </c>
      <c r="E199" s="279">
        <v>11282871.726</v>
      </c>
      <c r="F199" s="279">
        <v>12448244.456</v>
      </c>
      <c r="G199" s="279">
        <v>13263788.402000001</v>
      </c>
      <c r="H199" s="279">
        <v>14696714.926000001</v>
      </c>
    </row>
    <row r="200" spans="2:19" ht="11.25" customHeight="1" x14ac:dyDescent="0.35">
      <c r="B200" s="244" t="s">
        <v>5265</v>
      </c>
      <c r="C200" s="245">
        <v>123717</v>
      </c>
      <c r="D200" s="279">
        <v>35064.914000000004</v>
      </c>
      <c r="E200" s="279">
        <v>32368.222000000002</v>
      </c>
      <c r="F200" s="279">
        <v>31406.913</v>
      </c>
      <c r="G200" s="279">
        <v>31164.423999999999</v>
      </c>
      <c r="H200" s="279">
        <v>26357.260000000002</v>
      </c>
    </row>
    <row r="201" spans="2:19" ht="11.25" customHeight="1" thickBot="1" x14ac:dyDescent="0.4">
      <c r="B201" s="249" t="s">
        <v>5264</v>
      </c>
      <c r="C201" s="250">
        <v>124051</v>
      </c>
      <c r="D201" s="280">
        <v>453856.79499999998</v>
      </c>
      <c r="E201" s="280">
        <v>474420.60000000003</v>
      </c>
      <c r="F201" s="280">
        <v>479138.43800000002</v>
      </c>
      <c r="G201" s="280">
        <v>458440.10000000003</v>
      </c>
      <c r="H201" s="280">
        <v>458721.61600000004</v>
      </c>
    </row>
    <row r="202" spans="2:19" ht="11.25" customHeight="1" x14ac:dyDescent="0.35">
      <c r="B202" s="237"/>
      <c r="C202" s="242"/>
    </row>
    <row r="203" spans="2:19" ht="11.25" customHeight="1" x14ac:dyDescent="0.35">
      <c r="C203" s="242"/>
    </row>
    <row r="204" spans="2:19" ht="11.25" hidden="1" customHeight="1" outlineLevel="1" x14ac:dyDescent="0.35">
      <c r="B204" s="314" t="str">
        <f ca="1">[1]!snltable(287,D204:H204,C207,D205:H205,D206:H206,"Options:Curr=USD, Mag=Thousands, ConvMethod=SNLrecommended")</f>
        <v>SNLTable</v>
      </c>
      <c r="C204" s="315"/>
      <c r="D204" s="316" t="str">
        <f ca="1">Entity_Code</f>
        <v>I36</v>
      </c>
      <c r="E204" s="316" t="str">
        <f ca="1">Entity_Code</f>
        <v>I36</v>
      </c>
      <c r="F204" s="316" t="str">
        <f ca="1">Entity_Code</f>
        <v>I36</v>
      </c>
      <c r="G204" s="316" t="str">
        <f ca="1">Entity_Code</f>
        <v>I36</v>
      </c>
      <c r="H204" s="316" t="str">
        <f ca="1">Entity_Code</f>
        <v>I36</v>
      </c>
      <c r="N204" s="381" t="str">
        <f ca="1">[1]!snltable(287,$S$204,$O$8:$O$680,$P$8:$P$680,,"Options:Curr=USD, Mag=Thousands, ConvMethod=SNLrecommended")</f>
        <v>SNLTable</v>
      </c>
      <c r="O204" s="382"/>
      <c r="P204" s="422"/>
      <c r="Q204" s="382"/>
      <c r="R204" s="383"/>
      <c r="S204" s="376" t="str">
        <f ca="1">Entity_Code</f>
        <v>I36</v>
      </c>
    </row>
    <row r="205" spans="2:19" ht="11.25" hidden="1" customHeight="1" outlineLevel="1" x14ac:dyDescent="0.35">
      <c r="B205" s="244"/>
      <c r="C205" s="247"/>
      <c r="D205" s="335" t="str">
        <f>D$7</f>
        <v>2010Y</v>
      </c>
      <c r="E205" s="335" t="str">
        <f>E$7</f>
        <v>2011Y</v>
      </c>
      <c r="F205" s="335" t="str">
        <f>F$7</f>
        <v>2012Y</v>
      </c>
      <c r="G205" s="335" t="str">
        <f>G$7</f>
        <v>2013Y</v>
      </c>
      <c r="H205" s="335" t="str">
        <f>H$7</f>
        <v>2014Y</v>
      </c>
      <c r="N205" s="372"/>
      <c r="O205" s="373"/>
      <c r="P205" s="423"/>
      <c r="Q205" s="373"/>
      <c r="R205" s="373"/>
      <c r="S205" s="374"/>
    </row>
    <row r="206" spans="2:19" ht="11.25" hidden="1" customHeight="1" outlineLevel="1" x14ac:dyDescent="0.35">
      <c r="B206" s="313"/>
      <c r="C206" s="317"/>
      <c r="D206" s="317" t="str">
        <f>[1]!SNLLabel(287,116480,,"&lt;&gt;134")</f>
        <v>AR: Acc &amp; Health</v>
      </c>
      <c r="E206" s="317" t="str">
        <f>[1]!SNLLabel(287,116480,,"&lt;&gt;134")</f>
        <v>AR: Acc &amp; Health</v>
      </c>
      <c r="F206" s="317" t="str">
        <f>[1]!SNLLabel(287,116480,,"&lt;&gt;134")</f>
        <v>AR: Acc &amp; Health</v>
      </c>
      <c r="G206" s="317" t="str">
        <f>[1]!SNLLabel(287,116480,,"&lt;&gt;134")</f>
        <v>AR: Acc &amp; Health</v>
      </c>
      <c r="H206" s="317" t="str">
        <f>[1]!SNLLabel(287,116480,,"&lt;&gt;134")</f>
        <v>AR: Acc &amp; Health</v>
      </c>
      <c r="N206" s="384" t="s">
        <v>5522</v>
      </c>
      <c r="O206" s="409" t="s">
        <v>5521</v>
      </c>
      <c r="P206" s="424" t="str">
        <f t="shared" ref="P206:P210" si="2">Period</f>
        <v>2014Y</v>
      </c>
      <c r="Q206" s="386" t="str">
        <f>[1]!SNLLabel(287,324925,,"&lt;&gt;322","Options:Curr=Reported currency,Mag=MIstandard,ConvMethod=MIrecommended")</f>
        <v>AR: Total Individual Life</v>
      </c>
      <c r="R206" s="365"/>
      <c r="S206" s="387" t="s">
        <v>29</v>
      </c>
    </row>
    <row r="207" spans="2:19" ht="11.25" hidden="1" customHeight="1" outlineLevel="1" thickBot="1" x14ac:dyDescent="0.4">
      <c r="B207" s="339" t="s">
        <v>5272</v>
      </c>
      <c r="C207" s="340">
        <v>116480</v>
      </c>
      <c r="D207" s="341">
        <v>73745861.614999995</v>
      </c>
      <c r="E207" s="341">
        <v>76161188.510000005</v>
      </c>
      <c r="F207" s="341">
        <v>78189863.091000006</v>
      </c>
      <c r="G207" s="341">
        <v>79892610.474000007</v>
      </c>
      <c r="H207" s="341">
        <v>82511791.142000005</v>
      </c>
      <c r="N207" s="388" t="s">
        <v>5522</v>
      </c>
      <c r="O207" s="410" t="s">
        <v>5521</v>
      </c>
      <c r="P207" s="421" t="str">
        <f t="shared" si="2"/>
        <v>2014Y</v>
      </c>
      <c r="Q207" s="390" t="str">
        <f>[1]!SNLLabel(287,324925,,"&lt;&gt;334","Options:Curr=Reported currency,Mag=MIstandard,ConvMethod=MIrecommended")</f>
        <v>AR: Total Group Life</v>
      </c>
      <c r="R207" s="366"/>
      <c r="S207" s="391" t="s">
        <v>29</v>
      </c>
    </row>
    <row r="208" spans="2:19" ht="11.25" customHeight="1" collapsed="1" x14ac:dyDescent="0.35">
      <c r="N208" s="388" t="s">
        <v>5522</v>
      </c>
      <c r="O208" s="410" t="s">
        <v>5521</v>
      </c>
      <c r="P208" s="421" t="str">
        <f t="shared" si="2"/>
        <v>2014Y</v>
      </c>
      <c r="Q208" s="390" t="str">
        <f>[1]!SNLLabel(287,324925,,"&lt;&gt;343","Options:Curr=Reported currency,Mag=MIstandard,ConvMethod=MIrecommended")</f>
        <v>AR: Total Individual Annuities</v>
      </c>
      <c r="R208" s="366"/>
      <c r="S208" s="391" t="s">
        <v>29</v>
      </c>
    </row>
    <row r="209" spans="14:19" ht="11.25" customHeight="1" x14ac:dyDescent="0.35">
      <c r="N209" s="388" t="s">
        <v>5522</v>
      </c>
      <c r="O209" s="410" t="s">
        <v>5521</v>
      </c>
      <c r="P209" s="421" t="str">
        <f t="shared" si="2"/>
        <v>2014Y</v>
      </c>
      <c r="Q209" s="390" t="str">
        <f>[1]!SNLLabel(287,324925,,"&lt;&gt;350","Options:Curr=Reported currency,Mag=MIstandard,ConvMethod=MIrecommended")</f>
        <v>AR: Total Group Annuities</v>
      </c>
      <c r="R209" s="366"/>
      <c r="S209" s="391" t="s">
        <v>29</v>
      </c>
    </row>
    <row r="210" spans="14:19" ht="11.25" customHeight="1" x14ac:dyDescent="0.35">
      <c r="N210" s="367" t="s">
        <v>5523</v>
      </c>
      <c r="O210" s="411">
        <v>325042</v>
      </c>
      <c r="P210" s="425" t="str">
        <f t="shared" si="2"/>
        <v>2014Y</v>
      </c>
      <c r="Q210" s="369" t="str">
        <f>[1]!SNLLabel(287,325042,,"&lt;&gt;357","Options:Curr=Reported currency,Mag=MIstandard,ConvMethod=MIrecommended")</f>
        <v>AR: Total Accident and Health</v>
      </c>
      <c r="R210" s="370"/>
      <c r="S210" s="371" t="s">
        <v>29</v>
      </c>
    </row>
    <row r="211" spans="14:19" ht="11.25" customHeight="1" x14ac:dyDescent="0.35">
      <c r="N211" s="384" t="s">
        <v>5522</v>
      </c>
      <c r="O211" s="409" t="s">
        <v>5521</v>
      </c>
      <c r="P211" s="424" t="str">
        <f>LEFT(Period,4)-1&amp;"Y"</f>
        <v>2013Y</v>
      </c>
      <c r="Q211" s="386" t="str">
        <f>[1]!SNLLabel(287,324925,,"&lt;&gt;322","Options:Curr=Reported currency,Mag=MIstandard,ConvMethod=MIrecommended")</f>
        <v>AR: Total Individual Life</v>
      </c>
      <c r="R211" s="365"/>
      <c r="S211" s="387" t="s">
        <v>29</v>
      </c>
    </row>
    <row r="212" spans="14:19" ht="11.25" customHeight="1" x14ac:dyDescent="0.35">
      <c r="N212" s="388" t="s">
        <v>5522</v>
      </c>
      <c r="O212" s="410" t="s">
        <v>5521</v>
      </c>
      <c r="P212" s="421" t="str">
        <f>LEFT(Period,4)-1&amp;"Y"</f>
        <v>2013Y</v>
      </c>
      <c r="Q212" s="390" t="str">
        <f>[1]!SNLLabel(287,324925,,"&lt;&gt;334","Options:Curr=Reported currency,Mag=MIstandard,ConvMethod=MIrecommended")</f>
        <v>AR: Total Group Life</v>
      </c>
      <c r="R212" s="366"/>
      <c r="S212" s="391" t="s">
        <v>29</v>
      </c>
    </row>
    <row r="213" spans="14:19" ht="11.25" customHeight="1" x14ac:dyDescent="0.35">
      <c r="N213" s="388" t="s">
        <v>5522</v>
      </c>
      <c r="O213" s="410" t="s">
        <v>5521</v>
      </c>
      <c r="P213" s="421" t="str">
        <f>LEFT(Period,4)-1&amp;"Y"</f>
        <v>2013Y</v>
      </c>
      <c r="Q213" s="390" t="str">
        <f>[1]!SNLLabel(287,324925,,"&lt;&gt;343","Options:Curr=Reported currency,Mag=MIstandard,ConvMethod=MIrecommended")</f>
        <v>AR: Total Individual Annuities</v>
      </c>
      <c r="R213" s="366"/>
      <c r="S213" s="391" t="s">
        <v>29</v>
      </c>
    </row>
    <row r="214" spans="14:19" ht="11.25" customHeight="1" x14ac:dyDescent="0.35">
      <c r="N214" s="388" t="s">
        <v>5522</v>
      </c>
      <c r="O214" s="410" t="s">
        <v>5521</v>
      </c>
      <c r="P214" s="421" t="str">
        <f>LEFT(Period,4)-1&amp;"Y"</f>
        <v>2013Y</v>
      </c>
      <c r="Q214" s="390" t="str">
        <f>[1]!SNLLabel(287,324925,,"&lt;&gt;350","Options:Curr=Reported currency,Mag=MIstandard,ConvMethod=MIrecommended")</f>
        <v>AR: Total Group Annuities</v>
      </c>
      <c r="R214" s="366"/>
      <c r="S214" s="391" t="s">
        <v>29</v>
      </c>
    </row>
    <row r="215" spans="14:19" ht="11.25" customHeight="1" x14ac:dyDescent="0.35">
      <c r="N215" s="367" t="s">
        <v>5523</v>
      </c>
      <c r="O215" s="411">
        <v>325042</v>
      </c>
      <c r="P215" s="425" t="str">
        <f>LEFT(Period,4)-1&amp;"Y"</f>
        <v>2013Y</v>
      </c>
      <c r="Q215" s="369" t="str">
        <f>[1]!SNLLabel(287,325042,,"&lt;&gt;357","Options:Curr=Reported currency,Mag=MIstandard,ConvMethod=MIrecommended")</f>
        <v>AR: Total Accident and Health</v>
      </c>
      <c r="R215" s="370"/>
      <c r="S215" s="371" t="s">
        <v>29</v>
      </c>
    </row>
    <row r="216" spans="14:19" ht="11.25" customHeight="1" x14ac:dyDescent="0.35">
      <c r="N216" s="384" t="s">
        <v>5522</v>
      </c>
      <c r="O216" s="409" t="s">
        <v>5521</v>
      </c>
      <c r="P216" s="424" t="str">
        <f>LEFT(Period,4)-2&amp;"Y"</f>
        <v>2012Y</v>
      </c>
      <c r="Q216" s="386" t="str">
        <f>[1]!SNLLabel(287,324925,,"&lt;&gt;322","Options:Curr=Reported currency,Mag=MIstandard,ConvMethod=MIrecommended")</f>
        <v>AR: Total Individual Life</v>
      </c>
      <c r="R216" s="365"/>
      <c r="S216" s="387" t="s">
        <v>29</v>
      </c>
    </row>
    <row r="217" spans="14:19" ht="11.25" customHeight="1" x14ac:dyDescent="0.35">
      <c r="N217" s="388" t="s">
        <v>5522</v>
      </c>
      <c r="O217" s="410" t="s">
        <v>5521</v>
      </c>
      <c r="P217" s="421" t="str">
        <f>LEFT(Period,4)-2&amp;"Y"</f>
        <v>2012Y</v>
      </c>
      <c r="Q217" s="390" t="str">
        <f>[1]!SNLLabel(287,324925,,"&lt;&gt;334","Options:Curr=Reported currency,Mag=MIstandard,ConvMethod=MIrecommended")</f>
        <v>AR: Total Group Life</v>
      </c>
      <c r="R217" s="366"/>
      <c r="S217" s="391" t="s">
        <v>29</v>
      </c>
    </row>
    <row r="218" spans="14:19" ht="11.25" customHeight="1" x14ac:dyDescent="0.35">
      <c r="N218" s="388" t="s">
        <v>5522</v>
      </c>
      <c r="O218" s="410" t="s">
        <v>5521</v>
      </c>
      <c r="P218" s="421" t="str">
        <f>LEFT(Period,4)-2&amp;"Y"</f>
        <v>2012Y</v>
      </c>
      <c r="Q218" s="390" t="str">
        <f>[1]!SNLLabel(287,324925,,"&lt;&gt;343","Options:Curr=Reported currency,Mag=MIstandard,ConvMethod=MIrecommended")</f>
        <v>AR: Total Individual Annuities</v>
      </c>
      <c r="R218" s="366"/>
      <c r="S218" s="391" t="s">
        <v>29</v>
      </c>
    </row>
    <row r="219" spans="14:19" ht="11.25" customHeight="1" x14ac:dyDescent="0.35">
      <c r="N219" s="388" t="s">
        <v>5522</v>
      </c>
      <c r="O219" s="410" t="s">
        <v>5521</v>
      </c>
      <c r="P219" s="421" t="str">
        <f>LEFT(Period,4)-2&amp;"Y"</f>
        <v>2012Y</v>
      </c>
      <c r="Q219" s="390" t="str">
        <f>[1]!SNLLabel(287,324925,,"&lt;&gt;350","Options:Curr=Reported currency,Mag=MIstandard,ConvMethod=MIrecommended")</f>
        <v>AR: Total Group Annuities</v>
      </c>
      <c r="R219" s="366"/>
      <c r="S219" s="391" t="s">
        <v>29</v>
      </c>
    </row>
    <row r="220" spans="14:19" ht="11.25" customHeight="1" x14ac:dyDescent="0.35">
      <c r="N220" s="367" t="s">
        <v>5523</v>
      </c>
      <c r="O220" s="411">
        <v>325042</v>
      </c>
      <c r="P220" s="425" t="str">
        <f>LEFT(Period,4)-2&amp;"Y"</f>
        <v>2012Y</v>
      </c>
      <c r="Q220" s="369" t="str">
        <f>[1]!SNLLabel(287,325042,,"&lt;&gt;357","Options:Curr=Reported currency,Mag=MIstandard,ConvMethod=MIrecommended")</f>
        <v>AR: Total Accident and Health</v>
      </c>
      <c r="R220" s="370"/>
      <c r="S220" s="371" t="s">
        <v>29</v>
      </c>
    </row>
    <row r="221" spans="14:19" ht="11.25" customHeight="1" x14ac:dyDescent="0.35">
      <c r="N221" s="384" t="s">
        <v>5522</v>
      </c>
      <c r="O221" s="409" t="s">
        <v>5521</v>
      </c>
      <c r="P221" s="424" t="str">
        <f>LEFT(Period,4)-3&amp;"Y"</f>
        <v>2011Y</v>
      </c>
      <c r="Q221" s="386" t="str">
        <f>[1]!SNLLabel(287,324925,,"&lt;&gt;322","Options:Curr=Reported currency,Mag=MIstandard,ConvMethod=MIrecommended")</f>
        <v>AR: Total Individual Life</v>
      </c>
      <c r="R221" s="365"/>
      <c r="S221" s="387" t="s">
        <v>29</v>
      </c>
    </row>
    <row r="222" spans="14:19" ht="11.25" customHeight="1" x14ac:dyDescent="0.35">
      <c r="N222" s="388" t="s">
        <v>5522</v>
      </c>
      <c r="O222" s="410" t="s">
        <v>5521</v>
      </c>
      <c r="P222" s="421" t="str">
        <f>LEFT(Period,4)-3&amp;"Y"</f>
        <v>2011Y</v>
      </c>
      <c r="Q222" s="390" t="str">
        <f>[1]!SNLLabel(287,324925,,"&lt;&gt;334","Options:Curr=Reported currency,Mag=MIstandard,ConvMethod=MIrecommended")</f>
        <v>AR: Total Group Life</v>
      </c>
      <c r="R222" s="366"/>
      <c r="S222" s="391" t="s">
        <v>29</v>
      </c>
    </row>
    <row r="223" spans="14:19" ht="11.25" customHeight="1" x14ac:dyDescent="0.35">
      <c r="N223" s="388" t="s">
        <v>5522</v>
      </c>
      <c r="O223" s="410" t="s">
        <v>5521</v>
      </c>
      <c r="P223" s="421" t="str">
        <f>LEFT(Period,4)-3&amp;"Y"</f>
        <v>2011Y</v>
      </c>
      <c r="Q223" s="390" t="str">
        <f>[1]!SNLLabel(287,324925,,"&lt;&gt;343","Options:Curr=Reported currency,Mag=MIstandard,ConvMethod=MIrecommended")</f>
        <v>AR: Total Individual Annuities</v>
      </c>
      <c r="R223" s="366"/>
      <c r="S223" s="391" t="s">
        <v>29</v>
      </c>
    </row>
    <row r="224" spans="14:19" ht="11.25" customHeight="1" x14ac:dyDescent="0.35">
      <c r="N224" s="388" t="s">
        <v>5522</v>
      </c>
      <c r="O224" s="410" t="s">
        <v>5521</v>
      </c>
      <c r="P224" s="421" t="str">
        <f>LEFT(Period,4)-3&amp;"Y"</f>
        <v>2011Y</v>
      </c>
      <c r="Q224" s="390" t="str">
        <f>[1]!SNLLabel(287,324925,,"&lt;&gt;350","Options:Curr=Reported currency,Mag=MIstandard,ConvMethod=MIrecommended")</f>
        <v>AR: Total Group Annuities</v>
      </c>
      <c r="R224" s="366"/>
      <c r="S224" s="391" t="s">
        <v>29</v>
      </c>
    </row>
    <row r="225" spans="14:19" ht="11.25" customHeight="1" x14ac:dyDescent="0.35">
      <c r="N225" s="367" t="s">
        <v>5523</v>
      </c>
      <c r="O225" s="411">
        <v>325042</v>
      </c>
      <c r="P225" s="425" t="str">
        <f>LEFT(Period,4)-3&amp;"Y"</f>
        <v>2011Y</v>
      </c>
      <c r="Q225" s="369" t="str">
        <f>[1]!SNLLabel(287,325042,,"&lt;&gt;357","Options:Curr=Reported currency,Mag=MIstandard,ConvMethod=MIrecommended")</f>
        <v>AR: Total Accident and Health</v>
      </c>
      <c r="R225" s="370"/>
      <c r="S225" s="371" t="s">
        <v>29</v>
      </c>
    </row>
    <row r="226" spans="14:19" ht="11.25" customHeight="1" x14ac:dyDescent="0.35">
      <c r="N226" s="384" t="s">
        <v>5522</v>
      </c>
      <c r="O226" s="409" t="s">
        <v>5521</v>
      </c>
      <c r="P226" s="424" t="str">
        <f>LEFT(Period,4)-4&amp;"Y"</f>
        <v>2010Y</v>
      </c>
      <c r="Q226" s="386" t="str">
        <f>[1]!SNLLabel(287,324925,,"&lt;&gt;322","Options:Curr=Reported currency,Mag=MIstandard,ConvMethod=MIrecommended")</f>
        <v>AR: Total Individual Life</v>
      </c>
      <c r="R226" s="365"/>
      <c r="S226" s="387" t="s">
        <v>29</v>
      </c>
    </row>
    <row r="227" spans="14:19" ht="11.25" customHeight="1" x14ac:dyDescent="0.35">
      <c r="N227" s="388" t="s">
        <v>5522</v>
      </c>
      <c r="O227" s="410" t="s">
        <v>5521</v>
      </c>
      <c r="P227" s="421" t="str">
        <f>LEFT(Period,4)-4&amp;"Y"</f>
        <v>2010Y</v>
      </c>
      <c r="Q227" s="390" t="str">
        <f>[1]!SNLLabel(287,324925,,"&lt;&gt;334","Options:Curr=Reported currency,Mag=MIstandard,ConvMethod=MIrecommended")</f>
        <v>AR: Total Group Life</v>
      </c>
      <c r="R227" s="366"/>
      <c r="S227" s="391" t="s">
        <v>29</v>
      </c>
    </row>
    <row r="228" spans="14:19" ht="11.25" customHeight="1" x14ac:dyDescent="0.35">
      <c r="N228" s="388" t="s">
        <v>5522</v>
      </c>
      <c r="O228" s="410" t="s">
        <v>5521</v>
      </c>
      <c r="P228" s="421" t="str">
        <f>LEFT(Period,4)-4&amp;"Y"</f>
        <v>2010Y</v>
      </c>
      <c r="Q228" s="390" t="str">
        <f>[1]!SNLLabel(287,324925,,"&lt;&gt;343","Options:Curr=Reported currency,Mag=MIstandard,ConvMethod=MIrecommended")</f>
        <v>AR: Total Individual Annuities</v>
      </c>
      <c r="R228" s="366"/>
      <c r="S228" s="391" t="s">
        <v>29</v>
      </c>
    </row>
    <row r="229" spans="14:19" ht="11.25" customHeight="1" x14ac:dyDescent="0.35">
      <c r="N229" s="388" t="s">
        <v>5522</v>
      </c>
      <c r="O229" s="410" t="s">
        <v>5521</v>
      </c>
      <c r="P229" s="421" t="str">
        <f>LEFT(Period,4)-4&amp;"Y"</f>
        <v>2010Y</v>
      </c>
      <c r="Q229" s="390" t="str">
        <f>[1]!SNLLabel(287,324925,,"&lt;&gt;350","Options:Curr=Reported currency,Mag=MIstandard,ConvMethod=MIrecommended")</f>
        <v>AR: Total Group Annuities</v>
      </c>
      <c r="R229" s="366"/>
      <c r="S229" s="391" t="s">
        <v>29</v>
      </c>
    </row>
    <row r="230" spans="14:19" ht="11.25" customHeight="1" x14ac:dyDescent="0.35">
      <c r="N230" s="367" t="s">
        <v>5523</v>
      </c>
      <c r="O230" s="411">
        <v>325042</v>
      </c>
      <c r="P230" s="425" t="str">
        <f>LEFT(Period,4)-4&amp;"Y"</f>
        <v>2010Y</v>
      </c>
      <c r="Q230" s="369" t="str">
        <f>[1]!SNLLabel(287,325042,,"&lt;&gt;357","Options:Curr=Reported currency,Mag=MIstandard,ConvMethod=MIrecommended")</f>
        <v>AR: Total Accident and Health</v>
      </c>
      <c r="R230" s="370"/>
      <c r="S230" s="371" t="s">
        <v>29</v>
      </c>
    </row>
    <row r="231" spans="14:19" ht="11.25" customHeight="1" x14ac:dyDescent="0.35">
      <c r="N231" s="419" t="s">
        <v>5406</v>
      </c>
      <c r="O231" s="416"/>
      <c r="P231" s="426"/>
      <c r="Q231" s="417"/>
      <c r="R231" s="382"/>
      <c r="S231" s="418"/>
    </row>
    <row r="232" spans="14:19" ht="11.25" customHeight="1" x14ac:dyDescent="0.35">
      <c r="N232" s="384" t="s">
        <v>5474</v>
      </c>
      <c r="O232" s="385">
        <v>324681</v>
      </c>
      <c r="P232" s="424" t="str">
        <f t="shared" ref="P232:P243" si="3">Period</f>
        <v>2014Y</v>
      </c>
      <c r="Q232" s="386" t="str">
        <f>[1]!SNLLabel(287,324681,,"&lt;&gt;322")</f>
        <v>AR: Total Individual Life</v>
      </c>
      <c r="R232" s="365"/>
      <c r="S232" s="387" t="s">
        <v>29</v>
      </c>
    </row>
    <row r="233" spans="14:19" ht="11.25" customHeight="1" x14ac:dyDescent="0.35">
      <c r="N233" s="388" t="s">
        <v>5474</v>
      </c>
      <c r="O233" s="389">
        <v>324681</v>
      </c>
      <c r="P233" s="421" t="str">
        <f t="shared" si="3"/>
        <v>2014Y</v>
      </c>
      <c r="Q233" s="390" t="str">
        <f>[1]!SNLLabel(287,324681,,"&lt;&gt;323")</f>
        <v>AR: Individual Industrial Life</v>
      </c>
      <c r="R233" s="366"/>
      <c r="S233" s="391" t="s">
        <v>29</v>
      </c>
    </row>
    <row r="234" spans="14:19" ht="11.25" customHeight="1" x14ac:dyDescent="0.35">
      <c r="N234" s="388" t="s">
        <v>5474</v>
      </c>
      <c r="O234" s="389">
        <v>324681</v>
      </c>
      <c r="P234" s="421" t="str">
        <f t="shared" si="3"/>
        <v>2014Y</v>
      </c>
      <c r="Q234" s="390" t="str">
        <f>[1]!SNLLabel(287,324681,,"&lt;&gt;324")</f>
        <v>AR: Individual Whole Life</v>
      </c>
      <c r="R234" s="366"/>
      <c r="S234" s="391" t="s">
        <v>29</v>
      </c>
    </row>
    <row r="235" spans="14:19" ht="11.25" customHeight="1" x14ac:dyDescent="0.35">
      <c r="N235" s="388" t="s">
        <v>5474</v>
      </c>
      <c r="O235" s="389">
        <v>324681</v>
      </c>
      <c r="P235" s="421" t="str">
        <f t="shared" si="3"/>
        <v>2014Y</v>
      </c>
      <c r="Q235" s="390" t="str">
        <f>[1]!SNLLabel(287,324681,,"&lt;&gt;325")</f>
        <v>AR: Individual Term Life</v>
      </c>
      <c r="R235" s="366"/>
      <c r="S235" s="391" t="s">
        <v>29</v>
      </c>
    </row>
    <row r="236" spans="14:19" ht="11.25" customHeight="1" x14ac:dyDescent="0.35">
      <c r="N236" s="388" t="s">
        <v>5474</v>
      </c>
      <c r="O236" s="389">
        <v>324681</v>
      </c>
      <c r="P236" s="421" t="str">
        <f t="shared" si="3"/>
        <v>2014Y</v>
      </c>
      <c r="Q236" s="390" t="str">
        <f>[1]!SNLLabel(287,324681,,"&lt;&gt;326")</f>
        <v>AR: Individual Indexed Life</v>
      </c>
      <c r="R236" s="366"/>
      <c r="S236" s="391" t="s">
        <v>29</v>
      </c>
    </row>
    <row r="237" spans="14:19" ht="11.25" customHeight="1" x14ac:dyDescent="0.35">
      <c r="N237" s="388" t="s">
        <v>5474</v>
      </c>
      <c r="O237" s="389">
        <v>324681</v>
      </c>
      <c r="P237" s="421" t="str">
        <f t="shared" si="3"/>
        <v>2014Y</v>
      </c>
      <c r="Q237" s="390" t="str">
        <f>[1]!SNLLabel(287,324681,,"&lt;&gt;327")</f>
        <v>AR: Individual Universal Life</v>
      </c>
      <c r="R237" s="366"/>
      <c r="S237" s="391" t="s">
        <v>29</v>
      </c>
    </row>
    <row r="238" spans="14:19" ht="11.25" customHeight="1" x14ac:dyDescent="0.35">
      <c r="N238" s="388" t="s">
        <v>5474</v>
      </c>
      <c r="O238" s="389">
        <v>324681</v>
      </c>
      <c r="P238" s="421" t="str">
        <f t="shared" si="3"/>
        <v>2014Y</v>
      </c>
      <c r="Q238" s="390" t="str">
        <f>[1]!SNLLabel(287,324681,,"&lt;&gt;328")</f>
        <v>AR: Individual Universal Life with Sec Guar</v>
      </c>
      <c r="R238" s="366"/>
      <c r="S238" s="391" t="s">
        <v>29</v>
      </c>
    </row>
    <row r="239" spans="14:19" ht="11.25" customHeight="1" x14ac:dyDescent="0.35">
      <c r="N239" s="388" t="s">
        <v>5474</v>
      </c>
      <c r="O239" s="389">
        <v>324681</v>
      </c>
      <c r="P239" s="421" t="str">
        <f t="shared" si="3"/>
        <v>2014Y</v>
      </c>
      <c r="Q239" s="390" t="str">
        <f>[1]!SNLLabel(287,324681,,"&lt;&gt;329")</f>
        <v>AR: Individual Variable Life</v>
      </c>
      <c r="R239" s="366"/>
      <c r="S239" s="391" t="s">
        <v>29</v>
      </c>
    </row>
    <row r="240" spans="14:19" ht="11.25" customHeight="1" x14ac:dyDescent="0.35">
      <c r="N240" s="388" t="s">
        <v>5474</v>
      </c>
      <c r="O240" s="389">
        <v>324681</v>
      </c>
      <c r="P240" s="421" t="str">
        <f t="shared" si="3"/>
        <v>2014Y</v>
      </c>
      <c r="Q240" s="390" t="str">
        <f>[1]!SNLLabel(287,324681,,"&lt;&gt;330")</f>
        <v>AR: Individual Variable Universal Life</v>
      </c>
      <c r="R240" s="366"/>
      <c r="S240" s="391" t="s">
        <v>29</v>
      </c>
    </row>
    <row r="241" spans="14:19" ht="11.25" customHeight="1" x14ac:dyDescent="0.35">
      <c r="N241" s="388" t="s">
        <v>5474</v>
      </c>
      <c r="O241" s="389">
        <v>324681</v>
      </c>
      <c r="P241" s="421" t="str">
        <f t="shared" si="3"/>
        <v>2014Y</v>
      </c>
      <c r="Q241" s="390" t="str">
        <f>[1]!SNLLabel(287,324681,,"&lt;&gt;331")</f>
        <v>AR: Individual Credit Life</v>
      </c>
      <c r="R241" s="366"/>
      <c r="S241" s="391" t="s">
        <v>29</v>
      </c>
    </row>
    <row r="242" spans="14:19" ht="11.25" customHeight="1" x14ac:dyDescent="0.35">
      <c r="N242" s="388" t="s">
        <v>5474</v>
      </c>
      <c r="O242" s="389">
        <v>324681</v>
      </c>
      <c r="P242" s="421" t="str">
        <f t="shared" si="3"/>
        <v>2014Y</v>
      </c>
      <c r="Q242" s="390" t="str">
        <f>[1]!SNLLabel(287,324681,,"&lt;&gt;332")</f>
        <v>AR: Individual Other Life</v>
      </c>
      <c r="R242" s="366"/>
      <c r="S242" s="391" t="s">
        <v>29</v>
      </c>
    </row>
    <row r="243" spans="14:19" ht="11.25" customHeight="1" x14ac:dyDescent="0.35">
      <c r="N243" s="367" t="s">
        <v>5474</v>
      </c>
      <c r="O243" s="368">
        <v>324681</v>
      </c>
      <c r="P243" s="425" t="str">
        <f t="shared" si="3"/>
        <v>2014Y</v>
      </c>
      <c r="Q243" s="369" t="str">
        <f>[1]!SNLLabel(287,324681,,"&lt;&gt;333")</f>
        <v>AR: Individual YRT Mortality Risk Only</v>
      </c>
      <c r="R243" s="370"/>
      <c r="S243" s="371" t="s">
        <v>29</v>
      </c>
    </row>
    <row r="244" spans="14:19" ht="11.25" customHeight="1" x14ac:dyDescent="0.35">
      <c r="N244" s="384" t="s">
        <v>5474</v>
      </c>
      <c r="O244" s="385">
        <v>324681</v>
      </c>
      <c r="P244" s="421" t="str">
        <f t="shared" ref="P244:P255" si="4">LEFT(Period,4)-1&amp;"Y"</f>
        <v>2013Y</v>
      </c>
      <c r="Q244" s="386" t="str">
        <f>[1]!SNLLabel(287,324681,,"&lt;&gt;322")</f>
        <v>AR: Total Individual Life</v>
      </c>
      <c r="R244" s="365"/>
      <c r="S244" s="387" t="s">
        <v>29</v>
      </c>
    </row>
    <row r="245" spans="14:19" ht="11.25" customHeight="1" x14ac:dyDescent="0.35">
      <c r="N245" s="388" t="s">
        <v>5474</v>
      </c>
      <c r="O245" s="389">
        <v>324681</v>
      </c>
      <c r="P245" s="421" t="str">
        <f t="shared" si="4"/>
        <v>2013Y</v>
      </c>
      <c r="Q245" s="390" t="str">
        <f>[1]!SNLLabel(287,324681,,"&lt;&gt;323")</f>
        <v>AR: Individual Industrial Life</v>
      </c>
      <c r="R245" s="366"/>
      <c r="S245" s="391" t="s">
        <v>29</v>
      </c>
    </row>
    <row r="246" spans="14:19" ht="11.25" customHeight="1" x14ac:dyDescent="0.35">
      <c r="N246" s="388" t="s">
        <v>5474</v>
      </c>
      <c r="O246" s="389">
        <v>324681</v>
      </c>
      <c r="P246" s="421" t="str">
        <f t="shared" si="4"/>
        <v>2013Y</v>
      </c>
      <c r="Q246" s="390" t="str">
        <f>[1]!SNLLabel(287,324681,,"&lt;&gt;324")</f>
        <v>AR: Individual Whole Life</v>
      </c>
      <c r="R246" s="366"/>
      <c r="S246" s="391" t="s">
        <v>29</v>
      </c>
    </row>
    <row r="247" spans="14:19" ht="11.25" customHeight="1" x14ac:dyDescent="0.35">
      <c r="N247" s="388" t="s">
        <v>5474</v>
      </c>
      <c r="O247" s="389">
        <v>324681</v>
      </c>
      <c r="P247" s="421" t="str">
        <f t="shared" si="4"/>
        <v>2013Y</v>
      </c>
      <c r="Q247" s="390" t="str">
        <f>[1]!SNLLabel(287,324681,,"&lt;&gt;325")</f>
        <v>AR: Individual Term Life</v>
      </c>
      <c r="R247" s="366"/>
      <c r="S247" s="391" t="s">
        <v>29</v>
      </c>
    </row>
    <row r="248" spans="14:19" ht="11.25" customHeight="1" x14ac:dyDescent="0.35">
      <c r="N248" s="388" t="s">
        <v>5474</v>
      </c>
      <c r="O248" s="389">
        <v>324681</v>
      </c>
      <c r="P248" s="421" t="str">
        <f t="shared" si="4"/>
        <v>2013Y</v>
      </c>
      <c r="Q248" s="390" t="str">
        <f>[1]!SNLLabel(287,324681,,"&lt;&gt;326")</f>
        <v>AR: Individual Indexed Life</v>
      </c>
      <c r="R248" s="366"/>
      <c r="S248" s="391" t="s">
        <v>29</v>
      </c>
    </row>
    <row r="249" spans="14:19" ht="11.25" customHeight="1" x14ac:dyDescent="0.35">
      <c r="N249" s="388" t="s">
        <v>5474</v>
      </c>
      <c r="O249" s="389">
        <v>324681</v>
      </c>
      <c r="P249" s="421" t="str">
        <f t="shared" si="4"/>
        <v>2013Y</v>
      </c>
      <c r="Q249" s="390" t="str">
        <f>[1]!SNLLabel(287,324681,,"&lt;&gt;327")</f>
        <v>AR: Individual Universal Life</v>
      </c>
      <c r="R249" s="366"/>
      <c r="S249" s="391" t="s">
        <v>29</v>
      </c>
    </row>
    <row r="250" spans="14:19" ht="11.25" customHeight="1" x14ac:dyDescent="0.35">
      <c r="N250" s="388" t="s">
        <v>5474</v>
      </c>
      <c r="O250" s="389">
        <v>324681</v>
      </c>
      <c r="P250" s="421" t="str">
        <f t="shared" si="4"/>
        <v>2013Y</v>
      </c>
      <c r="Q250" s="390" t="str">
        <f>[1]!SNLLabel(287,324681,,"&lt;&gt;328")</f>
        <v>AR: Individual Universal Life with Sec Guar</v>
      </c>
      <c r="R250" s="366"/>
      <c r="S250" s="391" t="s">
        <v>29</v>
      </c>
    </row>
    <row r="251" spans="14:19" ht="11.25" customHeight="1" x14ac:dyDescent="0.35">
      <c r="N251" s="388" t="s">
        <v>5474</v>
      </c>
      <c r="O251" s="389">
        <v>324681</v>
      </c>
      <c r="P251" s="421" t="str">
        <f t="shared" si="4"/>
        <v>2013Y</v>
      </c>
      <c r="Q251" s="390" t="str">
        <f>[1]!SNLLabel(287,324681,,"&lt;&gt;329")</f>
        <v>AR: Individual Variable Life</v>
      </c>
      <c r="R251" s="366"/>
      <c r="S251" s="391" t="s">
        <v>29</v>
      </c>
    </row>
    <row r="252" spans="14:19" ht="11.25" customHeight="1" x14ac:dyDescent="0.35">
      <c r="N252" s="388" t="s">
        <v>5474</v>
      </c>
      <c r="O252" s="389">
        <v>324681</v>
      </c>
      <c r="P252" s="421" t="str">
        <f t="shared" si="4"/>
        <v>2013Y</v>
      </c>
      <c r="Q252" s="390" t="str">
        <f>[1]!SNLLabel(287,324681,,"&lt;&gt;330")</f>
        <v>AR: Individual Variable Universal Life</v>
      </c>
      <c r="R252" s="366"/>
      <c r="S252" s="391" t="s">
        <v>29</v>
      </c>
    </row>
    <row r="253" spans="14:19" ht="11.25" customHeight="1" x14ac:dyDescent="0.35">
      <c r="N253" s="388" t="s">
        <v>5474</v>
      </c>
      <c r="O253" s="389">
        <v>324681</v>
      </c>
      <c r="P253" s="421" t="str">
        <f t="shared" si="4"/>
        <v>2013Y</v>
      </c>
      <c r="Q253" s="390" t="str">
        <f>[1]!SNLLabel(287,324681,,"&lt;&gt;331")</f>
        <v>AR: Individual Credit Life</v>
      </c>
      <c r="R253" s="366"/>
      <c r="S253" s="391" t="s">
        <v>29</v>
      </c>
    </row>
    <row r="254" spans="14:19" ht="11.25" customHeight="1" x14ac:dyDescent="0.35">
      <c r="N254" s="388" t="s">
        <v>5474</v>
      </c>
      <c r="O254" s="389">
        <v>324681</v>
      </c>
      <c r="P254" s="421" t="str">
        <f t="shared" si="4"/>
        <v>2013Y</v>
      </c>
      <c r="Q254" s="390" t="str">
        <f>[1]!SNLLabel(287,324681,,"&lt;&gt;332")</f>
        <v>AR: Individual Other Life</v>
      </c>
      <c r="R254" s="366"/>
      <c r="S254" s="391" t="s">
        <v>29</v>
      </c>
    </row>
    <row r="255" spans="14:19" ht="11.25" customHeight="1" x14ac:dyDescent="0.35">
      <c r="N255" s="367" t="s">
        <v>5474</v>
      </c>
      <c r="O255" s="368">
        <v>324681</v>
      </c>
      <c r="P255" s="425" t="str">
        <f t="shared" si="4"/>
        <v>2013Y</v>
      </c>
      <c r="Q255" s="369" t="str">
        <f>[1]!SNLLabel(287,324681,,"&lt;&gt;333")</f>
        <v>AR: Individual YRT Mortality Risk Only</v>
      </c>
      <c r="R255" s="370"/>
      <c r="S255" s="371" t="s">
        <v>29</v>
      </c>
    </row>
    <row r="256" spans="14:19" ht="11.25" customHeight="1" x14ac:dyDescent="0.35">
      <c r="N256" s="384" t="s">
        <v>5474</v>
      </c>
      <c r="O256" s="385">
        <v>324681</v>
      </c>
      <c r="P256" s="421" t="str">
        <f t="shared" ref="P256:P267" si="5">LEFT(Period,4)-2&amp;"Y"</f>
        <v>2012Y</v>
      </c>
      <c r="Q256" s="386" t="str">
        <f>[1]!SNLLabel(287,324681,,"&lt;&gt;322")</f>
        <v>AR: Total Individual Life</v>
      </c>
      <c r="R256" s="365"/>
      <c r="S256" s="387" t="s">
        <v>29</v>
      </c>
    </row>
    <row r="257" spans="14:19" ht="11.25" customHeight="1" x14ac:dyDescent="0.35">
      <c r="N257" s="388" t="s">
        <v>5474</v>
      </c>
      <c r="O257" s="389">
        <v>324681</v>
      </c>
      <c r="P257" s="421" t="str">
        <f t="shared" si="5"/>
        <v>2012Y</v>
      </c>
      <c r="Q257" s="390" t="str">
        <f>[1]!SNLLabel(287,324681,,"&lt;&gt;323")</f>
        <v>AR: Individual Industrial Life</v>
      </c>
      <c r="R257" s="366"/>
      <c r="S257" s="391" t="s">
        <v>29</v>
      </c>
    </row>
    <row r="258" spans="14:19" ht="11.25" customHeight="1" x14ac:dyDescent="0.35">
      <c r="N258" s="388" t="s">
        <v>5474</v>
      </c>
      <c r="O258" s="389">
        <v>324681</v>
      </c>
      <c r="P258" s="421" t="str">
        <f t="shared" si="5"/>
        <v>2012Y</v>
      </c>
      <c r="Q258" s="390" t="str">
        <f>[1]!SNLLabel(287,324681,,"&lt;&gt;324")</f>
        <v>AR: Individual Whole Life</v>
      </c>
      <c r="R258" s="366"/>
      <c r="S258" s="391" t="s">
        <v>29</v>
      </c>
    </row>
    <row r="259" spans="14:19" ht="11.25" customHeight="1" x14ac:dyDescent="0.35">
      <c r="N259" s="388" t="s">
        <v>5474</v>
      </c>
      <c r="O259" s="389">
        <v>324681</v>
      </c>
      <c r="P259" s="421" t="str">
        <f t="shared" si="5"/>
        <v>2012Y</v>
      </c>
      <c r="Q259" s="390" t="str">
        <f>[1]!SNLLabel(287,324681,,"&lt;&gt;325")</f>
        <v>AR: Individual Term Life</v>
      </c>
      <c r="R259" s="366"/>
      <c r="S259" s="391" t="s">
        <v>29</v>
      </c>
    </row>
    <row r="260" spans="14:19" ht="11.25" customHeight="1" x14ac:dyDescent="0.35">
      <c r="N260" s="388" t="s">
        <v>5474</v>
      </c>
      <c r="O260" s="389">
        <v>324681</v>
      </c>
      <c r="P260" s="421" t="str">
        <f t="shared" si="5"/>
        <v>2012Y</v>
      </c>
      <c r="Q260" s="390" t="str">
        <f>[1]!SNLLabel(287,324681,,"&lt;&gt;326")</f>
        <v>AR: Individual Indexed Life</v>
      </c>
      <c r="R260" s="366"/>
      <c r="S260" s="391" t="s">
        <v>29</v>
      </c>
    </row>
    <row r="261" spans="14:19" ht="11.25" customHeight="1" x14ac:dyDescent="0.35">
      <c r="N261" s="388" t="s">
        <v>5474</v>
      </c>
      <c r="O261" s="389">
        <v>324681</v>
      </c>
      <c r="P261" s="421" t="str">
        <f t="shared" si="5"/>
        <v>2012Y</v>
      </c>
      <c r="Q261" s="390" t="str">
        <f>[1]!SNLLabel(287,324681,,"&lt;&gt;327")</f>
        <v>AR: Individual Universal Life</v>
      </c>
      <c r="R261" s="366"/>
      <c r="S261" s="391" t="s">
        <v>29</v>
      </c>
    </row>
    <row r="262" spans="14:19" ht="11.25" customHeight="1" x14ac:dyDescent="0.35">
      <c r="N262" s="388" t="s">
        <v>5474</v>
      </c>
      <c r="O262" s="389">
        <v>324681</v>
      </c>
      <c r="P262" s="421" t="str">
        <f t="shared" si="5"/>
        <v>2012Y</v>
      </c>
      <c r="Q262" s="390" t="str">
        <f>[1]!SNLLabel(287,324681,,"&lt;&gt;328")</f>
        <v>AR: Individual Universal Life with Sec Guar</v>
      </c>
      <c r="R262" s="366"/>
      <c r="S262" s="391" t="s">
        <v>29</v>
      </c>
    </row>
    <row r="263" spans="14:19" ht="11.25" customHeight="1" x14ac:dyDescent="0.35">
      <c r="N263" s="388" t="s">
        <v>5474</v>
      </c>
      <c r="O263" s="389">
        <v>324681</v>
      </c>
      <c r="P263" s="421" t="str">
        <f t="shared" si="5"/>
        <v>2012Y</v>
      </c>
      <c r="Q263" s="390" t="str">
        <f>[1]!SNLLabel(287,324681,,"&lt;&gt;329")</f>
        <v>AR: Individual Variable Life</v>
      </c>
      <c r="R263" s="366"/>
      <c r="S263" s="391" t="s">
        <v>29</v>
      </c>
    </row>
    <row r="264" spans="14:19" ht="11.25" customHeight="1" x14ac:dyDescent="0.35">
      <c r="N264" s="388" t="s">
        <v>5474</v>
      </c>
      <c r="O264" s="389">
        <v>324681</v>
      </c>
      <c r="P264" s="421" t="str">
        <f t="shared" si="5"/>
        <v>2012Y</v>
      </c>
      <c r="Q264" s="390" t="str">
        <f>[1]!SNLLabel(287,324681,,"&lt;&gt;330")</f>
        <v>AR: Individual Variable Universal Life</v>
      </c>
      <c r="R264" s="366"/>
      <c r="S264" s="391" t="s">
        <v>29</v>
      </c>
    </row>
    <row r="265" spans="14:19" ht="11.25" customHeight="1" x14ac:dyDescent="0.35">
      <c r="N265" s="388" t="s">
        <v>5474</v>
      </c>
      <c r="O265" s="389">
        <v>324681</v>
      </c>
      <c r="P265" s="421" t="str">
        <f t="shared" si="5"/>
        <v>2012Y</v>
      </c>
      <c r="Q265" s="390" t="str">
        <f>[1]!SNLLabel(287,324681,,"&lt;&gt;331")</f>
        <v>AR: Individual Credit Life</v>
      </c>
      <c r="R265" s="366"/>
      <c r="S265" s="391" t="s">
        <v>29</v>
      </c>
    </row>
    <row r="266" spans="14:19" ht="11.25" customHeight="1" x14ac:dyDescent="0.35">
      <c r="N266" s="388" t="s">
        <v>5474</v>
      </c>
      <c r="O266" s="389">
        <v>324681</v>
      </c>
      <c r="P266" s="421" t="str">
        <f t="shared" si="5"/>
        <v>2012Y</v>
      </c>
      <c r="Q266" s="390" t="str">
        <f>[1]!SNLLabel(287,324681,,"&lt;&gt;332")</f>
        <v>AR: Individual Other Life</v>
      </c>
      <c r="R266" s="366"/>
      <c r="S266" s="391" t="s">
        <v>29</v>
      </c>
    </row>
    <row r="267" spans="14:19" ht="11.25" customHeight="1" x14ac:dyDescent="0.35">
      <c r="N267" s="367" t="s">
        <v>5474</v>
      </c>
      <c r="O267" s="368">
        <v>324681</v>
      </c>
      <c r="P267" s="425" t="str">
        <f t="shared" si="5"/>
        <v>2012Y</v>
      </c>
      <c r="Q267" s="369" t="str">
        <f>[1]!SNLLabel(287,324681,,"&lt;&gt;333")</f>
        <v>AR: Individual YRT Mortality Risk Only</v>
      </c>
      <c r="R267" s="370"/>
      <c r="S267" s="371" t="s">
        <v>29</v>
      </c>
    </row>
    <row r="268" spans="14:19" ht="11.25" customHeight="1" x14ac:dyDescent="0.35">
      <c r="N268" s="384" t="s">
        <v>5474</v>
      </c>
      <c r="O268" s="385">
        <v>324681</v>
      </c>
      <c r="P268" s="421" t="str">
        <f t="shared" ref="P268:P279" si="6">LEFT(Period,4)-3&amp;"Y"</f>
        <v>2011Y</v>
      </c>
      <c r="Q268" s="386" t="str">
        <f>[1]!SNLLabel(287,324681,,"&lt;&gt;322")</f>
        <v>AR: Total Individual Life</v>
      </c>
      <c r="R268" s="365"/>
      <c r="S268" s="387" t="s">
        <v>29</v>
      </c>
    </row>
    <row r="269" spans="14:19" ht="11.25" customHeight="1" x14ac:dyDescent="0.35">
      <c r="N269" s="388" t="s">
        <v>5474</v>
      </c>
      <c r="O269" s="389">
        <v>324681</v>
      </c>
      <c r="P269" s="421" t="str">
        <f t="shared" si="6"/>
        <v>2011Y</v>
      </c>
      <c r="Q269" s="390" t="str">
        <f>[1]!SNLLabel(287,324681,,"&lt;&gt;323")</f>
        <v>AR: Individual Industrial Life</v>
      </c>
      <c r="R269" s="366"/>
      <c r="S269" s="391" t="s">
        <v>29</v>
      </c>
    </row>
    <row r="270" spans="14:19" ht="11.25" customHeight="1" x14ac:dyDescent="0.35">
      <c r="N270" s="388" t="s">
        <v>5474</v>
      </c>
      <c r="O270" s="389">
        <v>324681</v>
      </c>
      <c r="P270" s="421" t="str">
        <f t="shared" si="6"/>
        <v>2011Y</v>
      </c>
      <c r="Q270" s="390" t="str">
        <f>[1]!SNLLabel(287,324681,,"&lt;&gt;324")</f>
        <v>AR: Individual Whole Life</v>
      </c>
      <c r="R270" s="366"/>
      <c r="S270" s="391" t="s">
        <v>29</v>
      </c>
    </row>
    <row r="271" spans="14:19" ht="11.25" customHeight="1" x14ac:dyDescent="0.35">
      <c r="N271" s="388" t="s">
        <v>5474</v>
      </c>
      <c r="O271" s="389">
        <v>324681</v>
      </c>
      <c r="P271" s="421" t="str">
        <f t="shared" si="6"/>
        <v>2011Y</v>
      </c>
      <c r="Q271" s="390" t="str">
        <f>[1]!SNLLabel(287,324681,,"&lt;&gt;325")</f>
        <v>AR: Individual Term Life</v>
      </c>
      <c r="R271" s="366"/>
      <c r="S271" s="391" t="s">
        <v>29</v>
      </c>
    </row>
    <row r="272" spans="14:19" ht="11.25" customHeight="1" x14ac:dyDescent="0.35">
      <c r="N272" s="388" t="s">
        <v>5474</v>
      </c>
      <c r="O272" s="389">
        <v>324681</v>
      </c>
      <c r="P272" s="421" t="str">
        <f t="shared" si="6"/>
        <v>2011Y</v>
      </c>
      <c r="Q272" s="390" t="str">
        <f>[1]!SNLLabel(287,324681,,"&lt;&gt;326")</f>
        <v>AR: Individual Indexed Life</v>
      </c>
      <c r="R272" s="366"/>
      <c r="S272" s="391" t="s">
        <v>29</v>
      </c>
    </row>
    <row r="273" spans="14:19" ht="11.25" customHeight="1" x14ac:dyDescent="0.35">
      <c r="N273" s="388" t="s">
        <v>5474</v>
      </c>
      <c r="O273" s="389">
        <v>324681</v>
      </c>
      <c r="P273" s="421" t="str">
        <f t="shared" si="6"/>
        <v>2011Y</v>
      </c>
      <c r="Q273" s="390" t="str">
        <f>[1]!SNLLabel(287,324681,,"&lt;&gt;327")</f>
        <v>AR: Individual Universal Life</v>
      </c>
      <c r="R273" s="366"/>
      <c r="S273" s="391" t="s">
        <v>29</v>
      </c>
    </row>
    <row r="274" spans="14:19" ht="11.25" customHeight="1" x14ac:dyDescent="0.35">
      <c r="N274" s="388" t="s">
        <v>5474</v>
      </c>
      <c r="O274" s="389">
        <v>324681</v>
      </c>
      <c r="P274" s="421" t="str">
        <f t="shared" si="6"/>
        <v>2011Y</v>
      </c>
      <c r="Q274" s="390" t="str">
        <f>[1]!SNLLabel(287,324681,,"&lt;&gt;328")</f>
        <v>AR: Individual Universal Life with Sec Guar</v>
      </c>
      <c r="R274" s="366"/>
      <c r="S274" s="391" t="s">
        <v>29</v>
      </c>
    </row>
    <row r="275" spans="14:19" ht="11.25" customHeight="1" x14ac:dyDescent="0.35">
      <c r="N275" s="388" t="s">
        <v>5474</v>
      </c>
      <c r="O275" s="389">
        <v>324681</v>
      </c>
      <c r="P275" s="421" t="str">
        <f t="shared" si="6"/>
        <v>2011Y</v>
      </c>
      <c r="Q275" s="390" t="str">
        <f>[1]!SNLLabel(287,324681,,"&lt;&gt;329")</f>
        <v>AR: Individual Variable Life</v>
      </c>
      <c r="R275" s="366"/>
      <c r="S275" s="391" t="s">
        <v>29</v>
      </c>
    </row>
    <row r="276" spans="14:19" ht="11.25" customHeight="1" x14ac:dyDescent="0.35">
      <c r="N276" s="388" t="s">
        <v>5474</v>
      </c>
      <c r="O276" s="389">
        <v>324681</v>
      </c>
      <c r="P276" s="421" t="str">
        <f t="shared" si="6"/>
        <v>2011Y</v>
      </c>
      <c r="Q276" s="390" t="str">
        <f>[1]!SNLLabel(287,324681,,"&lt;&gt;330")</f>
        <v>AR: Individual Variable Universal Life</v>
      </c>
      <c r="R276" s="366"/>
      <c r="S276" s="391" t="s">
        <v>29</v>
      </c>
    </row>
    <row r="277" spans="14:19" ht="11.25" customHeight="1" x14ac:dyDescent="0.35">
      <c r="N277" s="388" t="s">
        <v>5474</v>
      </c>
      <c r="O277" s="389">
        <v>324681</v>
      </c>
      <c r="P277" s="421" t="str">
        <f t="shared" si="6"/>
        <v>2011Y</v>
      </c>
      <c r="Q277" s="390" t="str">
        <f>[1]!SNLLabel(287,324681,,"&lt;&gt;331")</f>
        <v>AR: Individual Credit Life</v>
      </c>
      <c r="R277" s="366"/>
      <c r="S277" s="391" t="s">
        <v>29</v>
      </c>
    </row>
    <row r="278" spans="14:19" ht="11.25" customHeight="1" x14ac:dyDescent="0.35">
      <c r="N278" s="388" t="s">
        <v>5474</v>
      </c>
      <c r="O278" s="389">
        <v>324681</v>
      </c>
      <c r="P278" s="421" t="str">
        <f t="shared" si="6"/>
        <v>2011Y</v>
      </c>
      <c r="Q278" s="390" t="str">
        <f>[1]!SNLLabel(287,324681,,"&lt;&gt;332")</f>
        <v>AR: Individual Other Life</v>
      </c>
      <c r="R278" s="366"/>
      <c r="S278" s="391" t="s">
        <v>29</v>
      </c>
    </row>
    <row r="279" spans="14:19" ht="11.25" customHeight="1" x14ac:dyDescent="0.35">
      <c r="N279" s="367" t="s">
        <v>5474</v>
      </c>
      <c r="O279" s="368">
        <v>324681</v>
      </c>
      <c r="P279" s="425" t="str">
        <f t="shared" si="6"/>
        <v>2011Y</v>
      </c>
      <c r="Q279" s="369" t="str">
        <f>[1]!SNLLabel(287,324681,,"&lt;&gt;333")</f>
        <v>AR: Individual YRT Mortality Risk Only</v>
      </c>
      <c r="R279" s="370"/>
      <c r="S279" s="371" t="s">
        <v>29</v>
      </c>
    </row>
    <row r="280" spans="14:19" ht="11.25" customHeight="1" x14ac:dyDescent="0.35">
      <c r="N280" s="384" t="s">
        <v>5474</v>
      </c>
      <c r="O280" s="385">
        <v>324681</v>
      </c>
      <c r="P280" s="421" t="str">
        <f t="shared" ref="P280:P291" si="7">LEFT(Period,4)-4&amp;"Y"</f>
        <v>2010Y</v>
      </c>
      <c r="Q280" s="386" t="str">
        <f>[1]!SNLLabel(287,324681,,"&lt;&gt;322")</f>
        <v>AR: Total Individual Life</v>
      </c>
      <c r="R280" s="365"/>
      <c r="S280" s="387" t="s">
        <v>29</v>
      </c>
    </row>
    <row r="281" spans="14:19" ht="11.25" customHeight="1" x14ac:dyDescent="0.35">
      <c r="N281" s="388" t="s">
        <v>5474</v>
      </c>
      <c r="O281" s="389">
        <v>324681</v>
      </c>
      <c r="P281" s="421" t="str">
        <f t="shared" si="7"/>
        <v>2010Y</v>
      </c>
      <c r="Q281" s="390" t="str">
        <f>[1]!SNLLabel(287,324681,,"&lt;&gt;323")</f>
        <v>AR: Individual Industrial Life</v>
      </c>
      <c r="R281" s="366"/>
      <c r="S281" s="391" t="s">
        <v>29</v>
      </c>
    </row>
    <row r="282" spans="14:19" ht="11.25" customHeight="1" x14ac:dyDescent="0.35">
      <c r="N282" s="388" t="s">
        <v>5474</v>
      </c>
      <c r="O282" s="389">
        <v>324681</v>
      </c>
      <c r="P282" s="421" t="str">
        <f t="shared" si="7"/>
        <v>2010Y</v>
      </c>
      <c r="Q282" s="390" t="str">
        <f>[1]!SNLLabel(287,324681,,"&lt;&gt;324")</f>
        <v>AR: Individual Whole Life</v>
      </c>
      <c r="R282" s="366"/>
      <c r="S282" s="391" t="s">
        <v>29</v>
      </c>
    </row>
    <row r="283" spans="14:19" ht="11.25" customHeight="1" x14ac:dyDescent="0.35">
      <c r="N283" s="388" t="s">
        <v>5474</v>
      </c>
      <c r="O283" s="389">
        <v>324681</v>
      </c>
      <c r="P283" s="421" t="str">
        <f t="shared" si="7"/>
        <v>2010Y</v>
      </c>
      <c r="Q283" s="390" t="str">
        <f>[1]!SNLLabel(287,324681,,"&lt;&gt;325")</f>
        <v>AR: Individual Term Life</v>
      </c>
      <c r="R283" s="366"/>
      <c r="S283" s="391" t="s">
        <v>29</v>
      </c>
    </row>
    <row r="284" spans="14:19" ht="11.25" customHeight="1" x14ac:dyDescent="0.35">
      <c r="N284" s="388" t="s">
        <v>5474</v>
      </c>
      <c r="O284" s="389">
        <v>324681</v>
      </c>
      <c r="P284" s="421" t="str">
        <f t="shared" si="7"/>
        <v>2010Y</v>
      </c>
      <c r="Q284" s="390" t="str">
        <f>[1]!SNLLabel(287,324681,,"&lt;&gt;326")</f>
        <v>AR: Individual Indexed Life</v>
      </c>
      <c r="R284" s="366"/>
      <c r="S284" s="391" t="s">
        <v>29</v>
      </c>
    </row>
    <row r="285" spans="14:19" ht="11.25" customHeight="1" x14ac:dyDescent="0.35">
      <c r="N285" s="388" t="s">
        <v>5474</v>
      </c>
      <c r="O285" s="389">
        <v>324681</v>
      </c>
      <c r="P285" s="421" t="str">
        <f t="shared" si="7"/>
        <v>2010Y</v>
      </c>
      <c r="Q285" s="390" t="str">
        <f>[1]!SNLLabel(287,324681,,"&lt;&gt;327")</f>
        <v>AR: Individual Universal Life</v>
      </c>
      <c r="R285" s="366"/>
      <c r="S285" s="391" t="s">
        <v>29</v>
      </c>
    </row>
    <row r="286" spans="14:19" ht="11.25" customHeight="1" x14ac:dyDescent="0.35">
      <c r="N286" s="388" t="s">
        <v>5474</v>
      </c>
      <c r="O286" s="389">
        <v>324681</v>
      </c>
      <c r="P286" s="421" t="str">
        <f t="shared" si="7"/>
        <v>2010Y</v>
      </c>
      <c r="Q286" s="390" t="str">
        <f>[1]!SNLLabel(287,324681,,"&lt;&gt;328")</f>
        <v>AR: Individual Universal Life with Sec Guar</v>
      </c>
      <c r="R286" s="366"/>
      <c r="S286" s="391" t="s">
        <v>29</v>
      </c>
    </row>
    <row r="287" spans="14:19" ht="11.25" customHeight="1" x14ac:dyDescent="0.35">
      <c r="N287" s="388" t="s">
        <v>5474</v>
      </c>
      <c r="O287" s="389">
        <v>324681</v>
      </c>
      <c r="P287" s="421" t="str">
        <f t="shared" si="7"/>
        <v>2010Y</v>
      </c>
      <c r="Q287" s="390" t="str">
        <f>[1]!SNLLabel(287,324681,,"&lt;&gt;329")</f>
        <v>AR: Individual Variable Life</v>
      </c>
      <c r="R287" s="366"/>
      <c r="S287" s="391" t="s">
        <v>29</v>
      </c>
    </row>
    <row r="288" spans="14:19" ht="11.25" customHeight="1" x14ac:dyDescent="0.35">
      <c r="N288" s="388" t="s">
        <v>5474</v>
      </c>
      <c r="O288" s="389">
        <v>324681</v>
      </c>
      <c r="P288" s="421" t="str">
        <f t="shared" si="7"/>
        <v>2010Y</v>
      </c>
      <c r="Q288" s="390" t="str">
        <f>[1]!SNLLabel(287,324681,,"&lt;&gt;330")</f>
        <v>AR: Individual Variable Universal Life</v>
      </c>
      <c r="R288" s="366"/>
      <c r="S288" s="391" t="s">
        <v>29</v>
      </c>
    </row>
    <row r="289" spans="14:19" ht="11.25" customHeight="1" x14ac:dyDescent="0.35">
      <c r="N289" s="388" t="s">
        <v>5474</v>
      </c>
      <c r="O289" s="389">
        <v>324681</v>
      </c>
      <c r="P289" s="421" t="str">
        <f t="shared" si="7"/>
        <v>2010Y</v>
      </c>
      <c r="Q289" s="390" t="str">
        <f>[1]!SNLLabel(287,324681,,"&lt;&gt;331")</f>
        <v>AR: Individual Credit Life</v>
      </c>
      <c r="R289" s="366"/>
      <c r="S289" s="391" t="s">
        <v>29</v>
      </c>
    </row>
    <row r="290" spans="14:19" ht="11.25" customHeight="1" x14ac:dyDescent="0.35">
      <c r="N290" s="388" t="s">
        <v>5474</v>
      </c>
      <c r="O290" s="389">
        <v>324681</v>
      </c>
      <c r="P290" s="421" t="str">
        <f t="shared" si="7"/>
        <v>2010Y</v>
      </c>
      <c r="Q290" s="390" t="str">
        <f>[1]!SNLLabel(287,324681,,"&lt;&gt;332")</f>
        <v>AR: Individual Other Life</v>
      </c>
      <c r="R290" s="366"/>
      <c r="S290" s="391" t="s">
        <v>29</v>
      </c>
    </row>
    <row r="291" spans="14:19" ht="11.25" customHeight="1" x14ac:dyDescent="0.35">
      <c r="N291" s="367" t="s">
        <v>5474</v>
      </c>
      <c r="O291" s="368">
        <v>324681</v>
      </c>
      <c r="P291" s="425" t="str">
        <f t="shared" si="7"/>
        <v>2010Y</v>
      </c>
      <c r="Q291" s="369" t="str">
        <f>[1]!SNLLabel(287,324681,,"&lt;&gt;333")</f>
        <v>AR: Individual YRT Mortality Risk Only</v>
      </c>
      <c r="R291" s="370"/>
      <c r="S291" s="371" t="s">
        <v>29</v>
      </c>
    </row>
    <row r="292" spans="14:19" ht="11.25" customHeight="1" x14ac:dyDescent="0.35">
      <c r="N292" s="419" t="s">
        <v>5407</v>
      </c>
      <c r="O292" s="416"/>
      <c r="P292" s="426"/>
      <c r="Q292" s="417"/>
      <c r="R292" s="382"/>
      <c r="S292" s="418"/>
    </row>
    <row r="293" spans="14:19" ht="11.25" customHeight="1" x14ac:dyDescent="0.35">
      <c r="N293" s="365" t="s">
        <v>5474</v>
      </c>
      <c r="O293" s="385">
        <v>324681</v>
      </c>
      <c r="P293" s="421" t="str">
        <f t="shared" ref="P293:P301" si="8">Period</f>
        <v>2014Y</v>
      </c>
      <c r="Q293" s="413" t="str">
        <f>[1]!SNLLabel(287,324681,,"&lt;&gt;334")</f>
        <v>AR: Total Group Life</v>
      </c>
      <c r="R293" s="365"/>
      <c r="S293" s="387" t="s">
        <v>29</v>
      </c>
    </row>
    <row r="294" spans="14:19" ht="11.25" customHeight="1" x14ac:dyDescent="0.35">
      <c r="N294" s="366" t="s">
        <v>5474</v>
      </c>
      <c r="O294" s="389">
        <v>324681</v>
      </c>
      <c r="P294" s="421" t="str">
        <f t="shared" si="8"/>
        <v>2014Y</v>
      </c>
      <c r="Q294" s="414" t="str">
        <f>[1]!SNLLabel(287,324681,,"&lt;&gt;335")</f>
        <v>AR: Group Whole Life</v>
      </c>
      <c r="R294" s="366"/>
      <c r="S294" s="391" t="s">
        <v>29</v>
      </c>
    </row>
    <row r="295" spans="14:19" ht="11.25" customHeight="1" x14ac:dyDescent="0.35">
      <c r="N295" s="366" t="s">
        <v>5474</v>
      </c>
      <c r="O295" s="389">
        <v>324681</v>
      </c>
      <c r="P295" s="421" t="str">
        <f t="shared" si="8"/>
        <v>2014Y</v>
      </c>
      <c r="Q295" s="414" t="str">
        <f>[1]!SNLLabel(287,324681,,"&lt;&gt;336")</f>
        <v>AR: Group Term Life</v>
      </c>
      <c r="R295" s="366"/>
      <c r="S295" s="391" t="s">
        <v>29</v>
      </c>
    </row>
    <row r="296" spans="14:19" ht="11.25" customHeight="1" x14ac:dyDescent="0.35">
      <c r="N296" s="366" t="s">
        <v>5474</v>
      </c>
      <c r="O296" s="389">
        <v>324681</v>
      </c>
      <c r="P296" s="421" t="str">
        <f t="shared" si="8"/>
        <v>2014Y</v>
      </c>
      <c r="Q296" s="414" t="str">
        <f>[1]!SNLLabel(287,324681,,"&lt;&gt;337")</f>
        <v>AR: Group Universal Life</v>
      </c>
      <c r="R296" s="366"/>
      <c r="S296" s="391" t="s">
        <v>29</v>
      </c>
    </row>
    <row r="297" spans="14:19" ht="11.25" customHeight="1" x14ac:dyDescent="0.35">
      <c r="N297" s="366" t="s">
        <v>5474</v>
      </c>
      <c r="O297" s="389">
        <v>324681</v>
      </c>
      <c r="P297" s="421" t="str">
        <f t="shared" si="8"/>
        <v>2014Y</v>
      </c>
      <c r="Q297" s="414" t="str">
        <f>[1]!SNLLabel(287,324681,,"&lt;&gt;338")</f>
        <v>AR: Group Variable Life</v>
      </c>
      <c r="R297" s="366"/>
      <c r="S297" s="391" t="s">
        <v>29</v>
      </c>
    </row>
    <row r="298" spans="14:19" ht="11.25" customHeight="1" x14ac:dyDescent="0.35">
      <c r="N298" s="366" t="s">
        <v>5474</v>
      </c>
      <c r="O298" s="389">
        <v>324681</v>
      </c>
      <c r="P298" s="421" t="str">
        <f t="shared" si="8"/>
        <v>2014Y</v>
      </c>
      <c r="Q298" s="414" t="str">
        <f>[1]!SNLLabel(287,324681,,"&lt;&gt;339")</f>
        <v>AR: Group Variable Universal Life</v>
      </c>
      <c r="R298" s="366"/>
      <c r="S298" s="391" t="s">
        <v>29</v>
      </c>
    </row>
    <row r="299" spans="14:19" ht="11.25" customHeight="1" x14ac:dyDescent="0.35">
      <c r="N299" s="366" t="s">
        <v>5474</v>
      </c>
      <c r="O299" s="389">
        <v>324681</v>
      </c>
      <c r="P299" s="421" t="str">
        <f t="shared" si="8"/>
        <v>2014Y</v>
      </c>
      <c r="Q299" s="414" t="str">
        <f>[1]!SNLLabel(287,324681,,"&lt;&gt;340")</f>
        <v>AR: Group Credit Life</v>
      </c>
      <c r="R299" s="366"/>
      <c r="S299" s="391" t="s">
        <v>29</v>
      </c>
    </row>
    <row r="300" spans="14:19" ht="11.25" customHeight="1" x14ac:dyDescent="0.35">
      <c r="N300" s="366" t="s">
        <v>5474</v>
      </c>
      <c r="O300" s="389">
        <v>324681</v>
      </c>
      <c r="P300" s="421" t="str">
        <f t="shared" si="8"/>
        <v>2014Y</v>
      </c>
      <c r="Q300" s="414" t="str">
        <f>[1]!SNLLabel(287,324681,,"&lt;&gt;341")</f>
        <v>AR: Group Other Life</v>
      </c>
      <c r="R300" s="366"/>
      <c r="S300" s="391" t="s">
        <v>29</v>
      </c>
    </row>
    <row r="301" spans="14:19" ht="11.25" customHeight="1" x14ac:dyDescent="0.35">
      <c r="N301" s="370" t="s">
        <v>5474</v>
      </c>
      <c r="O301" s="368">
        <v>324681</v>
      </c>
      <c r="P301" s="425" t="str">
        <f t="shared" si="8"/>
        <v>2014Y</v>
      </c>
      <c r="Q301" s="415" t="str">
        <f>[1]!SNLLabel(287,324681,,"&lt;&gt;342")</f>
        <v>AR: Group YRT Mortality Risk Only</v>
      </c>
      <c r="R301" s="370"/>
      <c r="S301" s="371" t="s">
        <v>29</v>
      </c>
    </row>
    <row r="302" spans="14:19" ht="11.25" customHeight="1" x14ac:dyDescent="0.35">
      <c r="N302" s="365" t="s">
        <v>5474</v>
      </c>
      <c r="O302" s="385">
        <v>324681</v>
      </c>
      <c r="P302" s="421" t="str">
        <f t="shared" ref="P302:P310" si="9">LEFT(Period,4)-1&amp;"Y"</f>
        <v>2013Y</v>
      </c>
      <c r="Q302" s="413" t="str">
        <f>[1]!SNLLabel(287,324681,,"&lt;&gt;334")</f>
        <v>AR: Total Group Life</v>
      </c>
      <c r="R302" s="365"/>
      <c r="S302" s="387" t="s">
        <v>29</v>
      </c>
    </row>
    <row r="303" spans="14:19" ht="11.25" customHeight="1" x14ac:dyDescent="0.35">
      <c r="N303" s="366" t="s">
        <v>5474</v>
      </c>
      <c r="O303" s="389">
        <v>324681</v>
      </c>
      <c r="P303" s="421" t="str">
        <f t="shared" si="9"/>
        <v>2013Y</v>
      </c>
      <c r="Q303" s="414" t="str">
        <f>[1]!SNLLabel(287,324681,,"&lt;&gt;335")</f>
        <v>AR: Group Whole Life</v>
      </c>
      <c r="R303" s="366"/>
      <c r="S303" s="391" t="s">
        <v>29</v>
      </c>
    </row>
    <row r="304" spans="14:19" ht="11.25" customHeight="1" x14ac:dyDescent="0.35">
      <c r="N304" s="366" t="s">
        <v>5474</v>
      </c>
      <c r="O304" s="389">
        <v>324681</v>
      </c>
      <c r="P304" s="421" t="str">
        <f t="shared" si="9"/>
        <v>2013Y</v>
      </c>
      <c r="Q304" s="414" t="str">
        <f>[1]!SNLLabel(287,324681,,"&lt;&gt;336")</f>
        <v>AR: Group Term Life</v>
      </c>
      <c r="R304" s="366"/>
      <c r="S304" s="391" t="s">
        <v>29</v>
      </c>
    </row>
    <row r="305" spans="14:19" ht="11.25" customHeight="1" x14ac:dyDescent="0.35">
      <c r="N305" s="366" t="s">
        <v>5474</v>
      </c>
      <c r="O305" s="389">
        <v>324681</v>
      </c>
      <c r="P305" s="421" t="str">
        <f t="shared" si="9"/>
        <v>2013Y</v>
      </c>
      <c r="Q305" s="414" t="str">
        <f>[1]!SNLLabel(287,324681,,"&lt;&gt;337")</f>
        <v>AR: Group Universal Life</v>
      </c>
      <c r="R305" s="366"/>
      <c r="S305" s="391" t="s">
        <v>29</v>
      </c>
    </row>
    <row r="306" spans="14:19" ht="11.25" customHeight="1" x14ac:dyDescent="0.35">
      <c r="N306" s="366" t="s">
        <v>5474</v>
      </c>
      <c r="O306" s="389">
        <v>324681</v>
      </c>
      <c r="P306" s="421" t="str">
        <f t="shared" si="9"/>
        <v>2013Y</v>
      </c>
      <c r="Q306" s="414" t="str">
        <f>[1]!SNLLabel(287,324681,,"&lt;&gt;338")</f>
        <v>AR: Group Variable Life</v>
      </c>
      <c r="R306" s="366"/>
      <c r="S306" s="391" t="s">
        <v>29</v>
      </c>
    </row>
    <row r="307" spans="14:19" ht="11.25" customHeight="1" x14ac:dyDescent="0.35">
      <c r="N307" s="366" t="s">
        <v>5474</v>
      </c>
      <c r="O307" s="389">
        <v>324681</v>
      </c>
      <c r="P307" s="421" t="str">
        <f t="shared" si="9"/>
        <v>2013Y</v>
      </c>
      <c r="Q307" s="414" t="str">
        <f>[1]!SNLLabel(287,324681,,"&lt;&gt;339")</f>
        <v>AR: Group Variable Universal Life</v>
      </c>
      <c r="R307" s="366"/>
      <c r="S307" s="391" t="s">
        <v>29</v>
      </c>
    </row>
    <row r="308" spans="14:19" ht="11.25" customHeight="1" x14ac:dyDescent="0.35">
      <c r="N308" s="366" t="s">
        <v>5474</v>
      </c>
      <c r="O308" s="389">
        <v>324681</v>
      </c>
      <c r="P308" s="421" t="str">
        <f t="shared" si="9"/>
        <v>2013Y</v>
      </c>
      <c r="Q308" s="414" t="str">
        <f>[1]!SNLLabel(287,324681,,"&lt;&gt;340")</f>
        <v>AR: Group Credit Life</v>
      </c>
      <c r="R308" s="366"/>
      <c r="S308" s="391" t="s">
        <v>29</v>
      </c>
    </row>
    <row r="309" spans="14:19" ht="11.25" customHeight="1" x14ac:dyDescent="0.35">
      <c r="N309" s="366" t="s">
        <v>5474</v>
      </c>
      <c r="O309" s="389">
        <v>324681</v>
      </c>
      <c r="P309" s="421" t="str">
        <f t="shared" si="9"/>
        <v>2013Y</v>
      </c>
      <c r="Q309" s="414" t="str">
        <f>[1]!SNLLabel(287,324681,,"&lt;&gt;341")</f>
        <v>AR: Group Other Life</v>
      </c>
      <c r="R309" s="366"/>
      <c r="S309" s="391" t="s">
        <v>29</v>
      </c>
    </row>
    <row r="310" spans="14:19" ht="11.25" customHeight="1" x14ac:dyDescent="0.35">
      <c r="N310" s="370" t="s">
        <v>5474</v>
      </c>
      <c r="O310" s="368">
        <v>324681</v>
      </c>
      <c r="P310" s="421" t="str">
        <f t="shared" si="9"/>
        <v>2013Y</v>
      </c>
      <c r="Q310" s="415" t="str">
        <f>[1]!SNLLabel(287,324681,,"&lt;&gt;342")</f>
        <v>AR: Group YRT Mortality Risk Only</v>
      </c>
      <c r="R310" s="370"/>
      <c r="S310" s="371" t="s">
        <v>29</v>
      </c>
    </row>
    <row r="311" spans="14:19" ht="11.25" customHeight="1" x14ac:dyDescent="0.35">
      <c r="N311" s="365" t="s">
        <v>5474</v>
      </c>
      <c r="O311" s="385">
        <v>324681</v>
      </c>
      <c r="P311" s="424" t="str">
        <f t="shared" ref="P311:P319" si="10">LEFT(Period,4)-2&amp;"Y"</f>
        <v>2012Y</v>
      </c>
      <c r="Q311" s="413" t="str">
        <f>[1]!SNLLabel(287,324681,,"&lt;&gt;334")</f>
        <v>AR: Total Group Life</v>
      </c>
      <c r="R311" s="365"/>
      <c r="S311" s="387" t="s">
        <v>29</v>
      </c>
    </row>
    <row r="312" spans="14:19" ht="11.25" customHeight="1" x14ac:dyDescent="0.35">
      <c r="N312" s="366" t="s">
        <v>5474</v>
      </c>
      <c r="O312" s="389">
        <v>324681</v>
      </c>
      <c r="P312" s="421" t="str">
        <f t="shared" si="10"/>
        <v>2012Y</v>
      </c>
      <c r="Q312" s="414" t="str">
        <f>[1]!SNLLabel(287,324681,,"&lt;&gt;335")</f>
        <v>AR: Group Whole Life</v>
      </c>
      <c r="R312" s="366"/>
      <c r="S312" s="391" t="s">
        <v>29</v>
      </c>
    </row>
    <row r="313" spans="14:19" ht="11.25" customHeight="1" x14ac:dyDescent="0.35">
      <c r="N313" s="366" t="s">
        <v>5474</v>
      </c>
      <c r="O313" s="389">
        <v>324681</v>
      </c>
      <c r="P313" s="421" t="str">
        <f t="shared" si="10"/>
        <v>2012Y</v>
      </c>
      <c r="Q313" s="414" t="str">
        <f>[1]!SNLLabel(287,324681,,"&lt;&gt;336")</f>
        <v>AR: Group Term Life</v>
      </c>
      <c r="R313" s="366"/>
      <c r="S313" s="391" t="s">
        <v>29</v>
      </c>
    </row>
    <row r="314" spans="14:19" ht="11.25" customHeight="1" x14ac:dyDescent="0.35">
      <c r="N314" s="366" t="s">
        <v>5474</v>
      </c>
      <c r="O314" s="389">
        <v>324681</v>
      </c>
      <c r="P314" s="421" t="str">
        <f t="shared" si="10"/>
        <v>2012Y</v>
      </c>
      <c r="Q314" s="414" t="str">
        <f>[1]!SNLLabel(287,324681,,"&lt;&gt;337")</f>
        <v>AR: Group Universal Life</v>
      </c>
      <c r="R314" s="366"/>
      <c r="S314" s="391" t="s">
        <v>29</v>
      </c>
    </row>
    <row r="315" spans="14:19" ht="11.25" customHeight="1" x14ac:dyDescent="0.35">
      <c r="N315" s="366" t="s">
        <v>5474</v>
      </c>
      <c r="O315" s="389">
        <v>324681</v>
      </c>
      <c r="P315" s="421" t="str">
        <f t="shared" si="10"/>
        <v>2012Y</v>
      </c>
      <c r="Q315" s="414" t="str">
        <f>[1]!SNLLabel(287,324681,,"&lt;&gt;338")</f>
        <v>AR: Group Variable Life</v>
      </c>
      <c r="R315" s="366"/>
      <c r="S315" s="391" t="s">
        <v>29</v>
      </c>
    </row>
    <row r="316" spans="14:19" ht="11.25" customHeight="1" x14ac:dyDescent="0.35">
      <c r="N316" s="366" t="s">
        <v>5474</v>
      </c>
      <c r="O316" s="389">
        <v>324681</v>
      </c>
      <c r="P316" s="421" t="str">
        <f t="shared" si="10"/>
        <v>2012Y</v>
      </c>
      <c r="Q316" s="414" t="str">
        <f>[1]!SNLLabel(287,324681,,"&lt;&gt;339")</f>
        <v>AR: Group Variable Universal Life</v>
      </c>
      <c r="R316" s="366"/>
      <c r="S316" s="391" t="s">
        <v>29</v>
      </c>
    </row>
    <row r="317" spans="14:19" ht="11.25" customHeight="1" x14ac:dyDescent="0.35">
      <c r="N317" s="366" t="s">
        <v>5474</v>
      </c>
      <c r="O317" s="389">
        <v>324681</v>
      </c>
      <c r="P317" s="421" t="str">
        <f t="shared" si="10"/>
        <v>2012Y</v>
      </c>
      <c r="Q317" s="414" t="str">
        <f>[1]!SNLLabel(287,324681,,"&lt;&gt;340")</f>
        <v>AR: Group Credit Life</v>
      </c>
      <c r="R317" s="366"/>
      <c r="S317" s="391" t="s">
        <v>29</v>
      </c>
    </row>
    <row r="318" spans="14:19" ht="11.25" customHeight="1" x14ac:dyDescent="0.35">
      <c r="N318" s="366" t="s">
        <v>5474</v>
      </c>
      <c r="O318" s="389">
        <v>324681</v>
      </c>
      <c r="P318" s="421" t="str">
        <f t="shared" si="10"/>
        <v>2012Y</v>
      </c>
      <c r="Q318" s="414" t="str">
        <f>[1]!SNLLabel(287,324681,,"&lt;&gt;341")</f>
        <v>AR: Group Other Life</v>
      </c>
      <c r="R318" s="366"/>
      <c r="S318" s="391" t="s">
        <v>29</v>
      </c>
    </row>
    <row r="319" spans="14:19" ht="11.25" customHeight="1" x14ac:dyDescent="0.35">
      <c r="N319" s="370" t="s">
        <v>5474</v>
      </c>
      <c r="O319" s="368">
        <v>324681</v>
      </c>
      <c r="P319" s="425" t="str">
        <f t="shared" si="10"/>
        <v>2012Y</v>
      </c>
      <c r="Q319" s="415" t="str">
        <f>[1]!SNLLabel(287,324681,,"&lt;&gt;342")</f>
        <v>AR: Group YRT Mortality Risk Only</v>
      </c>
      <c r="R319" s="370"/>
      <c r="S319" s="371" t="s">
        <v>29</v>
      </c>
    </row>
    <row r="320" spans="14:19" ht="11.25" customHeight="1" x14ac:dyDescent="0.35">
      <c r="N320" s="365" t="s">
        <v>5474</v>
      </c>
      <c r="O320" s="385">
        <v>324681</v>
      </c>
      <c r="P320" s="421" t="str">
        <f t="shared" ref="P320:P328" si="11">LEFT(Period,4)-3&amp;"Y"</f>
        <v>2011Y</v>
      </c>
      <c r="Q320" s="413" t="str">
        <f>[1]!SNLLabel(287,324681,,"&lt;&gt;334")</f>
        <v>AR: Total Group Life</v>
      </c>
      <c r="R320" s="365"/>
      <c r="S320" s="387" t="s">
        <v>29</v>
      </c>
    </row>
    <row r="321" spans="14:19" ht="11.25" customHeight="1" x14ac:dyDescent="0.35">
      <c r="N321" s="366" t="s">
        <v>5474</v>
      </c>
      <c r="O321" s="389">
        <v>324681</v>
      </c>
      <c r="P321" s="421" t="str">
        <f t="shared" si="11"/>
        <v>2011Y</v>
      </c>
      <c r="Q321" s="414" t="str">
        <f>[1]!SNLLabel(287,324681,,"&lt;&gt;335")</f>
        <v>AR: Group Whole Life</v>
      </c>
      <c r="R321" s="366"/>
      <c r="S321" s="391" t="s">
        <v>29</v>
      </c>
    </row>
    <row r="322" spans="14:19" ht="11.25" customHeight="1" x14ac:dyDescent="0.35">
      <c r="N322" s="366" t="s">
        <v>5474</v>
      </c>
      <c r="O322" s="389">
        <v>324681</v>
      </c>
      <c r="P322" s="421" t="str">
        <f t="shared" si="11"/>
        <v>2011Y</v>
      </c>
      <c r="Q322" s="414" t="str">
        <f>[1]!SNLLabel(287,324681,,"&lt;&gt;336")</f>
        <v>AR: Group Term Life</v>
      </c>
      <c r="R322" s="366"/>
      <c r="S322" s="391" t="s">
        <v>29</v>
      </c>
    </row>
    <row r="323" spans="14:19" ht="11.25" customHeight="1" x14ac:dyDescent="0.35">
      <c r="N323" s="366" t="s">
        <v>5474</v>
      </c>
      <c r="O323" s="389">
        <v>324681</v>
      </c>
      <c r="P323" s="421" t="str">
        <f t="shared" si="11"/>
        <v>2011Y</v>
      </c>
      <c r="Q323" s="414" t="str">
        <f>[1]!SNLLabel(287,324681,,"&lt;&gt;337")</f>
        <v>AR: Group Universal Life</v>
      </c>
      <c r="R323" s="366"/>
      <c r="S323" s="391" t="s">
        <v>29</v>
      </c>
    </row>
    <row r="324" spans="14:19" ht="11.25" customHeight="1" x14ac:dyDescent="0.35">
      <c r="N324" s="366" t="s">
        <v>5474</v>
      </c>
      <c r="O324" s="389">
        <v>324681</v>
      </c>
      <c r="P324" s="421" t="str">
        <f t="shared" si="11"/>
        <v>2011Y</v>
      </c>
      <c r="Q324" s="414" t="str">
        <f>[1]!SNLLabel(287,324681,,"&lt;&gt;338")</f>
        <v>AR: Group Variable Life</v>
      </c>
      <c r="R324" s="366"/>
      <c r="S324" s="391" t="s">
        <v>29</v>
      </c>
    </row>
    <row r="325" spans="14:19" ht="11.25" customHeight="1" x14ac:dyDescent="0.35">
      <c r="N325" s="366" t="s">
        <v>5474</v>
      </c>
      <c r="O325" s="389">
        <v>324681</v>
      </c>
      <c r="P325" s="421" t="str">
        <f t="shared" si="11"/>
        <v>2011Y</v>
      </c>
      <c r="Q325" s="414" t="str">
        <f>[1]!SNLLabel(287,324681,,"&lt;&gt;339")</f>
        <v>AR: Group Variable Universal Life</v>
      </c>
      <c r="R325" s="366"/>
      <c r="S325" s="391" t="s">
        <v>29</v>
      </c>
    </row>
    <row r="326" spans="14:19" ht="11.25" customHeight="1" x14ac:dyDescent="0.35">
      <c r="N326" s="366" t="s">
        <v>5474</v>
      </c>
      <c r="O326" s="389">
        <v>324681</v>
      </c>
      <c r="P326" s="421" t="str">
        <f t="shared" si="11"/>
        <v>2011Y</v>
      </c>
      <c r="Q326" s="414" t="str">
        <f>[1]!SNLLabel(287,324681,,"&lt;&gt;340")</f>
        <v>AR: Group Credit Life</v>
      </c>
      <c r="R326" s="366"/>
      <c r="S326" s="391" t="s">
        <v>29</v>
      </c>
    </row>
    <row r="327" spans="14:19" ht="11.25" customHeight="1" x14ac:dyDescent="0.35">
      <c r="N327" s="366" t="s">
        <v>5474</v>
      </c>
      <c r="O327" s="389">
        <v>324681</v>
      </c>
      <c r="P327" s="421" t="str">
        <f t="shared" si="11"/>
        <v>2011Y</v>
      </c>
      <c r="Q327" s="414" t="str">
        <f>[1]!SNLLabel(287,324681,,"&lt;&gt;341")</f>
        <v>AR: Group Other Life</v>
      </c>
      <c r="R327" s="366"/>
      <c r="S327" s="391" t="s">
        <v>29</v>
      </c>
    </row>
    <row r="328" spans="14:19" ht="11.25" customHeight="1" x14ac:dyDescent="0.35">
      <c r="N328" s="370" t="s">
        <v>5474</v>
      </c>
      <c r="O328" s="368">
        <v>324681</v>
      </c>
      <c r="P328" s="425" t="str">
        <f t="shared" si="11"/>
        <v>2011Y</v>
      </c>
      <c r="Q328" s="415" t="str">
        <f>[1]!SNLLabel(287,324681,,"&lt;&gt;342")</f>
        <v>AR: Group YRT Mortality Risk Only</v>
      </c>
      <c r="R328" s="370"/>
      <c r="S328" s="371" t="s">
        <v>29</v>
      </c>
    </row>
    <row r="329" spans="14:19" ht="11.25" customHeight="1" x14ac:dyDescent="0.35">
      <c r="N329" s="365" t="s">
        <v>5474</v>
      </c>
      <c r="O329" s="385">
        <v>324681</v>
      </c>
      <c r="P329" s="421" t="str">
        <f t="shared" ref="P329:P337" si="12">LEFT(Period,4)-4&amp;"Y"</f>
        <v>2010Y</v>
      </c>
      <c r="Q329" s="413" t="str">
        <f>[1]!SNLLabel(287,324681,,"&lt;&gt;334")</f>
        <v>AR: Total Group Life</v>
      </c>
      <c r="R329" s="365"/>
      <c r="S329" s="387" t="s">
        <v>29</v>
      </c>
    </row>
    <row r="330" spans="14:19" ht="11.25" customHeight="1" x14ac:dyDescent="0.35">
      <c r="N330" s="366" t="s">
        <v>5474</v>
      </c>
      <c r="O330" s="389">
        <v>324681</v>
      </c>
      <c r="P330" s="421" t="str">
        <f t="shared" si="12"/>
        <v>2010Y</v>
      </c>
      <c r="Q330" s="414" t="str">
        <f>[1]!SNLLabel(287,324681,,"&lt;&gt;335")</f>
        <v>AR: Group Whole Life</v>
      </c>
      <c r="R330" s="366"/>
      <c r="S330" s="391" t="s">
        <v>29</v>
      </c>
    </row>
    <row r="331" spans="14:19" ht="11.25" customHeight="1" x14ac:dyDescent="0.35">
      <c r="N331" s="366" t="s">
        <v>5474</v>
      </c>
      <c r="O331" s="389">
        <v>324681</v>
      </c>
      <c r="P331" s="421" t="str">
        <f t="shared" si="12"/>
        <v>2010Y</v>
      </c>
      <c r="Q331" s="414" t="str">
        <f>[1]!SNLLabel(287,324681,,"&lt;&gt;336")</f>
        <v>AR: Group Term Life</v>
      </c>
      <c r="R331" s="366"/>
      <c r="S331" s="391" t="s">
        <v>29</v>
      </c>
    </row>
    <row r="332" spans="14:19" ht="11.25" customHeight="1" x14ac:dyDescent="0.35">
      <c r="N332" s="366" t="s">
        <v>5474</v>
      </c>
      <c r="O332" s="389">
        <v>324681</v>
      </c>
      <c r="P332" s="421" t="str">
        <f t="shared" si="12"/>
        <v>2010Y</v>
      </c>
      <c r="Q332" s="414" t="str">
        <f>[1]!SNLLabel(287,324681,,"&lt;&gt;337")</f>
        <v>AR: Group Universal Life</v>
      </c>
      <c r="R332" s="366"/>
      <c r="S332" s="391" t="s">
        <v>29</v>
      </c>
    </row>
    <row r="333" spans="14:19" ht="11.25" customHeight="1" x14ac:dyDescent="0.35">
      <c r="N333" s="366" t="s">
        <v>5474</v>
      </c>
      <c r="O333" s="389">
        <v>324681</v>
      </c>
      <c r="P333" s="421" t="str">
        <f t="shared" si="12"/>
        <v>2010Y</v>
      </c>
      <c r="Q333" s="414" t="str">
        <f>[1]!SNLLabel(287,324681,,"&lt;&gt;338")</f>
        <v>AR: Group Variable Life</v>
      </c>
      <c r="R333" s="366"/>
      <c r="S333" s="391" t="s">
        <v>29</v>
      </c>
    </row>
    <row r="334" spans="14:19" ht="11.25" customHeight="1" x14ac:dyDescent="0.35">
      <c r="N334" s="366" t="s">
        <v>5474</v>
      </c>
      <c r="O334" s="389">
        <v>324681</v>
      </c>
      <c r="P334" s="421" t="str">
        <f t="shared" si="12"/>
        <v>2010Y</v>
      </c>
      <c r="Q334" s="414" t="str">
        <f>[1]!SNLLabel(287,324681,,"&lt;&gt;339")</f>
        <v>AR: Group Variable Universal Life</v>
      </c>
      <c r="R334" s="366"/>
      <c r="S334" s="391" t="s">
        <v>29</v>
      </c>
    </row>
    <row r="335" spans="14:19" ht="11.25" customHeight="1" x14ac:dyDescent="0.35">
      <c r="N335" s="366" t="s">
        <v>5474</v>
      </c>
      <c r="O335" s="389">
        <v>324681</v>
      </c>
      <c r="P335" s="421" t="str">
        <f t="shared" si="12"/>
        <v>2010Y</v>
      </c>
      <c r="Q335" s="414" t="str">
        <f>[1]!SNLLabel(287,324681,,"&lt;&gt;340")</f>
        <v>AR: Group Credit Life</v>
      </c>
      <c r="R335" s="366"/>
      <c r="S335" s="391" t="s">
        <v>29</v>
      </c>
    </row>
    <row r="336" spans="14:19" ht="11.25" customHeight="1" x14ac:dyDescent="0.35">
      <c r="N336" s="366" t="s">
        <v>5474</v>
      </c>
      <c r="O336" s="389">
        <v>324681</v>
      </c>
      <c r="P336" s="421" t="str">
        <f t="shared" si="12"/>
        <v>2010Y</v>
      </c>
      <c r="Q336" s="414" t="str">
        <f>[1]!SNLLabel(287,324681,,"&lt;&gt;341")</f>
        <v>AR: Group Other Life</v>
      </c>
      <c r="R336" s="366"/>
      <c r="S336" s="391" t="s">
        <v>29</v>
      </c>
    </row>
    <row r="337" spans="14:19" ht="11.25" customHeight="1" x14ac:dyDescent="0.35">
      <c r="N337" s="370" t="s">
        <v>5474</v>
      </c>
      <c r="O337" s="368">
        <v>324681</v>
      </c>
      <c r="P337" s="425" t="str">
        <f t="shared" si="12"/>
        <v>2010Y</v>
      </c>
      <c r="Q337" s="415" t="str">
        <f>[1]!SNLLabel(287,324681,,"&lt;&gt;342")</f>
        <v>AR: Group YRT Mortality Risk Only</v>
      </c>
      <c r="R337" s="370"/>
      <c r="S337" s="371" t="s">
        <v>29</v>
      </c>
    </row>
    <row r="338" spans="14:19" ht="11.25" customHeight="1" x14ac:dyDescent="0.35">
      <c r="N338" s="419" t="s">
        <v>5408</v>
      </c>
      <c r="O338" s="416"/>
      <c r="P338" s="426"/>
      <c r="Q338" s="417"/>
      <c r="R338" s="382"/>
      <c r="S338" s="418"/>
    </row>
    <row r="339" spans="14:19" ht="11.25" customHeight="1" x14ac:dyDescent="0.35">
      <c r="N339" s="365" t="s">
        <v>5474</v>
      </c>
      <c r="O339" s="385">
        <v>324681</v>
      </c>
      <c r="P339" s="424" t="str">
        <f t="shared" ref="P339:P345" si="13">Period</f>
        <v>2014Y</v>
      </c>
      <c r="Q339" s="413" t="str">
        <f>[1]!SNLLabel(287,324681,,"&lt;&gt;343")</f>
        <v>AR: Total Individual Annuities</v>
      </c>
      <c r="R339" s="365"/>
      <c r="S339" s="387" t="s">
        <v>29</v>
      </c>
    </row>
    <row r="340" spans="14:19" ht="11.25" customHeight="1" x14ac:dyDescent="0.35">
      <c r="N340" s="366" t="s">
        <v>5474</v>
      </c>
      <c r="O340" s="389">
        <v>324681</v>
      </c>
      <c r="P340" s="421" t="str">
        <f t="shared" si="13"/>
        <v>2014Y</v>
      </c>
      <c r="Q340" s="414" t="str">
        <f>[1]!SNLLabel(287,324681,,"&lt;&gt;344")</f>
        <v>AR: Individual Deferred Fixed Annuities</v>
      </c>
      <c r="R340" s="366"/>
      <c r="S340" s="391" t="s">
        <v>29</v>
      </c>
    </row>
    <row r="341" spans="14:19" ht="11.25" customHeight="1" x14ac:dyDescent="0.35">
      <c r="N341" s="366" t="s">
        <v>5474</v>
      </c>
      <c r="O341" s="389">
        <v>324681</v>
      </c>
      <c r="P341" s="421" t="str">
        <f t="shared" si="13"/>
        <v>2014Y</v>
      </c>
      <c r="Q341" s="414" t="str">
        <f>[1]!SNLLabel(287,324681,,"&lt;&gt;345")</f>
        <v>AR: Individual Deferred Indexed Annuities</v>
      </c>
      <c r="R341" s="366"/>
      <c r="S341" s="391" t="s">
        <v>29</v>
      </c>
    </row>
    <row r="342" spans="14:19" ht="11.25" customHeight="1" x14ac:dyDescent="0.35">
      <c r="N342" s="366" t="s">
        <v>5474</v>
      </c>
      <c r="O342" s="389">
        <v>324681</v>
      </c>
      <c r="P342" s="421" t="str">
        <f t="shared" si="13"/>
        <v>2014Y</v>
      </c>
      <c r="Q342" s="414" t="str">
        <f>[1]!SNLLabel(287,324681,,"&lt;&gt;346")</f>
        <v>AR: Ind Defrd Variable Annuities with Guar</v>
      </c>
      <c r="R342" s="366"/>
      <c r="S342" s="391" t="s">
        <v>29</v>
      </c>
    </row>
    <row r="343" spans="14:19" ht="11.25" customHeight="1" x14ac:dyDescent="0.35">
      <c r="N343" s="366" t="s">
        <v>5474</v>
      </c>
      <c r="O343" s="389">
        <v>324681</v>
      </c>
      <c r="P343" s="421" t="str">
        <f t="shared" si="13"/>
        <v>2014Y</v>
      </c>
      <c r="Q343" s="414" t="str">
        <f>[1]!SNLLabel(287,324681,,"&lt;&gt;347")</f>
        <v>AR: Ind Defrd Variable Annuities w/o Guar</v>
      </c>
      <c r="R343" s="366"/>
      <c r="S343" s="391" t="s">
        <v>29</v>
      </c>
    </row>
    <row r="344" spans="14:19" ht="11.25" customHeight="1" x14ac:dyDescent="0.35">
      <c r="N344" s="366" t="s">
        <v>5474</v>
      </c>
      <c r="O344" s="389">
        <v>324681</v>
      </c>
      <c r="P344" s="421" t="str">
        <f t="shared" si="13"/>
        <v>2014Y</v>
      </c>
      <c r="Q344" s="414" t="str">
        <f>[1]!SNLLabel(287,324681,,"&lt;&gt;348")</f>
        <v>AR: Individual Life Contingent Payout</v>
      </c>
      <c r="R344" s="366"/>
      <c r="S344" s="391" t="s">
        <v>29</v>
      </c>
    </row>
    <row r="345" spans="14:19" ht="11.25" customHeight="1" x14ac:dyDescent="0.35">
      <c r="N345" s="370" t="s">
        <v>5474</v>
      </c>
      <c r="O345" s="368">
        <v>324681</v>
      </c>
      <c r="P345" s="425" t="str">
        <f t="shared" si="13"/>
        <v>2014Y</v>
      </c>
      <c r="Q345" s="414" t="str">
        <f>[1]!SNLLabel(287,324681,,"&lt;&gt;349")</f>
        <v>AR: Individual Other Annuities</v>
      </c>
      <c r="R345" s="366"/>
      <c r="S345" s="391" t="s">
        <v>29</v>
      </c>
    </row>
    <row r="346" spans="14:19" ht="11.25" customHeight="1" x14ac:dyDescent="0.35">
      <c r="N346" s="365" t="s">
        <v>5474</v>
      </c>
      <c r="O346" s="385">
        <v>324681</v>
      </c>
      <c r="P346" s="424" t="str">
        <f t="shared" ref="P346:P352" si="14">LEFT(Period,4)-1&amp;"Y"</f>
        <v>2013Y</v>
      </c>
      <c r="Q346" s="413" t="str">
        <f>[1]!SNLLabel(287,324681,,"&lt;&gt;343")</f>
        <v>AR: Total Individual Annuities</v>
      </c>
      <c r="R346" s="365"/>
      <c r="S346" s="387" t="s">
        <v>29</v>
      </c>
    </row>
    <row r="347" spans="14:19" ht="11.25" customHeight="1" x14ac:dyDescent="0.35">
      <c r="N347" s="366" t="s">
        <v>5474</v>
      </c>
      <c r="O347" s="389">
        <v>324681</v>
      </c>
      <c r="P347" s="421" t="str">
        <f t="shared" si="14"/>
        <v>2013Y</v>
      </c>
      <c r="Q347" s="414" t="str">
        <f>[1]!SNLLabel(287,324681,,"&lt;&gt;344")</f>
        <v>AR: Individual Deferred Fixed Annuities</v>
      </c>
      <c r="R347" s="366"/>
      <c r="S347" s="391" t="s">
        <v>29</v>
      </c>
    </row>
    <row r="348" spans="14:19" ht="11.25" customHeight="1" x14ac:dyDescent="0.35">
      <c r="N348" s="366" t="s">
        <v>5474</v>
      </c>
      <c r="O348" s="389">
        <v>324681</v>
      </c>
      <c r="P348" s="421" t="str">
        <f t="shared" si="14"/>
        <v>2013Y</v>
      </c>
      <c r="Q348" s="414" t="str">
        <f>[1]!SNLLabel(287,324681,,"&lt;&gt;345")</f>
        <v>AR: Individual Deferred Indexed Annuities</v>
      </c>
      <c r="R348" s="366"/>
      <c r="S348" s="391" t="s">
        <v>29</v>
      </c>
    </row>
    <row r="349" spans="14:19" ht="11.25" customHeight="1" x14ac:dyDescent="0.35">
      <c r="N349" s="366" t="s">
        <v>5474</v>
      </c>
      <c r="O349" s="389">
        <v>324681</v>
      </c>
      <c r="P349" s="421" t="str">
        <f t="shared" si="14"/>
        <v>2013Y</v>
      </c>
      <c r="Q349" s="414" t="str">
        <f>[1]!SNLLabel(287,324681,,"&lt;&gt;346")</f>
        <v>AR: Ind Defrd Variable Annuities with Guar</v>
      </c>
      <c r="R349" s="366"/>
      <c r="S349" s="391" t="s">
        <v>29</v>
      </c>
    </row>
    <row r="350" spans="14:19" ht="11.25" customHeight="1" x14ac:dyDescent="0.35">
      <c r="N350" s="366" t="s">
        <v>5474</v>
      </c>
      <c r="O350" s="389">
        <v>324681</v>
      </c>
      <c r="P350" s="421" t="str">
        <f t="shared" si="14"/>
        <v>2013Y</v>
      </c>
      <c r="Q350" s="414" t="str">
        <f>[1]!SNLLabel(287,324681,,"&lt;&gt;347")</f>
        <v>AR: Ind Defrd Variable Annuities w/o Guar</v>
      </c>
      <c r="R350" s="366"/>
      <c r="S350" s="391" t="s">
        <v>29</v>
      </c>
    </row>
    <row r="351" spans="14:19" ht="11.25" customHeight="1" x14ac:dyDescent="0.35">
      <c r="N351" s="366" t="s">
        <v>5474</v>
      </c>
      <c r="O351" s="389">
        <v>324681</v>
      </c>
      <c r="P351" s="421" t="str">
        <f t="shared" si="14"/>
        <v>2013Y</v>
      </c>
      <c r="Q351" s="414" t="str">
        <f>[1]!SNLLabel(287,324681,,"&lt;&gt;348")</f>
        <v>AR: Individual Life Contingent Payout</v>
      </c>
      <c r="R351" s="366"/>
      <c r="S351" s="391" t="s">
        <v>29</v>
      </c>
    </row>
    <row r="352" spans="14:19" ht="11.25" customHeight="1" x14ac:dyDescent="0.35">
      <c r="N352" s="370" t="s">
        <v>5474</v>
      </c>
      <c r="O352" s="368">
        <v>324681</v>
      </c>
      <c r="P352" s="425" t="str">
        <f t="shared" si="14"/>
        <v>2013Y</v>
      </c>
      <c r="Q352" s="414" t="str">
        <f>[1]!SNLLabel(287,324681,,"&lt;&gt;349")</f>
        <v>AR: Individual Other Annuities</v>
      </c>
      <c r="R352" s="366"/>
      <c r="S352" s="391" t="s">
        <v>29</v>
      </c>
    </row>
    <row r="353" spans="14:19" ht="11.25" customHeight="1" x14ac:dyDescent="0.35">
      <c r="N353" s="365" t="s">
        <v>5474</v>
      </c>
      <c r="O353" s="385">
        <v>324681</v>
      </c>
      <c r="P353" s="424" t="str">
        <f t="shared" ref="P353:P359" si="15">LEFT(Period,4)-2&amp;"Y"</f>
        <v>2012Y</v>
      </c>
      <c r="Q353" s="413" t="str">
        <f>[1]!SNLLabel(287,324681,,"&lt;&gt;343")</f>
        <v>AR: Total Individual Annuities</v>
      </c>
      <c r="R353" s="365"/>
      <c r="S353" s="387" t="s">
        <v>29</v>
      </c>
    </row>
    <row r="354" spans="14:19" ht="11.25" customHeight="1" x14ac:dyDescent="0.35">
      <c r="N354" s="366" t="s">
        <v>5474</v>
      </c>
      <c r="O354" s="389">
        <v>324681</v>
      </c>
      <c r="P354" s="421" t="str">
        <f t="shared" si="15"/>
        <v>2012Y</v>
      </c>
      <c r="Q354" s="414" t="str">
        <f>[1]!SNLLabel(287,324681,,"&lt;&gt;344")</f>
        <v>AR: Individual Deferred Fixed Annuities</v>
      </c>
      <c r="R354" s="366"/>
      <c r="S354" s="391" t="s">
        <v>29</v>
      </c>
    </row>
    <row r="355" spans="14:19" ht="11.25" customHeight="1" x14ac:dyDescent="0.35">
      <c r="N355" s="366" t="s">
        <v>5474</v>
      </c>
      <c r="O355" s="389">
        <v>324681</v>
      </c>
      <c r="P355" s="421" t="str">
        <f t="shared" si="15"/>
        <v>2012Y</v>
      </c>
      <c r="Q355" s="414" t="str">
        <f>[1]!SNLLabel(287,324681,,"&lt;&gt;345")</f>
        <v>AR: Individual Deferred Indexed Annuities</v>
      </c>
      <c r="R355" s="366"/>
      <c r="S355" s="391" t="s">
        <v>29</v>
      </c>
    </row>
    <row r="356" spans="14:19" ht="11.25" customHeight="1" x14ac:dyDescent="0.35">
      <c r="N356" s="366" t="s">
        <v>5474</v>
      </c>
      <c r="O356" s="389">
        <v>324681</v>
      </c>
      <c r="P356" s="421" t="str">
        <f t="shared" si="15"/>
        <v>2012Y</v>
      </c>
      <c r="Q356" s="414" t="str">
        <f>[1]!SNLLabel(287,324681,,"&lt;&gt;346")</f>
        <v>AR: Ind Defrd Variable Annuities with Guar</v>
      </c>
      <c r="R356" s="366"/>
      <c r="S356" s="391" t="s">
        <v>29</v>
      </c>
    </row>
    <row r="357" spans="14:19" ht="11.25" customHeight="1" x14ac:dyDescent="0.35">
      <c r="N357" s="366" t="s">
        <v>5474</v>
      </c>
      <c r="O357" s="389">
        <v>324681</v>
      </c>
      <c r="P357" s="421" t="str">
        <f t="shared" si="15"/>
        <v>2012Y</v>
      </c>
      <c r="Q357" s="414" t="str">
        <f>[1]!SNLLabel(287,324681,,"&lt;&gt;347")</f>
        <v>AR: Ind Defrd Variable Annuities w/o Guar</v>
      </c>
      <c r="R357" s="366"/>
      <c r="S357" s="391" t="s">
        <v>29</v>
      </c>
    </row>
    <row r="358" spans="14:19" ht="11.25" customHeight="1" x14ac:dyDescent="0.35">
      <c r="N358" s="366" t="s">
        <v>5474</v>
      </c>
      <c r="O358" s="389">
        <v>324681</v>
      </c>
      <c r="P358" s="421" t="str">
        <f t="shared" si="15"/>
        <v>2012Y</v>
      </c>
      <c r="Q358" s="414" t="str">
        <f>[1]!SNLLabel(287,324681,,"&lt;&gt;348")</f>
        <v>AR: Individual Life Contingent Payout</v>
      </c>
      <c r="R358" s="366"/>
      <c r="S358" s="391" t="s">
        <v>29</v>
      </c>
    </row>
    <row r="359" spans="14:19" ht="11.25" customHeight="1" x14ac:dyDescent="0.35">
      <c r="N359" s="370" t="s">
        <v>5474</v>
      </c>
      <c r="O359" s="368">
        <v>324681</v>
      </c>
      <c r="P359" s="425" t="str">
        <f t="shared" si="15"/>
        <v>2012Y</v>
      </c>
      <c r="Q359" s="414" t="str">
        <f>[1]!SNLLabel(287,324681,,"&lt;&gt;349")</f>
        <v>AR: Individual Other Annuities</v>
      </c>
      <c r="R359" s="366"/>
      <c r="S359" s="391" t="s">
        <v>29</v>
      </c>
    </row>
    <row r="360" spans="14:19" ht="11.25" customHeight="1" x14ac:dyDescent="0.35">
      <c r="N360" s="365" t="s">
        <v>5474</v>
      </c>
      <c r="O360" s="385">
        <v>324681</v>
      </c>
      <c r="P360" s="424" t="str">
        <f t="shared" ref="P360:P366" si="16">LEFT(Period,4)-3&amp;"Y"</f>
        <v>2011Y</v>
      </c>
      <c r="Q360" s="413" t="str">
        <f>[1]!SNLLabel(287,324681,,"&lt;&gt;343")</f>
        <v>AR: Total Individual Annuities</v>
      </c>
      <c r="R360" s="365"/>
      <c r="S360" s="387" t="s">
        <v>29</v>
      </c>
    </row>
    <row r="361" spans="14:19" ht="11.25" customHeight="1" x14ac:dyDescent="0.35">
      <c r="N361" s="366" t="s">
        <v>5474</v>
      </c>
      <c r="O361" s="389">
        <v>324681</v>
      </c>
      <c r="P361" s="421" t="str">
        <f t="shared" si="16"/>
        <v>2011Y</v>
      </c>
      <c r="Q361" s="414" t="str">
        <f>[1]!SNLLabel(287,324681,,"&lt;&gt;344")</f>
        <v>AR: Individual Deferred Fixed Annuities</v>
      </c>
      <c r="R361" s="366"/>
      <c r="S361" s="391" t="s">
        <v>29</v>
      </c>
    </row>
    <row r="362" spans="14:19" ht="11.25" customHeight="1" x14ac:dyDescent="0.35">
      <c r="N362" s="366" t="s">
        <v>5474</v>
      </c>
      <c r="O362" s="389">
        <v>324681</v>
      </c>
      <c r="P362" s="421" t="str">
        <f t="shared" si="16"/>
        <v>2011Y</v>
      </c>
      <c r="Q362" s="414" t="str">
        <f>[1]!SNLLabel(287,324681,,"&lt;&gt;345")</f>
        <v>AR: Individual Deferred Indexed Annuities</v>
      </c>
      <c r="R362" s="366"/>
      <c r="S362" s="391" t="s">
        <v>29</v>
      </c>
    </row>
    <row r="363" spans="14:19" ht="11.25" customHeight="1" x14ac:dyDescent="0.35">
      <c r="N363" s="366" t="s">
        <v>5474</v>
      </c>
      <c r="O363" s="389">
        <v>324681</v>
      </c>
      <c r="P363" s="421" t="str">
        <f t="shared" si="16"/>
        <v>2011Y</v>
      </c>
      <c r="Q363" s="414" t="str">
        <f>[1]!SNLLabel(287,324681,,"&lt;&gt;346")</f>
        <v>AR: Ind Defrd Variable Annuities with Guar</v>
      </c>
      <c r="R363" s="366"/>
      <c r="S363" s="391" t="s">
        <v>29</v>
      </c>
    </row>
    <row r="364" spans="14:19" ht="11.25" customHeight="1" x14ac:dyDescent="0.35">
      <c r="N364" s="366" t="s">
        <v>5474</v>
      </c>
      <c r="O364" s="389">
        <v>324681</v>
      </c>
      <c r="P364" s="421" t="str">
        <f t="shared" si="16"/>
        <v>2011Y</v>
      </c>
      <c r="Q364" s="414" t="str">
        <f>[1]!SNLLabel(287,324681,,"&lt;&gt;347")</f>
        <v>AR: Ind Defrd Variable Annuities w/o Guar</v>
      </c>
      <c r="R364" s="366"/>
      <c r="S364" s="391" t="s">
        <v>29</v>
      </c>
    </row>
    <row r="365" spans="14:19" ht="11.25" customHeight="1" x14ac:dyDescent="0.35">
      <c r="N365" s="366" t="s">
        <v>5474</v>
      </c>
      <c r="O365" s="389">
        <v>324681</v>
      </c>
      <c r="P365" s="421" t="str">
        <f t="shared" si="16"/>
        <v>2011Y</v>
      </c>
      <c r="Q365" s="414" t="str">
        <f>[1]!SNLLabel(287,324681,,"&lt;&gt;348")</f>
        <v>AR: Individual Life Contingent Payout</v>
      </c>
      <c r="R365" s="366"/>
      <c r="S365" s="391" t="s">
        <v>29</v>
      </c>
    </row>
    <row r="366" spans="14:19" ht="11.25" customHeight="1" x14ac:dyDescent="0.35">
      <c r="N366" s="370" t="s">
        <v>5474</v>
      </c>
      <c r="O366" s="368">
        <v>324681</v>
      </c>
      <c r="P366" s="425" t="str">
        <f t="shared" si="16"/>
        <v>2011Y</v>
      </c>
      <c r="Q366" s="414" t="str">
        <f>[1]!SNLLabel(287,324681,,"&lt;&gt;349")</f>
        <v>AR: Individual Other Annuities</v>
      </c>
      <c r="R366" s="366"/>
      <c r="S366" s="391" t="s">
        <v>29</v>
      </c>
    </row>
    <row r="367" spans="14:19" ht="11.25" customHeight="1" x14ac:dyDescent="0.35">
      <c r="N367" s="365" t="s">
        <v>5474</v>
      </c>
      <c r="O367" s="385">
        <v>324681</v>
      </c>
      <c r="P367" s="424" t="str">
        <f t="shared" ref="P367:P373" si="17">LEFT(Period,4)-4&amp;"Y"</f>
        <v>2010Y</v>
      </c>
      <c r="Q367" s="413" t="str">
        <f>[1]!SNLLabel(287,324681,,"&lt;&gt;343")</f>
        <v>AR: Total Individual Annuities</v>
      </c>
      <c r="R367" s="365"/>
      <c r="S367" s="387" t="s">
        <v>29</v>
      </c>
    </row>
    <row r="368" spans="14:19" ht="11.25" customHeight="1" x14ac:dyDescent="0.35">
      <c r="N368" s="366" t="s">
        <v>5474</v>
      </c>
      <c r="O368" s="389">
        <v>324681</v>
      </c>
      <c r="P368" s="421" t="str">
        <f t="shared" si="17"/>
        <v>2010Y</v>
      </c>
      <c r="Q368" s="414" t="str">
        <f>[1]!SNLLabel(287,324681,,"&lt;&gt;344")</f>
        <v>AR: Individual Deferred Fixed Annuities</v>
      </c>
      <c r="R368" s="366"/>
      <c r="S368" s="391" t="s">
        <v>29</v>
      </c>
    </row>
    <row r="369" spans="14:19" ht="11.25" customHeight="1" x14ac:dyDescent="0.35">
      <c r="N369" s="366" t="s">
        <v>5474</v>
      </c>
      <c r="O369" s="389">
        <v>324681</v>
      </c>
      <c r="P369" s="421" t="str">
        <f t="shared" si="17"/>
        <v>2010Y</v>
      </c>
      <c r="Q369" s="414" t="str">
        <f>[1]!SNLLabel(287,324681,,"&lt;&gt;345")</f>
        <v>AR: Individual Deferred Indexed Annuities</v>
      </c>
      <c r="R369" s="366"/>
      <c r="S369" s="391" t="s">
        <v>29</v>
      </c>
    </row>
    <row r="370" spans="14:19" ht="11.25" customHeight="1" x14ac:dyDescent="0.35">
      <c r="N370" s="366" t="s">
        <v>5474</v>
      </c>
      <c r="O370" s="389">
        <v>324681</v>
      </c>
      <c r="P370" s="421" t="str">
        <f t="shared" si="17"/>
        <v>2010Y</v>
      </c>
      <c r="Q370" s="414" t="str">
        <f>[1]!SNLLabel(287,324681,,"&lt;&gt;346")</f>
        <v>AR: Ind Defrd Variable Annuities with Guar</v>
      </c>
      <c r="R370" s="366"/>
      <c r="S370" s="391" t="s">
        <v>29</v>
      </c>
    </row>
    <row r="371" spans="14:19" ht="11.25" customHeight="1" x14ac:dyDescent="0.35">
      <c r="N371" s="366" t="s">
        <v>5474</v>
      </c>
      <c r="O371" s="389">
        <v>324681</v>
      </c>
      <c r="P371" s="421" t="str">
        <f t="shared" si="17"/>
        <v>2010Y</v>
      </c>
      <c r="Q371" s="414" t="str">
        <f>[1]!SNLLabel(287,324681,,"&lt;&gt;347")</f>
        <v>AR: Ind Defrd Variable Annuities w/o Guar</v>
      </c>
      <c r="R371" s="366"/>
      <c r="S371" s="391" t="s">
        <v>29</v>
      </c>
    </row>
    <row r="372" spans="14:19" ht="11.25" customHeight="1" x14ac:dyDescent="0.35">
      <c r="N372" s="366" t="s">
        <v>5474</v>
      </c>
      <c r="O372" s="389">
        <v>324681</v>
      </c>
      <c r="P372" s="421" t="str">
        <f t="shared" si="17"/>
        <v>2010Y</v>
      </c>
      <c r="Q372" s="414" t="str">
        <f>[1]!SNLLabel(287,324681,,"&lt;&gt;348")</f>
        <v>AR: Individual Life Contingent Payout</v>
      </c>
      <c r="R372" s="366"/>
      <c r="S372" s="391" t="s">
        <v>29</v>
      </c>
    </row>
    <row r="373" spans="14:19" ht="11.25" customHeight="1" x14ac:dyDescent="0.35">
      <c r="N373" s="370" t="s">
        <v>5474</v>
      </c>
      <c r="O373" s="368">
        <v>324681</v>
      </c>
      <c r="P373" s="425" t="str">
        <f t="shared" si="17"/>
        <v>2010Y</v>
      </c>
      <c r="Q373" s="415" t="str">
        <f>[1]!SNLLabel(287,324681,,"&lt;&gt;349")</f>
        <v>AR: Individual Other Annuities</v>
      </c>
      <c r="R373" s="370"/>
      <c r="S373" s="371" t="s">
        <v>29</v>
      </c>
    </row>
    <row r="374" spans="14:19" ht="11.25" customHeight="1" x14ac:dyDescent="0.35">
      <c r="N374" s="419" t="s">
        <v>5409</v>
      </c>
      <c r="O374" s="416"/>
      <c r="P374" s="426"/>
      <c r="Q374" s="417"/>
      <c r="R374" s="382"/>
      <c r="S374" s="418"/>
    </row>
    <row r="375" spans="14:19" ht="11.25" customHeight="1" x14ac:dyDescent="0.35">
      <c r="N375" s="365" t="s">
        <v>5474</v>
      </c>
      <c r="O375" s="385">
        <v>324681</v>
      </c>
      <c r="P375" s="424" t="str">
        <f t="shared" ref="P375:P381" si="18">Period</f>
        <v>2014Y</v>
      </c>
      <c r="Q375" s="413" t="str">
        <f>[1]!SNLLabel(287,324681,,"&lt;&gt;350")</f>
        <v>AR: Total Group Annuities</v>
      </c>
      <c r="R375" s="365"/>
      <c r="S375" s="387" t="s">
        <v>29</v>
      </c>
    </row>
    <row r="376" spans="14:19" ht="11.25" customHeight="1" x14ac:dyDescent="0.35">
      <c r="N376" s="366" t="s">
        <v>5474</v>
      </c>
      <c r="O376" s="389">
        <v>324681</v>
      </c>
      <c r="P376" s="421" t="str">
        <f t="shared" si="18"/>
        <v>2014Y</v>
      </c>
      <c r="Q376" s="414" t="str">
        <f>[1]!SNLLabel(287,324681,,"&lt;&gt;351")</f>
        <v>AR: Group Deferred Fixed Annuities</v>
      </c>
      <c r="R376" s="366"/>
      <c r="S376" s="391" t="s">
        <v>29</v>
      </c>
    </row>
    <row r="377" spans="14:19" ht="11.25" customHeight="1" x14ac:dyDescent="0.35">
      <c r="N377" s="366" t="s">
        <v>5474</v>
      </c>
      <c r="O377" s="389">
        <v>324681</v>
      </c>
      <c r="P377" s="421" t="str">
        <f t="shared" si="18"/>
        <v>2014Y</v>
      </c>
      <c r="Q377" s="414" t="str">
        <f>[1]!SNLLabel(287,324681,,"&lt;&gt;352")</f>
        <v>AR: Group Deferred Indexed Annuities</v>
      </c>
      <c r="R377" s="366"/>
      <c r="S377" s="391" t="s">
        <v>29</v>
      </c>
    </row>
    <row r="378" spans="14:19" ht="11.25" customHeight="1" x14ac:dyDescent="0.35">
      <c r="N378" s="366" t="s">
        <v>5474</v>
      </c>
      <c r="O378" s="389">
        <v>324681</v>
      </c>
      <c r="P378" s="421" t="str">
        <f t="shared" si="18"/>
        <v>2014Y</v>
      </c>
      <c r="Q378" s="414" t="str">
        <f>[1]!SNLLabel(287,324681,,"&lt;&gt;353")</f>
        <v>AR: Grp Defrd Variable Annuities with Guar</v>
      </c>
      <c r="R378" s="366"/>
      <c r="S378" s="391" t="s">
        <v>29</v>
      </c>
    </row>
    <row r="379" spans="14:19" ht="11.25" customHeight="1" x14ac:dyDescent="0.35">
      <c r="N379" s="366" t="s">
        <v>5474</v>
      </c>
      <c r="O379" s="389">
        <v>324681</v>
      </c>
      <c r="P379" s="421" t="str">
        <f t="shared" si="18"/>
        <v>2014Y</v>
      </c>
      <c r="Q379" s="414" t="str">
        <f>[1]!SNLLabel(287,324681,,"&lt;&gt;354")</f>
        <v>AR: Grp Defrd Variable Annuities w/o Guar</v>
      </c>
      <c r="R379" s="366"/>
      <c r="S379" s="391" t="s">
        <v>29</v>
      </c>
    </row>
    <row r="380" spans="14:19" ht="11.25" customHeight="1" x14ac:dyDescent="0.35">
      <c r="N380" s="366" t="s">
        <v>5474</v>
      </c>
      <c r="O380" s="389">
        <v>324681</v>
      </c>
      <c r="P380" s="421" t="str">
        <f t="shared" si="18"/>
        <v>2014Y</v>
      </c>
      <c r="Q380" s="414" t="str">
        <f>[1]!SNLLabel(287,324681,,"&lt;&gt;355")</f>
        <v>AR: Group Life Contingent Payout</v>
      </c>
      <c r="R380" s="366"/>
      <c r="S380" s="391" t="s">
        <v>29</v>
      </c>
    </row>
    <row r="381" spans="14:19" ht="11.25" customHeight="1" x14ac:dyDescent="0.35">
      <c r="N381" s="370" t="s">
        <v>5474</v>
      </c>
      <c r="O381" s="368">
        <v>324681</v>
      </c>
      <c r="P381" s="425" t="str">
        <f t="shared" si="18"/>
        <v>2014Y</v>
      </c>
      <c r="Q381" s="414" t="str">
        <f>[1]!SNLLabel(287,324681,,"&lt;&gt;356")</f>
        <v>AR: Group Other Annuities</v>
      </c>
      <c r="R381" s="366"/>
      <c r="S381" s="391" t="s">
        <v>29</v>
      </c>
    </row>
    <row r="382" spans="14:19" ht="11.25" customHeight="1" x14ac:dyDescent="0.35">
      <c r="N382" s="365" t="s">
        <v>5474</v>
      </c>
      <c r="O382" s="385">
        <v>324681</v>
      </c>
      <c r="P382" s="424" t="str">
        <f t="shared" ref="P382:P388" si="19">LEFT(Period,4)-1&amp;"Y"</f>
        <v>2013Y</v>
      </c>
      <c r="Q382" s="413" t="str">
        <f>[1]!SNLLabel(287,324681,,"&lt;&gt;350")</f>
        <v>AR: Total Group Annuities</v>
      </c>
      <c r="R382" s="365"/>
      <c r="S382" s="387" t="s">
        <v>29</v>
      </c>
    </row>
    <row r="383" spans="14:19" ht="11.25" customHeight="1" x14ac:dyDescent="0.35">
      <c r="N383" s="366" t="s">
        <v>5474</v>
      </c>
      <c r="O383" s="389">
        <v>324681</v>
      </c>
      <c r="P383" s="421" t="str">
        <f t="shared" si="19"/>
        <v>2013Y</v>
      </c>
      <c r="Q383" s="414" t="str">
        <f>[1]!SNLLabel(287,324681,,"&lt;&gt;351")</f>
        <v>AR: Group Deferred Fixed Annuities</v>
      </c>
      <c r="R383" s="366"/>
      <c r="S383" s="391" t="s">
        <v>29</v>
      </c>
    </row>
    <row r="384" spans="14:19" ht="11.25" customHeight="1" x14ac:dyDescent="0.35">
      <c r="N384" s="366" t="s">
        <v>5474</v>
      </c>
      <c r="O384" s="389">
        <v>324681</v>
      </c>
      <c r="P384" s="421" t="str">
        <f t="shared" si="19"/>
        <v>2013Y</v>
      </c>
      <c r="Q384" s="414" t="str">
        <f>[1]!SNLLabel(287,324681,,"&lt;&gt;352")</f>
        <v>AR: Group Deferred Indexed Annuities</v>
      </c>
      <c r="R384" s="366"/>
      <c r="S384" s="391" t="s">
        <v>29</v>
      </c>
    </row>
    <row r="385" spans="14:19" ht="11.25" customHeight="1" x14ac:dyDescent="0.35">
      <c r="N385" s="366" t="s">
        <v>5474</v>
      </c>
      <c r="O385" s="389">
        <v>324681</v>
      </c>
      <c r="P385" s="421" t="str">
        <f t="shared" si="19"/>
        <v>2013Y</v>
      </c>
      <c r="Q385" s="414" t="str">
        <f>[1]!SNLLabel(287,324681,,"&lt;&gt;353")</f>
        <v>AR: Grp Defrd Variable Annuities with Guar</v>
      </c>
      <c r="R385" s="366"/>
      <c r="S385" s="391" t="s">
        <v>29</v>
      </c>
    </row>
    <row r="386" spans="14:19" ht="11.25" customHeight="1" x14ac:dyDescent="0.35">
      <c r="N386" s="366" t="s">
        <v>5474</v>
      </c>
      <c r="O386" s="389">
        <v>324681</v>
      </c>
      <c r="P386" s="421" t="str">
        <f t="shared" si="19"/>
        <v>2013Y</v>
      </c>
      <c r="Q386" s="414" t="str">
        <f>[1]!SNLLabel(287,324681,,"&lt;&gt;354")</f>
        <v>AR: Grp Defrd Variable Annuities w/o Guar</v>
      </c>
      <c r="R386" s="366"/>
      <c r="S386" s="391" t="s">
        <v>29</v>
      </c>
    </row>
    <row r="387" spans="14:19" ht="11.25" customHeight="1" x14ac:dyDescent="0.35">
      <c r="N387" s="366" t="s">
        <v>5474</v>
      </c>
      <c r="O387" s="389">
        <v>324681</v>
      </c>
      <c r="P387" s="421" t="str">
        <f t="shared" si="19"/>
        <v>2013Y</v>
      </c>
      <c r="Q387" s="414" t="str">
        <f>[1]!SNLLabel(287,324681,,"&lt;&gt;355")</f>
        <v>AR: Group Life Contingent Payout</v>
      </c>
      <c r="R387" s="366"/>
      <c r="S387" s="391" t="s">
        <v>29</v>
      </c>
    </row>
    <row r="388" spans="14:19" ht="11.25" customHeight="1" x14ac:dyDescent="0.35">
      <c r="N388" s="370" t="s">
        <v>5474</v>
      </c>
      <c r="O388" s="368">
        <v>324681</v>
      </c>
      <c r="P388" s="425" t="str">
        <f t="shared" si="19"/>
        <v>2013Y</v>
      </c>
      <c r="Q388" s="414" t="str">
        <f>[1]!SNLLabel(287,324681,,"&lt;&gt;356")</f>
        <v>AR: Group Other Annuities</v>
      </c>
      <c r="R388" s="366"/>
      <c r="S388" s="391" t="s">
        <v>29</v>
      </c>
    </row>
    <row r="389" spans="14:19" ht="11.25" customHeight="1" x14ac:dyDescent="0.35">
      <c r="N389" s="365" t="s">
        <v>5474</v>
      </c>
      <c r="O389" s="385">
        <v>324681</v>
      </c>
      <c r="P389" s="424" t="str">
        <f t="shared" ref="P389:P395" si="20">LEFT(Period,4)-2&amp;"Y"</f>
        <v>2012Y</v>
      </c>
      <c r="Q389" s="413" t="str">
        <f>[1]!SNLLabel(287,324681,,"&lt;&gt;350")</f>
        <v>AR: Total Group Annuities</v>
      </c>
      <c r="R389" s="365"/>
      <c r="S389" s="387" t="s">
        <v>29</v>
      </c>
    </row>
    <row r="390" spans="14:19" ht="11.25" customHeight="1" x14ac:dyDescent="0.35">
      <c r="N390" s="366" t="s">
        <v>5474</v>
      </c>
      <c r="O390" s="389">
        <v>324681</v>
      </c>
      <c r="P390" s="421" t="str">
        <f t="shared" si="20"/>
        <v>2012Y</v>
      </c>
      <c r="Q390" s="414" t="str">
        <f>[1]!SNLLabel(287,324681,,"&lt;&gt;351")</f>
        <v>AR: Group Deferred Fixed Annuities</v>
      </c>
      <c r="R390" s="366"/>
      <c r="S390" s="391" t="s">
        <v>29</v>
      </c>
    </row>
    <row r="391" spans="14:19" ht="11.25" customHeight="1" x14ac:dyDescent="0.35">
      <c r="N391" s="366" t="s">
        <v>5474</v>
      </c>
      <c r="O391" s="389">
        <v>324681</v>
      </c>
      <c r="P391" s="421" t="str">
        <f t="shared" si="20"/>
        <v>2012Y</v>
      </c>
      <c r="Q391" s="414" t="str">
        <f>[1]!SNLLabel(287,324681,,"&lt;&gt;352")</f>
        <v>AR: Group Deferred Indexed Annuities</v>
      </c>
      <c r="R391" s="366"/>
      <c r="S391" s="391" t="s">
        <v>29</v>
      </c>
    </row>
    <row r="392" spans="14:19" ht="11.25" customHeight="1" x14ac:dyDescent="0.35">
      <c r="N392" s="366" t="s">
        <v>5474</v>
      </c>
      <c r="O392" s="389">
        <v>324681</v>
      </c>
      <c r="P392" s="421" t="str">
        <f t="shared" si="20"/>
        <v>2012Y</v>
      </c>
      <c r="Q392" s="414" t="str">
        <f>[1]!SNLLabel(287,324681,,"&lt;&gt;353")</f>
        <v>AR: Grp Defrd Variable Annuities with Guar</v>
      </c>
      <c r="R392" s="366"/>
      <c r="S392" s="391" t="s">
        <v>29</v>
      </c>
    </row>
    <row r="393" spans="14:19" ht="11.25" customHeight="1" x14ac:dyDescent="0.35">
      <c r="N393" s="366" t="s">
        <v>5474</v>
      </c>
      <c r="O393" s="389">
        <v>324681</v>
      </c>
      <c r="P393" s="421" t="str">
        <f t="shared" si="20"/>
        <v>2012Y</v>
      </c>
      <c r="Q393" s="414" t="str">
        <f>[1]!SNLLabel(287,324681,,"&lt;&gt;354")</f>
        <v>AR: Grp Defrd Variable Annuities w/o Guar</v>
      </c>
      <c r="R393" s="366"/>
      <c r="S393" s="391" t="s">
        <v>29</v>
      </c>
    </row>
    <row r="394" spans="14:19" ht="11.25" customHeight="1" x14ac:dyDescent="0.35">
      <c r="N394" s="366" t="s">
        <v>5474</v>
      </c>
      <c r="O394" s="389">
        <v>324681</v>
      </c>
      <c r="P394" s="421" t="str">
        <f t="shared" si="20"/>
        <v>2012Y</v>
      </c>
      <c r="Q394" s="414" t="str">
        <f>[1]!SNLLabel(287,324681,,"&lt;&gt;355")</f>
        <v>AR: Group Life Contingent Payout</v>
      </c>
      <c r="R394" s="366"/>
      <c r="S394" s="391" t="s">
        <v>29</v>
      </c>
    </row>
    <row r="395" spans="14:19" ht="11.25" customHeight="1" x14ac:dyDescent="0.35">
      <c r="N395" s="370" t="s">
        <v>5474</v>
      </c>
      <c r="O395" s="368">
        <v>324681</v>
      </c>
      <c r="P395" s="425" t="str">
        <f t="shared" si="20"/>
        <v>2012Y</v>
      </c>
      <c r="Q395" s="414" t="str">
        <f>[1]!SNLLabel(287,324681,,"&lt;&gt;356")</f>
        <v>AR: Group Other Annuities</v>
      </c>
      <c r="R395" s="366"/>
      <c r="S395" s="391" t="s">
        <v>29</v>
      </c>
    </row>
    <row r="396" spans="14:19" ht="11.25" customHeight="1" x14ac:dyDescent="0.35">
      <c r="N396" s="365" t="s">
        <v>5474</v>
      </c>
      <c r="O396" s="385">
        <v>324681</v>
      </c>
      <c r="P396" s="424" t="str">
        <f t="shared" ref="P396:P402" si="21">LEFT(Period,4)-3&amp;"Y"</f>
        <v>2011Y</v>
      </c>
      <c r="Q396" s="413" t="str">
        <f>[1]!SNLLabel(287,324681,,"&lt;&gt;350")</f>
        <v>AR: Total Group Annuities</v>
      </c>
      <c r="R396" s="365"/>
      <c r="S396" s="387" t="s">
        <v>29</v>
      </c>
    </row>
    <row r="397" spans="14:19" ht="11.25" customHeight="1" x14ac:dyDescent="0.35">
      <c r="N397" s="366" t="s">
        <v>5474</v>
      </c>
      <c r="O397" s="389">
        <v>324681</v>
      </c>
      <c r="P397" s="421" t="str">
        <f t="shared" si="21"/>
        <v>2011Y</v>
      </c>
      <c r="Q397" s="414" t="str">
        <f>[1]!SNLLabel(287,324681,,"&lt;&gt;351")</f>
        <v>AR: Group Deferred Fixed Annuities</v>
      </c>
      <c r="R397" s="366"/>
      <c r="S397" s="391" t="s">
        <v>29</v>
      </c>
    </row>
    <row r="398" spans="14:19" ht="11.25" customHeight="1" x14ac:dyDescent="0.35">
      <c r="N398" s="366" t="s">
        <v>5474</v>
      </c>
      <c r="O398" s="389">
        <v>324681</v>
      </c>
      <c r="P398" s="421" t="str">
        <f t="shared" si="21"/>
        <v>2011Y</v>
      </c>
      <c r="Q398" s="414" t="str">
        <f>[1]!SNLLabel(287,324681,,"&lt;&gt;352")</f>
        <v>AR: Group Deferred Indexed Annuities</v>
      </c>
      <c r="R398" s="366"/>
      <c r="S398" s="391" t="s">
        <v>29</v>
      </c>
    </row>
    <row r="399" spans="14:19" ht="11.25" customHeight="1" x14ac:dyDescent="0.35">
      <c r="N399" s="366" t="s">
        <v>5474</v>
      </c>
      <c r="O399" s="389">
        <v>324681</v>
      </c>
      <c r="P399" s="421" t="str">
        <f t="shared" si="21"/>
        <v>2011Y</v>
      </c>
      <c r="Q399" s="414" t="str">
        <f>[1]!SNLLabel(287,324681,,"&lt;&gt;353")</f>
        <v>AR: Grp Defrd Variable Annuities with Guar</v>
      </c>
      <c r="R399" s="366"/>
      <c r="S399" s="391" t="s">
        <v>29</v>
      </c>
    </row>
    <row r="400" spans="14:19" ht="11.25" customHeight="1" x14ac:dyDescent="0.35">
      <c r="N400" s="366" t="s">
        <v>5474</v>
      </c>
      <c r="O400" s="389">
        <v>324681</v>
      </c>
      <c r="P400" s="421" t="str">
        <f t="shared" si="21"/>
        <v>2011Y</v>
      </c>
      <c r="Q400" s="414" t="str">
        <f>[1]!SNLLabel(287,324681,,"&lt;&gt;354")</f>
        <v>AR: Grp Defrd Variable Annuities w/o Guar</v>
      </c>
      <c r="R400" s="366"/>
      <c r="S400" s="391" t="s">
        <v>29</v>
      </c>
    </row>
    <row r="401" spans="14:19" ht="11.25" customHeight="1" x14ac:dyDescent="0.35">
      <c r="N401" s="366" t="s">
        <v>5474</v>
      </c>
      <c r="O401" s="389">
        <v>324681</v>
      </c>
      <c r="P401" s="421" t="str">
        <f t="shared" si="21"/>
        <v>2011Y</v>
      </c>
      <c r="Q401" s="414" t="str">
        <f>[1]!SNLLabel(287,324681,,"&lt;&gt;355")</f>
        <v>AR: Group Life Contingent Payout</v>
      </c>
      <c r="R401" s="366"/>
      <c r="S401" s="391" t="s">
        <v>29</v>
      </c>
    </row>
    <row r="402" spans="14:19" ht="11.25" customHeight="1" x14ac:dyDescent="0.35">
      <c r="N402" s="370" t="s">
        <v>5474</v>
      </c>
      <c r="O402" s="368">
        <v>324681</v>
      </c>
      <c r="P402" s="425" t="str">
        <f t="shared" si="21"/>
        <v>2011Y</v>
      </c>
      <c r="Q402" s="414" t="str">
        <f>[1]!SNLLabel(287,324681,,"&lt;&gt;356")</f>
        <v>AR: Group Other Annuities</v>
      </c>
      <c r="R402" s="366"/>
      <c r="S402" s="391" t="s">
        <v>29</v>
      </c>
    </row>
    <row r="403" spans="14:19" ht="11.25" customHeight="1" x14ac:dyDescent="0.35">
      <c r="N403" s="365" t="s">
        <v>5474</v>
      </c>
      <c r="O403" s="385">
        <v>324681</v>
      </c>
      <c r="P403" s="424" t="str">
        <f t="shared" ref="P403:P409" si="22">LEFT(Period,4)-4&amp;"Y"</f>
        <v>2010Y</v>
      </c>
      <c r="Q403" s="413" t="str">
        <f>[1]!SNLLabel(287,324681,,"&lt;&gt;350")</f>
        <v>AR: Total Group Annuities</v>
      </c>
      <c r="R403" s="365"/>
      <c r="S403" s="387" t="s">
        <v>29</v>
      </c>
    </row>
    <row r="404" spans="14:19" ht="11.25" customHeight="1" x14ac:dyDescent="0.35">
      <c r="N404" s="366" t="s">
        <v>5474</v>
      </c>
      <c r="O404" s="389">
        <v>324681</v>
      </c>
      <c r="P404" s="421" t="str">
        <f t="shared" si="22"/>
        <v>2010Y</v>
      </c>
      <c r="Q404" s="414" t="str">
        <f>[1]!SNLLabel(287,324681,,"&lt;&gt;351")</f>
        <v>AR: Group Deferred Fixed Annuities</v>
      </c>
      <c r="R404" s="366"/>
      <c r="S404" s="391" t="s">
        <v>29</v>
      </c>
    </row>
    <row r="405" spans="14:19" ht="11.25" customHeight="1" x14ac:dyDescent="0.35">
      <c r="N405" s="366" t="s">
        <v>5474</v>
      </c>
      <c r="O405" s="389">
        <v>324681</v>
      </c>
      <c r="P405" s="421" t="str">
        <f t="shared" si="22"/>
        <v>2010Y</v>
      </c>
      <c r="Q405" s="414" t="str">
        <f>[1]!SNLLabel(287,324681,,"&lt;&gt;352")</f>
        <v>AR: Group Deferred Indexed Annuities</v>
      </c>
      <c r="R405" s="366"/>
      <c r="S405" s="391" t="s">
        <v>29</v>
      </c>
    </row>
    <row r="406" spans="14:19" ht="11.25" customHeight="1" x14ac:dyDescent="0.35">
      <c r="N406" s="366" t="s">
        <v>5474</v>
      </c>
      <c r="O406" s="389">
        <v>324681</v>
      </c>
      <c r="P406" s="421" t="str">
        <f t="shared" si="22"/>
        <v>2010Y</v>
      </c>
      <c r="Q406" s="414" t="str">
        <f>[1]!SNLLabel(287,324681,,"&lt;&gt;353")</f>
        <v>AR: Grp Defrd Variable Annuities with Guar</v>
      </c>
      <c r="R406" s="366"/>
      <c r="S406" s="391" t="s">
        <v>29</v>
      </c>
    </row>
    <row r="407" spans="14:19" ht="11.25" customHeight="1" x14ac:dyDescent="0.35">
      <c r="N407" s="366" t="s">
        <v>5474</v>
      </c>
      <c r="O407" s="389">
        <v>324681</v>
      </c>
      <c r="P407" s="421" t="str">
        <f t="shared" si="22"/>
        <v>2010Y</v>
      </c>
      <c r="Q407" s="414" t="str">
        <f>[1]!SNLLabel(287,324681,,"&lt;&gt;354")</f>
        <v>AR: Grp Defrd Variable Annuities w/o Guar</v>
      </c>
      <c r="R407" s="366"/>
      <c r="S407" s="391" t="s">
        <v>29</v>
      </c>
    </row>
    <row r="408" spans="14:19" ht="11.25" customHeight="1" x14ac:dyDescent="0.35">
      <c r="N408" s="366" t="s">
        <v>5474</v>
      </c>
      <c r="O408" s="389">
        <v>324681</v>
      </c>
      <c r="P408" s="421" t="str">
        <f t="shared" si="22"/>
        <v>2010Y</v>
      </c>
      <c r="Q408" s="414" t="str">
        <f>[1]!SNLLabel(287,324681,,"&lt;&gt;355")</f>
        <v>AR: Group Life Contingent Payout</v>
      </c>
      <c r="R408" s="366"/>
      <c r="S408" s="391" t="s">
        <v>29</v>
      </c>
    </row>
    <row r="409" spans="14:19" ht="11.25" customHeight="1" x14ac:dyDescent="0.35">
      <c r="N409" s="370" t="s">
        <v>5474</v>
      </c>
      <c r="O409" s="368">
        <v>324681</v>
      </c>
      <c r="P409" s="425" t="str">
        <f t="shared" si="22"/>
        <v>2010Y</v>
      </c>
      <c r="Q409" s="415" t="str">
        <f>[1]!SNLLabel(287,324681,,"&lt;&gt;356")</f>
        <v>AR: Group Other Annuities</v>
      </c>
      <c r="R409" s="370"/>
      <c r="S409" s="371" t="s">
        <v>29</v>
      </c>
    </row>
    <row r="410" spans="14:19" ht="11.25" customHeight="1" x14ac:dyDescent="0.35">
      <c r="N410" s="419" t="s">
        <v>5410</v>
      </c>
      <c r="O410" s="416"/>
      <c r="P410" s="426"/>
      <c r="Q410" s="417"/>
      <c r="R410" s="382"/>
      <c r="S410" s="418"/>
    </row>
    <row r="411" spans="14:19" ht="11.25" customHeight="1" x14ac:dyDescent="0.35">
      <c r="N411" s="365" t="s">
        <v>5474</v>
      </c>
      <c r="O411" s="385">
        <v>324681</v>
      </c>
      <c r="P411" s="424" t="str">
        <f t="shared" ref="P411:P423" si="23">Period</f>
        <v>2014Y</v>
      </c>
      <c r="Q411" s="413" t="str">
        <f>[1]!SNLLabel(287,324681,,"&lt;&gt;357")</f>
        <v>AR: Total Accident and Health</v>
      </c>
      <c r="R411" s="365"/>
      <c r="S411" s="387" t="s">
        <v>29</v>
      </c>
    </row>
    <row r="412" spans="14:19" ht="11.25" customHeight="1" x14ac:dyDescent="0.35">
      <c r="N412" s="366" t="s">
        <v>5474</v>
      </c>
      <c r="O412" s="389">
        <v>324681</v>
      </c>
      <c r="P412" s="421" t="str">
        <f t="shared" si="23"/>
        <v>2014Y</v>
      </c>
      <c r="Q412" s="414" t="str">
        <f>[1]!SNLLabel(287,324681,,"&lt;&gt;50")</f>
        <v>AR: Cmprhsv (Hosp, Med) Grp</v>
      </c>
      <c r="R412" s="366"/>
      <c r="S412" s="391" t="s">
        <v>29</v>
      </c>
    </row>
    <row r="413" spans="14:19" ht="11.25" customHeight="1" x14ac:dyDescent="0.35">
      <c r="N413" s="366" t="s">
        <v>5474</v>
      </c>
      <c r="O413" s="389">
        <v>324681</v>
      </c>
      <c r="P413" s="421" t="str">
        <f t="shared" si="23"/>
        <v>2014Y</v>
      </c>
      <c r="Q413" s="414" t="str">
        <f>[1]!SNLLabel(287,324681,,"&lt;&gt;49")</f>
        <v>AR: Cmprhsv (Hosp, Med) Ind</v>
      </c>
      <c r="R413" s="366"/>
      <c r="S413" s="391" t="s">
        <v>29</v>
      </c>
    </row>
    <row r="414" spans="14:19" ht="11.25" customHeight="1" x14ac:dyDescent="0.35">
      <c r="N414" s="366" t="s">
        <v>5474</v>
      </c>
      <c r="O414" s="389">
        <v>324681</v>
      </c>
      <c r="P414" s="421" t="str">
        <f t="shared" si="23"/>
        <v>2014Y</v>
      </c>
      <c r="Q414" s="414" t="str">
        <f>[1]!SNLLabel(287,324681,,"&lt;&gt;53")</f>
        <v>AR: Dental Only</v>
      </c>
      <c r="R414" s="366"/>
      <c r="S414" s="391">
        <v>0</v>
      </c>
    </row>
    <row r="415" spans="14:19" ht="11.25" customHeight="1" x14ac:dyDescent="0.35">
      <c r="N415" s="366" t="s">
        <v>5474</v>
      </c>
      <c r="O415" s="389">
        <v>324681</v>
      </c>
      <c r="P415" s="421" t="str">
        <f t="shared" si="23"/>
        <v>2014Y</v>
      </c>
      <c r="Q415" s="414" t="str">
        <f>[1]!SNLLabel(287,324681,,"&lt;&gt;70")</f>
        <v>AR: Disability Income</v>
      </c>
      <c r="R415" s="366"/>
      <c r="S415" s="391" t="s">
        <v>29</v>
      </c>
    </row>
    <row r="416" spans="14:19" ht="11.25" customHeight="1" x14ac:dyDescent="0.35">
      <c r="N416" s="366" t="s">
        <v>5474</v>
      </c>
      <c r="O416" s="389">
        <v>324681</v>
      </c>
      <c r="P416" s="389" t="str">
        <f t="shared" si="23"/>
        <v>2014Y</v>
      </c>
      <c r="Q416" s="414" t="str">
        <f>[1]!SNLLabel(287,324681,,"&lt;&gt;89")</f>
        <v>AR: Fed Emp Health Ben</v>
      </c>
      <c r="R416" s="366"/>
      <c r="S416" s="391">
        <v>0</v>
      </c>
    </row>
    <row r="417" spans="14:19" ht="11.25" customHeight="1" x14ac:dyDescent="0.35">
      <c r="N417" s="366" t="s">
        <v>5474</v>
      </c>
      <c r="O417" s="389">
        <v>324681</v>
      </c>
      <c r="P417" s="389" t="str">
        <f t="shared" si="23"/>
        <v>2014Y</v>
      </c>
      <c r="Q417" s="414" t="str">
        <f>[1]!SNLLabel(287,324681,,"&lt;&gt;71")</f>
        <v>AR: Long-Term Care</v>
      </c>
      <c r="R417" s="366"/>
      <c r="S417" s="391" t="s">
        <v>29</v>
      </c>
    </row>
    <row r="418" spans="14:19" ht="11.25" customHeight="1" x14ac:dyDescent="0.35">
      <c r="N418" s="366" t="s">
        <v>5474</v>
      </c>
      <c r="O418" s="389">
        <v>324681</v>
      </c>
      <c r="P418" s="389" t="str">
        <f t="shared" si="23"/>
        <v>2014Y</v>
      </c>
      <c r="Q418" s="414" t="str">
        <f>[1]!SNLLabel(287,324681,,"&lt;&gt;51")</f>
        <v>AR: Medicare Supplement</v>
      </c>
      <c r="R418" s="366"/>
      <c r="S418" s="391">
        <v>727.89</v>
      </c>
    </row>
    <row r="419" spans="14:19" ht="11.25" customHeight="1" x14ac:dyDescent="0.35">
      <c r="N419" s="366" t="s">
        <v>5474</v>
      </c>
      <c r="O419" s="389">
        <v>324681</v>
      </c>
      <c r="P419" s="389" t="str">
        <f t="shared" si="23"/>
        <v>2014Y</v>
      </c>
      <c r="Q419" s="414" t="str">
        <f>[1]!SNLLabel(287,324681,,"&lt;&gt;56")</f>
        <v>AR: Title XIX Medicaid</v>
      </c>
      <c r="R419" s="366"/>
      <c r="S419" s="391">
        <v>0</v>
      </c>
    </row>
    <row r="420" spans="14:19" ht="11.25" customHeight="1" x14ac:dyDescent="0.35">
      <c r="N420" s="366" t="s">
        <v>5474</v>
      </c>
      <c r="O420" s="389">
        <v>324681</v>
      </c>
      <c r="P420" s="389" t="str">
        <f t="shared" si="23"/>
        <v>2014Y</v>
      </c>
      <c r="Q420" s="414" t="str">
        <f>[1]!SNLLabel(287,324681,,"&lt;&gt;55")</f>
        <v>AR: Title XVIII Medicare</v>
      </c>
      <c r="R420" s="366"/>
      <c r="S420" s="391">
        <v>0</v>
      </c>
    </row>
    <row r="421" spans="14:19" ht="11.25" customHeight="1" x14ac:dyDescent="0.35">
      <c r="N421" s="366" t="s">
        <v>5474</v>
      </c>
      <c r="O421" s="389">
        <v>324681</v>
      </c>
      <c r="P421" s="389" t="str">
        <f t="shared" si="23"/>
        <v>2014Y</v>
      </c>
      <c r="Q421" s="414" t="str">
        <f>[1]!SNLLabel(287,324681,,"&lt;&gt;52")</f>
        <v>AR: Vision Only</v>
      </c>
      <c r="R421" s="366"/>
      <c r="S421" s="391">
        <v>0</v>
      </c>
    </row>
    <row r="422" spans="14:19" ht="11.25" customHeight="1" x14ac:dyDescent="0.35">
      <c r="N422" s="366" t="s">
        <v>5474</v>
      </c>
      <c r="O422" s="389">
        <v>324681</v>
      </c>
      <c r="P422" s="389" t="str">
        <f t="shared" si="23"/>
        <v>2014Y</v>
      </c>
      <c r="Q422" s="414" t="str">
        <f>[1]!SNLLabel(287,324681,,"&lt;&gt;358")</f>
        <v>AR: Credit A&amp;H</v>
      </c>
      <c r="R422" s="366"/>
      <c r="S422" s="391" t="s">
        <v>29</v>
      </c>
    </row>
    <row r="423" spans="14:19" ht="11.25" customHeight="1" x14ac:dyDescent="0.35">
      <c r="N423" s="370" t="s">
        <v>5474</v>
      </c>
      <c r="O423" s="368">
        <v>324681</v>
      </c>
      <c r="P423" s="368" t="str">
        <f t="shared" si="23"/>
        <v>2014Y</v>
      </c>
      <c r="Q423" s="415" t="str">
        <f>[1]!SNLLabel(287,324681,,"&lt;&gt;359")</f>
        <v>AR: Other Health</v>
      </c>
      <c r="R423" s="370"/>
      <c r="S423" s="371" t="s">
        <v>29</v>
      </c>
    </row>
    <row r="424" spans="14:19" ht="11.25" customHeight="1" x14ac:dyDescent="0.35">
      <c r="N424" s="365" t="s">
        <v>5474</v>
      </c>
      <c r="O424" s="385">
        <v>324681</v>
      </c>
      <c r="P424" s="424" t="str">
        <f t="shared" ref="P424:P436" si="24">LEFT(Period,4)-1&amp;"Y"</f>
        <v>2013Y</v>
      </c>
      <c r="Q424" s="413" t="str">
        <f>[1]!SNLLabel(287,324681,,"&lt;&gt;357")</f>
        <v>AR: Total Accident and Health</v>
      </c>
      <c r="R424" s="365"/>
      <c r="S424" s="387" t="s">
        <v>29</v>
      </c>
    </row>
    <row r="425" spans="14:19" ht="11.25" customHeight="1" x14ac:dyDescent="0.35">
      <c r="N425" s="366" t="s">
        <v>5474</v>
      </c>
      <c r="O425" s="389">
        <v>324681</v>
      </c>
      <c r="P425" s="421" t="str">
        <f t="shared" si="24"/>
        <v>2013Y</v>
      </c>
      <c r="Q425" s="414" t="str">
        <f>[1]!SNLLabel(287,324681,,"&lt;&gt;50")</f>
        <v>AR: Cmprhsv (Hosp, Med) Grp</v>
      </c>
      <c r="R425" s="366"/>
      <c r="S425" s="391" t="s">
        <v>29</v>
      </c>
    </row>
    <row r="426" spans="14:19" ht="11.25" customHeight="1" x14ac:dyDescent="0.35">
      <c r="N426" s="366" t="s">
        <v>5474</v>
      </c>
      <c r="O426" s="389">
        <v>324681</v>
      </c>
      <c r="P426" s="421" t="str">
        <f t="shared" si="24"/>
        <v>2013Y</v>
      </c>
      <c r="Q426" s="414" t="str">
        <f>[1]!SNLLabel(287,324681,,"&lt;&gt;49")</f>
        <v>AR: Cmprhsv (Hosp, Med) Ind</v>
      </c>
      <c r="R426" s="366"/>
      <c r="S426" s="391" t="s">
        <v>29</v>
      </c>
    </row>
    <row r="427" spans="14:19" ht="11.25" customHeight="1" x14ac:dyDescent="0.35">
      <c r="N427" s="366" t="s">
        <v>5474</v>
      </c>
      <c r="O427" s="389">
        <v>324681</v>
      </c>
      <c r="P427" s="421" t="str">
        <f t="shared" si="24"/>
        <v>2013Y</v>
      </c>
      <c r="Q427" s="414" t="str">
        <f>[1]!SNLLabel(287,324681,,"&lt;&gt;53")</f>
        <v>AR: Dental Only</v>
      </c>
      <c r="R427" s="366"/>
      <c r="S427" s="391">
        <v>0</v>
      </c>
    </row>
    <row r="428" spans="14:19" ht="11.25" customHeight="1" x14ac:dyDescent="0.35">
      <c r="N428" s="366" t="s">
        <v>5474</v>
      </c>
      <c r="O428" s="389">
        <v>324681</v>
      </c>
      <c r="P428" s="421" t="str">
        <f t="shared" si="24"/>
        <v>2013Y</v>
      </c>
      <c r="Q428" s="414" t="str">
        <f>[1]!SNLLabel(287,324681,,"&lt;&gt;70")</f>
        <v>AR: Disability Income</v>
      </c>
      <c r="R428" s="366"/>
      <c r="S428" s="391" t="s">
        <v>29</v>
      </c>
    </row>
    <row r="429" spans="14:19" ht="11.25" customHeight="1" x14ac:dyDescent="0.35">
      <c r="N429" s="366" t="s">
        <v>5474</v>
      </c>
      <c r="O429" s="389">
        <v>324681</v>
      </c>
      <c r="P429" s="389" t="str">
        <f t="shared" si="24"/>
        <v>2013Y</v>
      </c>
      <c r="Q429" s="414" t="str">
        <f>[1]!SNLLabel(287,324681,,"&lt;&gt;89")</f>
        <v>AR: Fed Emp Health Ben</v>
      </c>
      <c r="R429" s="366"/>
      <c r="S429" s="391">
        <v>0</v>
      </c>
    </row>
    <row r="430" spans="14:19" ht="11.25" customHeight="1" x14ac:dyDescent="0.35">
      <c r="N430" s="366" t="s">
        <v>5474</v>
      </c>
      <c r="O430" s="389">
        <v>324681</v>
      </c>
      <c r="P430" s="389" t="str">
        <f t="shared" si="24"/>
        <v>2013Y</v>
      </c>
      <c r="Q430" s="414" t="str">
        <f>[1]!SNLLabel(287,324681,,"&lt;&gt;71")</f>
        <v>AR: Long-Term Care</v>
      </c>
      <c r="R430" s="366"/>
      <c r="S430" s="391" t="s">
        <v>29</v>
      </c>
    </row>
    <row r="431" spans="14:19" ht="11.25" customHeight="1" x14ac:dyDescent="0.35">
      <c r="N431" s="366" t="s">
        <v>5474</v>
      </c>
      <c r="O431" s="389">
        <v>324681</v>
      </c>
      <c r="P431" s="389" t="str">
        <f t="shared" si="24"/>
        <v>2013Y</v>
      </c>
      <c r="Q431" s="414" t="str">
        <f>[1]!SNLLabel(287,324681,,"&lt;&gt;51")</f>
        <v>AR: Medicare Supplement</v>
      </c>
      <c r="R431" s="366"/>
      <c r="S431" s="391">
        <v>442.577</v>
      </c>
    </row>
    <row r="432" spans="14:19" ht="11.25" customHeight="1" x14ac:dyDescent="0.35">
      <c r="N432" s="366" t="s">
        <v>5474</v>
      </c>
      <c r="O432" s="389">
        <v>324681</v>
      </c>
      <c r="P432" s="389" t="str">
        <f t="shared" si="24"/>
        <v>2013Y</v>
      </c>
      <c r="Q432" s="414" t="str">
        <f>[1]!SNLLabel(287,324681,,"&lt;&gt;56")</f>
        <v>AR: Title XIX Medicaid</v>
      </c>
      <c r="R432" s="366"/>
      <c r="S432" s="391">
        <v>0</v>
      </c>
    </row>
    <row r="433" spans="14:19" ht="11.25" customHeight="1" x14ac:dyDescent="0.35">
      <c r="N433" s="366" t="s">
        <v>5474</v>
      </c>
      <c r="O433" s="389">
        <v>324681</v>
      </c>
      <c r="P433" s="389" t="str">
        <f t="shared" si="24"/>
        <v>2013Y</v>
      </c>
      <c r="Q433" s="414" t="str">
        <f>[1]!SNLLabel(287,324681,,"&lt;&gt;55")</f>
        <v>AR: Title XVIII Medicare</v>
      </c>
      <c r="R433" s="366"/>
      <c r="S433" s="391">
        <v>0</v>
      </c>
    </row>
    <row r="434" spans="14:19" ht="11.25" customHeight="1" x14ac:dyDescent="0.35">
      <c r="N434" s="366" t="s">
        <v>5474</v>
      </c>
      <c r="O434" s="389">
        <v>324681</v>
      </c>
      <c r="P434" s="389" t="str">
        <f t="shared" si="24"/>
        <v>2013Y</v>
      </c>
      <c r="Q434" s="414" t="str">
        <f>[1]!SNLLabel(287,324681,,"&lt;&gt;52")</f>
        <v>AR: Vision Only</v>
      </c>
      <c r="R434" s="366"/>
      <c r="S434" s="391">
        <v>0</v>
      </c>
    </row>
    <row r="435" spans="14:19" ht="11.25" customHeight="1" x14ac:dyDescent="0.35">
      <c r="N435" s="366" t="s">
        <v>5474</v>
      </c>
      <c r="O435" s="389">
        <v>324681</v>
      </c>
      <c r="P435" s="389" t="str">
        <f t="shared" si="24"/>
        <v>2013Y</v>
      </c>
      <c r="Q435" s="414" t="str">
        <f>[1]!SNLLabel(287,324681,,"&lt;&gt;358")</f>
        <v>AR: Credit A&amp;H</v>
      </c>
      <c r="R435" s="366"/>
      <c r="S435" s="391" t="s">
        <v>29</v>
      </c>
    </row>
    <row r="436" spans="14:19" ht="11.25" customHeight="1" x14ac:dyDescent="0.35">
      <c r="N436" s="370" t="s">
        <v>5474</v>
      </c>
      <c r="O436" s="368">
        <v>324681</v>
      </c>
      <c r="P436" s="368" t="str">
        <f t="shared" si="24"/>
        <v>2013Y</v>
      </c>
      <c r="Q436" s="415" t="str">
        <f>[1]!SNLLabel(287,324681,,"&lt;&gt;359")</f>
        <v>AR: Other Health</v>
      </c>
      <c r="R436" s="370"/>
      <c r="S436" s="371" t="s">
        <v>29</v>
      </c>
    </row>
    <row r="437" spans="14:19" ht="11.25" customHeight="1" x14ac:dyDescent="0.35">
      <c r="N437" s="365" t="s">
        <v>5474</v>
      </c>
      <c r="O437" s="385">
        <v>324681</v>
      </c>
      <c r="P437" s="424" t="str">
        <f t="shared" ref="P437:P449" si="25">LEFT(Period,4)-2&amp;"Y"</f>
        <v>2012Y</v>
      </c>
      <c r="Q437" s="413" t="str">
        <f>[1]!SNLLabel(287,324681,,"&lt;&gt;357")</f>
        <v>AR: Total Accident and Health</v>
      </c>
      <c r="R437" s="365"/>
      <c r="S437" s="387" t="s">
        <v>29</v>
      </c>
    </row>
    <row r="438" spans="14:19" ht="11.25" customHeight="1" x14ac:dyDescent="0.35">
      <c r="N438" s="366" t="s">
        <v>5474</v>
      </c>
      <c r="O438" s="389">
        <v>324681</v>
      </c>
      <c r="P438" s="421" t="str">
        <f t="shared" si="25"/>
        <v>2012Y</v>
      </c>
      <c r="Q438" s="414" t="str">
        <f>[1]!SNLLabel(287,324681,,"&lt;&gt;50")</f>
        <v>AR: Cmprhsv (Hosp, Med) Grp</v>
      </c>
      <c r="R438" s="366"/>
      <c r="S438" s="391" t="s">
        <v>29</v>
      </c>
    </row>
    <row r="439" spans="14:19" ht="11.25" customHeight="1" x14ac:dyDescent="0.35">
      <c r="N439" s="366" t="s">
        <v>5474</v>
      </c>
      <c r="O439" s="389">
        <v>324681</v>
      </c>
      <c r="P439" s="421" t="str">
        <f t="shared" si="25"/>
        <v>2012Y</v>
      </c>
      <c r="Q439" s="414" t="str">
        <f>[1]!SNLLabel(287,324681,,"&lt;&gt;49")</f>
        <v>AR: Cmprhsv (Hosp, Med) Ind</v>
      </c>
      <c r="R439" s="366"/>
      <c r="S439" s="391" t="s">
        <v>29</v>
      </c>
    </row>
    <row r="440" spans="14:19" ht="11.25" customHeight="1" x14ac:dyDescent="0.35">
      <c r="N440" s="366" t="s">
        <v>5474</v>
      </c>
      <c r="O440" s="389">
        <v>324681</v>
      </c>
      <c r="P440" s="421" t="str">
        <f t="shared" si="25"/>
        <v>2012Y</v>
      </c>
      <c r="Q440" s="414" t="str">
        <f>[1]!SNLLabel(287,324681,,"&lt;&gt;53")</f>
        <v>AR: Dental Only</v>
      </c>
      <c r="R440" s="366"/>
      <c r="S440" s="391">
        <v>-23</v>
      </c>
    </row>
    <row r="441" spans="14:19" ht="11.25" customHeight="1" x14ac:dyDescent="0.35">
      <c r="N441" s="366" t="s">
        <v>5474</v>
      </c>
      <c r="O441" s="389">
        <v>324681</v>
      </c>
      <c r="P441" s="421" t="str">
        <f t="shared" si="25"/>
        <v>2012Y</v>
      </c>
      <c r="Q441" s="414" t="str">
        <f>[1]!SNLLabel(287,324681,,"&lt;&gt;70")</f>
        <v>AR: Disability Income</v>
      </c>
      <c r="R441" s="366"/>
      <c r="S441" s="391" t="s">
        <v>29</v>
      </c>
    </row>
    <row r="442" spans="14:19" ht="11.25" customHeight="1" x14ac:dyDescent="0.35">
      <c r="N442" s="366" t="s">
        <v>5474</v>
      </c>
      <c r="O442" s="389">
        <v>324681</v>
      </c>
      <c r="P442" s="421" t="str">
        <f t="shared" si="25"/>
        <v>2012Y</v>
      </c>
      <c r="Q442" s="414" t="str">
        <f>[1]!SNLLabel(287,324681,,"&lt;&gt;89")</f>
        <v>AR: Fed Emp Health Ben</v>
      </c>
      <c r="R442" s="366"/>
      <c r="S442" s="391">
        <v>0</v>
      </c>
    </row>
    <row r="443" spans="14:19" ht="11.25" customHeight="1" x14ac:dyDescent="0.35">
      <c r="N443" s="366" t="s">
        <v>5474</v>
      </c>
      <c r="O443" s="389">
        <v>324681</v>
      </c>
      <c r="P443" s="421" t="str">
        <f t="shared" si="25"/>
        <v>2012Y</v>
      </c>
      <c r="Q443" s="414" t="str">
        <f>[1]!SNLLabel(287,324681,,"&lt;&gt;71")</f>
        <v>AR: Long-Term Care</v>
      </c>
      <c r="R443" s="366"/>
      <c r="S443" s="391" t="s">
        <v>29</v>
      </c>
    </row>
    <row r="444" spans="14:19" ht="11.25" customHeight="1" x14ac:dyDescent="0.35">
      <c r="N444" s="366" t="s">
        <v>5474</v>
      </c>
      <c r="O444" s="389">
        <v>324681</v>
      </c>
      <c r="P444" s="421" t="str">
        <f t="shared" si="25"/>
        <v>2012Y</v>
      </c>
      <c r="Q444" s="414" t="str">
        <f>[1]!SNLLabel(287,324681,,"&lt;&gt;51")</f>
        <v>AR: Medicare Supplement</v>
      </c>
      <c r="R444" s="366"/>
      <c r="S444" s="391">
        <v>258.62400000000002</v>
      </c>
    </row>
    <row r="445" spans="14:19" ht="11.25" customHeight="1" x14ac:dyDescent="0.35">
      <c r="N445" s="366" t="s">
        <v>5474</v>
      </c>
      <c r="O445" s="389">
        <v>324681</v>
      </c>
      <c r="P445" s="421" t="str">
        <f t="shared" si="25"/>
        <v>2012Y</v>
      </c>
      <c r="Q445" s="414" t="str">
        <f>[1]!SNLLabel(287,324681,,"&lt;&gt;56")</f>
        <v>AR: Title XIX Medicaid</v>
      </c>
      <c r="R445" s="366"/>
      <c r="S445" s="391">
        <v>0</v>
      </c>
    </row>
    <row r="446" spans="14:19" ht="11.25" customHeight="1" x14ac:dyDescent="0.35">
      <c r="N446" s="366" t="s">
        <v>5474</v>
      </c>
      <c r="O446" s="389">
        <v>324681</v>
      </c>
      <c r="P446" s="421" t="str">
        <f t="shared" si="25"/>
        <v>2012Y</v>
      </c>
      <c r="Q446" s="414" t="str">
        <f>[1]!SNLLabel(287,324681,,"&lt;&gt;55")</f>
        <v>AR: Title XVIII Medicare</v>
      </c>
      <c r="R446" s="366"/>
      <c r="S446" s="391">
        <v>0</v>
      </c>
    </row>
    <row r="447" spans="14:19" ht="11.25" customHeight="1" x14ac:dyDescent="0.35">
      <c r="N447" s="366" t="s">
        <v>5474</v>
      </c>
      <c r="O447" s="389">
        <v>324681</v>
      </c>
      <c r="P447" s="421" t="str">
        <f t="shared" si="25"/>
        <v>2012Y</v>
      </c>
      <c r="Q447" s="414" t="str">
        <f>[1]!SNLLabel(287,324681,,"&lt;&gt;52")</f>
        <v>AR: Vision Only</v>
      </c>
      <c r="R447" s="366"/>
      <c r="S447" s="391">
        <v>0</v>
      </c>
    </row>
    <row r="448" spans="14:19" ht="11.25" customHeight="1" x14ac:dyDescent="0.35">
      <c r="N448" s="366" t="s">
        <v>5474</v>
      </c>
      <c r="O448" s="389">
        <v>324681</v>
      </c>
      <c r="P448" s="421" t="str">
        <f t="shared" si="25"/>
        <v>2012Y</v>
      </c>
      <c r="Q448" s="414" t="str">
        <f>[1]!SNLLabel(287,324681,,"&lt;&gt;358")</f>
        <v>AR: Credit A&amp;H</v>
      </c>
      <c r="R448" s="366"/>
      <c r="S448" s="391" t="s">
        <v>29</v>
      </c>
    </row>
    <row r="449" spans="14:19" ht="11.25" customHeight="1" x14ac:dyDescent="0.35">
      <c r="N449" s="370" t="s">
        <v>5474</v>
      </c>
      <c r="O449" s="368">
        <v>324681</v>
      </c>
      <c r="P449" s="425" t="str">
        <f t="shared" si="25"/>
        <v>2012Y</v>
      </c>
      <c r="Q449" s="415" t="str">
        <f>[1]!SNLLabel(287,324681,,"&lt;&gt;359")</f>
        <v>AR: Other Health</v>
      </c>
      <c r="R449" s="370"/>
      <c r="S449" s="371" t="s">
        <v>29</v>
      </c>
    </row>
    <row r="450" spans="14:19" ht="11.25" customHeight="1" x14ac:dyDescent="0.35">
      <c r="N450" s="365" t="s">
        <v>5474</v>
      </c>
      <c r="O450" s="385">
        <v>324681</v>
      </c>
      <c r="P450" s="424" t="str">
        <f t="shared" ref="P450:P462" si="26">LEFT(Period,4)-3&amp;"Y"</f>
        <v>2011Y</v>
      </c>
      <c r="Q450" s="413" t="str">
        <f>[1]!SNLLabel(287,324681,,"&lt;&gt;357")</f>
        <v>AR: Total Accident and Health</v>
      </c>
      <c r="R450" s="365"/>
      <c r="S450" s="387" t="s">
        <v>29</v>
      </c>
    </row>
    <row r="451" spans="14:19" ht="11.25" customHeight="1" x14ac:dyDescent="0.35">
      <c r="N451" s="366" t="s">
        <v>5474</v>
      </c>
      <c r="O451" s="389">
        <v>324681</v>
      </c>
      <c r="P451" s="421" t="str">
        <f t="shared" si="26"/>
        <v>2011Y</v>
      </c>
      <c r="Q451" s="414" t="str">
        <f>[1]!SNLLabel(287,324681,,"&lt;&gt;50")</f>
        <v>AR: Cmprhsv (Hosp, Med) Grp</v>
      </c>
      <c r="R451" s="366"/>
      <c r="S451" s="391" t="s">
        <v>29</v>
      </c>
    </row>
    <row r="452" spans="14:19" ht="11.25" customHeight="1" x14ac:dyDescent="0.35">
      <c r="N452" s="366" t="s">
        <v>5474</v>
      </c>
      <c r="O452" s="389">
        <v>324681</v>
      </c>
      <c r="P452" s="421" t="str">
        <f t="shared" si="26"/>
        <v>2011Y</v>
      </c>
      <c r="Q452" s="414" t="str">
        <f>[1]!SNLLabel(287,324681,,"&lt;&gt;49")</f>
        <v>AR: Cmprhsv (Hosp, Med) Ind</v>
      </c>
      <c r="R452" s="366"/>
      <c r="S452" s="391" t="s">
        <v>29</v>
      </c>
    </row>
    <row r="453" spans="14:19" ht="11.25" customHeight="1" x14ac:dyDescent="0.35">
      <c r="N453" s="366" t="s">
        <v>5474</v>
      </c>
      <c r="O453" s="389">
        <v>324681</v>
      </c>
      <c r="P453" s="421" t="str">
        <f t="shared" si="26"/>
        <v>2011Y</v>
      </c>
      <c r="Q453" s="414" t="str">
        <f>[1]!SNLLabel(287,324681,,"&lt;&gt;53")</f>
        <v>AR: Dental Only</v>
      </c>
      <c r="R453" s="366"/>
      <c r="S453" s="391">
        <v>0</v>
      </c>
    </row>
    <row r="454" spans="14:19" ht="11.25" customHeight="1" x14ac:dyDescent="0.35">
      <c r="N454" s="366" t="s">
        <v>5474</v>
      </c>
      <c r="O454" s="389">
        <v>324681</v>
      </c>
      <c r="P454" s="421" t="str">
        <f t="shared" si="26"/>
        <v>2011Y</v>
      </c>
      <c r="Q454" s="414" t="str">
        <f>[1]!SNLLabel(287,324681,,"&lt;&gt;70")</f>
        <v>AR: Disability Income</v>
      </c>
      <c r="R454" s="366"/>
      <c r="S454" s="391" t="s">
        <v>29</v>
      </c>
    </row>
    <row r="455" spans="14:19" ht="11.25" customHeight="1" x14ac:dyDescent="0.35">
      <c r="N455" s="366" t="s">
        <v>5474</v>
      </c>
      <c r="O455" s="389">
        <v>324681</v>
      </c>
      <c r="P455" s="421" t="str">
        <f t="shared" si="26"/>
        <v>2011Y</v>
      </c>
      <c r="Q455" s="414" t="str">
        <f>[1]!SNLLabel(287,324681,,"&lt;&gt;89")</f>
        <v>AR: Fed Emp Health Ben</v>
      </c>
      <c r="R455" s="366"/>
      <c r="S455" s="391">
        <v>0</v>
      </c>
    </row>
    <row r="456" spans="14:19" ht="11.25" customHeight="1" x14ac:dyDescent="0.35">
      <c r="N456" s="366" t="s">
        <v>5474</v>
      </c>
      <c r="O456" s="389">
        <v>324681</v>
      </c>
      <c r="P456" s="421" t="str">
        <f t="shared" si="26"/>
        <v>2011Y</v>
      </c>
      <c r="Q456" s="414" t="str">
        <f>[1]!SNLLabel(287,324681,,"&lt;&gt;71")</f>
        <v>AR: Long-Term Care</v>
      </c>
      <c r="R456" s="366"/>
      <c r="S456" s="391" t="s">
        <v>29</v>
      </c>
    </row>
    <row r="457" spans="14:19" ht="11.25" customHeight="1" x14ac:dyDescent="0.35">
      <c r="N457" s="366" t="s">
        <v>5474</v>
      </c>
      <c r="O457" s="389">
        <v>324681</v>
      </c>
      <c r="P457" s="421" t="str">
        <f t="shared" si="26"/>
        <v>2011Y</v>
      </c>
      <c r="Q457" s="414" t="str">
        <f>[1]!SNLLabel(287,324681,,"&lt;&gt;51")</f>
        <v>AR: Medicare Supplement</v>
      </c>
      <c r="R457" s="366"/>
      <c r="S457" s="391">
        <v>94.5</v>
      </c>
    </row>
    <row r="458" spans="14:19" ht="11.25" customHeight="1" x14ac:dyDescent="0.35">
      <c r="N458" s="366" t="s">
        <v>5474</v>
      </c>
      <c r="O458" s="389">
        <v>324681</v>
      </c>
      <c r="P458" s="421" t="str">
        <f t="shared" si="26"/>
        <v>2011Y</v>
      </c>
      <c r="Q458" s="414" t="str">
        <f>[1]!SNLLabel(287,324681,,"&lt;&gt;56")</f>
        <v>AR: Title XIX Medicaid</v>
      </c>
      <c r="R458" s="366"/>
      <c r="S458" s="391">
        <v>0</v>
      </c>
    </row>
    <row r="459" spans="14:19" ht="11.25" customHeight="1" x14ac:dyDescent="0.35">
      <c r="N459" s="366" t="s">
        <v>5474</v>
      </c>
      <c r="O459" s="389">
        <v>324681</v>
      </c>
      <c r="P459" s="421" t="str">
        <f t="shared" si="26"/>
        <v>2011Y</v>
      </c>
      <c r="Q459" s="414" t="str">
        <f>[1]!SNLLabel(287,324681,,"&lt;&gt;55")</f>
        <v>AR: Title XVIII Medicare</v>
      </c>
      <c r="R459" s="366"/>
      <c r="S459" s="391">
        <v>0</v>
      </c>
    </row>
    <row r="460" spans="14:19" ht="11.25" customHeight="1" x14ac:dyDescent="0.35">
      <c r="N460" s="366" t="s">
        <v>5474</v>
      </c>
      <c r="O460" s="389">
        <v>324681</v>
      </c>
      <c r="P460" s="421" t="str">
        <f t="shared" si="26"/>
        <v>2011Y</v>
      </c>
      <c r="Q460" s="414" t="str">
        <f>[1]!SNLLabel(287,324681,,"&lt;&gt;52")</f>
        <v>AR: Vision Only</v>
      </c>
      <c r="R460" s="366"/>
      <c r="S460" s="391">
        <v>0</v>
      </c>
    </row>
    <row r="461" spans="14:19" ht="11.25" customHeight="1" x14ac:dyDescent="0.35">
      <c r="N461" s="366" t="s">
        <v>5474</v>
      </c>
      <c r="O461" s="389">
        <v>324681</v>
      </c>
      <c r="P461" s="421" t="str">
        <f t="shared" si="26"/>
        <v>2011Y</v>
      </c>
      <c r="Q461" s="414" t="str">
        <f>[1]!SNLLabel(287,324681,,"&lt;&gt;358")</f>
        <v>AR: Credit A&amp;H</v>
      </c>
      <c r="R461" s="366"/>
      <c r="S461" s="391" t="s">
        <v>29</v>
      </c>
    </row>
    <row r="462" spans="14:19" ht="11.25" customHeight="1" x14ac:dyDescent="0.35">
      <c r="N462" s="370" t="s">
        <v>5474</v>
      </c>
      <c r="O462" s="368">
        <v>324681</v>
      </c>
      <c r="P462" s="425" t="str">
        <f t="shared" si="26"/>
        <v>2011Y</v>
      </c>
      <c r="Q462" s="415" t="str">
        <f>[1]!SNLLabel(287,324681,,"&lt;&gt;359")</f>
        <v>AR: Other Health</v>
      </c>
      <c r="R462" s="370"/>
      <c r="S462" s="371" t="s">
        <v>29</v>
      </c>
    </row>
    <row r="463" spans="14:19" ht="11.25" customHeight="1" x14ac:dyDescent="0.35">
      <c r="N463" s="365" t="s">
        <v>5474</v>
      </c>
      <c r="O463" s="385">
        <v>324681</v>
      </c>
      <c r="P463" s="424" t="str">
        <f t="shared" ref="P463:P475" si="27">LEFT(Period,4)-4&amp;"Y"</f>
        <v>2010Y</v>
      </c>
      <c r="Q463" s="413" t="str">
        <f>[1]!SNLLabel(287,324681,,"&lt;&gt;357")</f>
        <v>AR: Total Accident and Health</v>
      </c>
      <c r="R463" s="365"/>
      <c r="S463" s="387" t="s">
        <v>29</v>
      </c>
    </row>
    <row r="464" spans="14:19" ht="11.25" customHeight="1" x14ac:dyDescent="0.35">
      <c r="N464" s="366" t="s">
        <v>5474</v>
      </c>
      <c r="O464" s="389">
        <v>324681</v>
      </c>
      <c r="P464" s="421" t="str">
        <f t="shared" si="27"/>
        <v>2010Y</v>
      </c>
      <c r="Q464" s="414" t="str">
        <f>[1]!SNLLabel(287,324681,,"&lt;&gt;50")</f>
        <v>AR: Cmprhsv (Hosp, Med) Grp</v>
      </c>
      <c r="R464" s="366"/>
      <c r="S464" s="391" t="s">
        <v>29</v>
      </c>
    </row>
    <row r="465" spans="14:19" ht="11.25" customHeight="1" x14ac:dyDescent="0.35">
      <c r="N465" s="366" t="s">
        <v>5474</v>
      </c>
      <c r="O465" s="389">
        <v>324681</v>
      </c>
      <c r="P465" s="421" t="str">
        <f t="shared" si="27"/>
        <v>2010Y</v>
      </c>
      <c r="Q465" s="414" t="str">
        <f>[1]!SNLLabel(287,324681,,"&lt;&gt;49")</f>
        <v>AR: Cmprhsv (Hosp, Med) Ind</v>
      </c>
      <c r="R465" s="366"/>
      <c r="S465" s="391" t="s">
        <v>29</v>
      </c>
    </row>
    <row r="466" spans="14:19" ht="11.25" customHeight="1" x14ac:dyDescent="0.35">
      <c r="N466" s="366" t="s">
        <v>5474</v>
      </c>
      <c r="O466" s="389">
        <v>324681</v>
      </c>
      <c r="P466" s="421" t="str">
        <f t="shared" si="27"/>
        <v>2010Y</v>
      </c>
      <c r="Q466" s="414" t="str">
        <f>[1]!SNLLabel(287,324681,,"&lt;&gt;53")</f>
        <v>AR: Dental Only</v>
      </c>
      <c r="R466" s="366"/>
      <c r="S466" s="391">
        <v>0</v>
      </c>
    </row>
    <row r="467" spans="14:19" ht="11.25" customHeight="1" x14ac:dyDescent="0.35">
      <c r="N467" s="366" t="s">
        <v>5474</v>
      </c>
      <c r="O467" s="389">
        <v>324681</v>
      </c>
      <c r="P467" s="421" t="str">
        <f t="shared" si="27"/>
        <v>2010Y</v>
      </c>
      <c r="Q467" s="414" t="str">
        <f>[1]!SNLLabel(287,324681,,"&lt;&gt;70")</f>
        <v>AR: Disability Income</v>
      </c>
      <c r="R467" s="366"/>
      <c r="S467" s="391" t="s">
        <v>29</v>
      </c>
    </row>
    <row r="468" spans="14:19" ht="11.25" customHeight="1" x14ac:dyDescent="0.35">
      <c r="N468" s="366" t="s">
        <v>5474</v>
      </c>
      <c r="O468" s="389">
        <v>324681</v>
      </c>
      <c r="P468" s="421" t="str">
        <f t="shared" si="27"/>
        <v>2010Y</v>
      </c>
      <c r="Q468" s="414" t="str">
        <f>[1]!SNLLabel(287,324681,,"&lt;&gt;89")</f>
        <v>AR: Fed Emp Health Ben</v>
      </c>
      <c r="R468" s="366"/>
      <c r="S468" s="391">
        <v>0</v>
      </c>
    </row>
    <row r="469" spans="14:19" ht="11.25" customHeight="1" x14ac:dyDescent="0.35">
      <c r="N469" s="366" t="s">
        <v>5474</v>
      </c>
      <c r="O469" s="389">
        <v>324681</v>
      </c>
      <c r="P469" s="421" t="str">
        <f t="shared" si="27"/>
        <v>2010Y</v>
      </c>
      <c r="Q469" s="414" t="str">
        <f>[1]!SNLLabel(287,324681,,"&lt;&gt;71")</f>
        <v>AR: Long-Term Care</v>
      </c>
      <c r="R469" s="366"/>
      <c r="S469" s="391" t="s">
        <v>29</v>
      </c>
    </row>
    <row r="470" spans="14:19" ht="11.25" customHeight="1" x14ac:dyDescent="0.35">
      <c r="N470" s="366" t="s">
        <v>5474</v>
      </c>
      <c r="O470" s="389">
        <v>324681</v>
      </c>
      <c r="P470" s="421" t="str">
        <f t="shared" si="27"/>
        <v>2010Y</v>
      </c>
      <c r="Q470" s="414" t="str">
        <f>[1]!SNLLabel(287,324681,,"&lt;&gt;51")</f>
        <v>AR: Medicare Supplement</v>
      </c>
      <c r="R470" s="366"/>
      <c r="S470" s="391">
        <v>69.7</v>
      </c>
    </row>
    <row r="471" spans="14:19" ht="11.25" customHeight="1" x14ac:dyDescent="0.35">
      <c r="N471" s="366" t="s">
        <v>5474</v>
      </c>
      <c r="O471" s="389">
        <v>324681</v>
      </c>
      <c r="P471" s="421" t="str">
        <f t="shared" si="27"/>
        <v>2010Y</v>
      </c>
      <c r="Q471" s="414" t="str">
        <f>[1]!SNLLabel(287,324681,,"&lt;&gt;56")</f>
        <v>AR: Title XIX Medicaid</v>
      </c>
      <c r="R471" s="366"/>
      <c r="S471" s="391">
        <v>0</v>
      </c>
    </row>
    <row r="472" spans="14:19" ht="11.25" customHeight="1" x14ac:dyDescent="0.35">
      <c r="N472" s="366" t="s">
        <v>5474</v>
      </c>
      <c r="O472" s="389">
        <v>324681</v>
      </c>
      <c r="P472" s="421" t="str">
        <f t="shared" si="27"/>
        <v>2010Y</v>
      </c>
      <c r="Q472" s="414" t="str">
        <f>[1]!SNLLabel(287,324681,,"&lt;&gt;55")</f>
        <v>AR: Title XVIII Medicare</v>
      </c>
      <c r="R472" s="366"/>
      <c r="S472" s="391">
        <v>0</v>
      </c>
    </row>
    <row r="473" spans="14:19" ht="11.25" customHeight="1" x14ac:dyDescent="0.35">
      <c r="N473" s="366" t="s">
        <v>5474</v>
      </c>
      <c r="O473" s="389">
        <v>324681</v>
      </c>
      <c r="P473" s="421" t="str">
        <f t="shared" si="27"/>
        <v>2010Y</v>
      </c>
      <c r="Q473" s="414" t="str">
        <f>[1]!SNLLabel(287,324681,,"&lt;&gt;52")</f>
        <v>AR: Vision Only</v>
      </c>
      <c r="R473" s="366"/>
      <c r="S473" s="391">
        <v>0</v>
      </c>
    </row>
    <row r="474" spans="14:19" ht="11.25" customHeight="1" x14ac:dyDescent="0.35">
      <c r="N474" s="366" t="s">
        <v>5474</v>
      </c>
      <c r="O474" s="389">
        <v>324681</v>
      </c>
      <c r="P474" s="421" t="str">
        <f t="shared" si="27"/>
        <v>2010Y</v>
      </c>
      <c r="Q474" s="414" t="str">
        <f>[1]!SNLLabel(287,324681,,"&lt;&gt;358")</f>
        <v>AR: Credit A&amp;H</v>
      </c>
      <c r="R474" s="366"/>
      <c r="S474" s="391" t="s">
        <v>29</v>
      </c>
    </row>
    <row r="475" spans="14:19" ht="11.25" customHeight="1" x14ac:dyDescent="0.35">
      <c r="N475" s="370" t="s">
        <v>5474</v>
      </c>
      <c r="O475" s="368">
        <v>324681</v>
      </c>
      <c r="P475" s="425" t="str">
        <f t="shared" si="27"/>
        <v>2010Y</v>
      </c>
      <c r="Q475" s="415" t="str">
        <f>[1]!SNLLabel(287,324681,,"&lt;&gt;359")</f>
        <v>AR: Other Health</v>
      </c>
      <c r="R475" s="370"/>
      <c r="S475" s="371" t="s">
        <v>29</v>
      </c>
    </row>
    <row r="476" spans="14:19" ht="11.25" customHeight="1" x14ac:dyDescent="0.35">
      <c r="N476" s="419" t="s">
        <v>5499</v>
      </c>
      <c r="O476" s="416"/>
      <c r="P476" s="426"/>
      <c r="Q476" s="417"/>
      <c r="R476" s="382"/>
      <c r="S476" s="418"/>
    </row>
    <row r="477" spans="14:19" ht="11.25" customHeight="1" x14ac:dyDescent="0.35">
      <c r="N477" s="365" t="s">
        <v>5398</v>
      </c>
      <c r="O477" s="385">
        <v>325026</v>
      </c>
      <c r="P477" s="424" t="str">
        <f>Period</f>
        <v>2014Y</v>
      </c>
      <c r="Q477" s="413" t="str">
        <f>[1]!SNLLabel(287,325026,,"&lt;&gt;49","Options:Curr=Reported currency,Mag=MIstandard,ConvMethod=MIrecommended")</f>
        <v>AR: Cmprhsv (Hosp, Med) Ind</v>
      </c>
      <c r="R477" s="365"/>
      <c r="S477" s="387" t="s">
        <v>29</v>
      </c>
    </row>
    <row r="478" spans="14:19" ht="11.25" customHeight="1" x14ac:dyDescent="0.35">
      <c r="N478" s="366" t="s">
        <v>5399</v>
      </c>
      <c r="O478" s="389">
        <v>325026</v>
      </c>
      <c r="P478" s="421" t="str">
        <f>Period</f>
        <v>2014Y</v>
      </c>
      <c r="Q478" s="414" t="str">
        <f>[1]!SNLLabel(287,325026,,"&lt;&gt;50","Options:Curr=Reported currency,Mag=MIstandard,ConvMethod=MIrecommended")</f>
        <v>AR: Cmprhsv (Hosp, Med) Grp</v>
      </c>
      <c r="R478" s="366"/>
      <c r="S478" s="391" t="s">
        <v>29</v>
      </c>
    </row>
    <row r="479" spans="14:19" ht="11.25" customHeight="1" x14ac:dyDescent="0.35">
      <c r="N479" s="366" t="s">
        <v>5400</v>
      </c>
      <c r="O479" s="389">
        <v>325026</v>
      </c>
      <c r="P479" s="421" t="str">
        <f>Period</f>
        <v>2014Y</v>
      </c>
      <c r="Q479" s="414" t="str">
        <f>[1]!SNLLabel(287,325026,,"&lt;&gt;358","Options:Curr=Reported currency,Mag=MIstandard,ConvMethod=MIrecommended")</f>
        <v>AR: Credit A&amp;H</v>
      </c>
      <c r="R479" s="366"/>
      <c r="S479" s="391" t="s">
        <v>29</v>
      </c>
    </row>
    <row r="480" spans="14:19" ht="11.25" customHeight="1" x14ac:dyDescent="0.35">
      <c r="N480" s="366" t="s">
        <v>5401</v>
      </c>
      <c r="O480" s="389">
        <v>325026</v>
      </c>
      <c r="P480" s="421" t="str">
        <f>Period</f>
        <v>2014Y</v>
      </c>
      <c r="Q480" s="414" t="str">
        <f>[1]!SNLLabel(287,325026,,"&lt;&gt;359","Options:Curr=Reported currency,Mag=MIstandard,ConvMethod=MIrecommended")</f>
        <v>AR: Other Health</v>
      </c>
      <c r="R480" s="366"/>
      <c r="S480" s="391" t="s">
        <v>29</v>
      </c>
    </row>
    <row r="481" spans="14:19" ht="11.25" customHeight="1" x14ac:dyDescent="0.35">
      <c r="N481" s="370" t="s">
        <v>5402</v>
      </c>
      <c r="O481" s="368">
        <v>325026</v>
      </c>
      <c r="P481" s="425" t="str">
        <f>Period</f>
        <v>2014Y</v>
      </c>
      <c r="Q481" s="415" t="str">
        <f>[1]!SNLLabel(287,325026,,"&lt;&gt;357","Options:Curr=Reported currency,Mag=MIstandard,ConvMethod=MIrecommended")</f>
        <v>AR: Total Accident and Health</v>
      </c>
      <c r="R481" s="370"/>
      <c r="S481" s="371" t="s">
        <v>29</v>
      </c>
    </row>
    <row r="482" spans="14:19" ht="11.25" customHeight="1" x14ac:dyDescent="0.35">
      <c r="N482" s="365" t="s">
        <v>5398</v>
      </c>
      <c r="O482" s="385">
        <v>325026</v>
      </c>
      <c r="P482" s="424" t="str">
        <f>LEFT(Period,4)-1&amp;"Y"</f>
        <v>2013Y</v>
      </c>
      <c r="Q482" s="413" t="str">
        <f>[1]!SNLLabel(287,325026,,"&lt;&gt;49","Options:Curr=Reported currency,Mag=MIstandard,ConvMethod=MIrecommended")</f>
        <v>AR: Cmprhsv (Hosp, Med) Ind</v>
      </c>
      <c r="R482" s="365"/>
      <c r="S482" s="387" t="s">
        <v>29</v>
      </c>
    </row>
    <row r="483" spans="14:19" ht="11.25" customHeight="1" x14ac:dyDescent="0.35">
      <c r="N483" s="366" t="s">
        <v>5399</v>
      </c>
      <c r="O483" s="389">
        <v>325026</v>
      </c>
      <c r="P483" s="421" t="str">
        <f>LEFT(Period,4)-1&amp;"Y"</f>
        <v>2013Y</v>
      </c>
      <c r="Q483" s="414" t="str">
        <f>[1]!SNLLabel(287,325026,,"&lt;&gt;50","Options:Curr=Reported currency,Mag=MIstandard,ConvMethod=MIrecommended")</f>
        <v>AR: Cmprhsv (Hosp, Med) Grp</v>
      </c>
      <c r="R483" s="366"/>
      <c r="S483" s="391" t="s">
        <v>29</v>
      </c>
    </row>
    <row r="484" spans="14:19" ht="11.25" customHeight="1" x14ac:dyDescent="0.35">
      <c r="N484" s="366" t="s">
        <v>5400</v>
      </c>
      <c r="O484" s="389">
        <v>325026</v>
      </c>
      <c r="P484" s="421" t="str">
        <f>LEFT(Period,4)-1&amp;"Y"</f>
        <v>2013Y</v>
      </c>
      <c r="Q484" s="414" t="str">
        <f>[1]!SNLLabel(287,325026,,"&lt;&gt;358","Options:Curr=Reported currency,Mag=MIstandard,ConvMethod=MIrecommended")</f>
        <v>AR: Credit A&amp;H</v>
      </c>
      <c r="R484" s="366"/>
      <c r="S484" s="391" t="s">
        <v>29</v>
      </c>
    </row>
    <row r="485" spans="14:19" ht="11.25" customHeight="1" x14ac:dyDescent="0.35">
      <c r="N485" s="366" t="s">
        <v>5401</v>
      </c>
      <c r="O485" s="389">
        <v>325026</v>
      </c>
      <c r="P485" s="421" t="str">
        <f>LEFT(Period,4)-1&amp;"Y"</f>
        <v>2013Y</v>
      </c>
      <c r="Q485" s="414" t="str">
        <f>[1]!SNLLabel(287,325026,,"&lt;&gt;359","Options:Curr=Reported currency,Mag=MIstandard,ConvMethod=MIrecommended")</f>
        <v>AR: Other Health</v>
      </c>
      <c r="R485" s="366"/>
      <c r="S485" s="391" t="s">
        <v>29</v>
      </c>
    </row>
    <row r="486" spans="14:19" ht="11.25" customHeight="1" x14ac:dyDescent="0.35">
      <c r="N486" s="370" t="s">
        <v>5402</v>
      </c>
      <c r="O486" s="368">
        <v>325026</v>
      </c>
      <c r="P486" s="425" t="str">
        <f>LEFT(Period,4)-1&amp;"Y"</f>
        <v>2013Y</v>
      </c>
      <c r="Q486" s="415" t="str">
        <f>[1]!SNLLabel(287,325026,,"&lt;&gt;357","Options:Curr=Reported currency,Mag=MIstandard,ConvMethod=MIrecommended")</f>
        <v>AR: Total Accident and Health</v>
      </c>
      <c r="R486" s="370"/>
      <c r="S486" s="371" t="s">
        <v>29</v>
      </c>
    </row>
    <row r="487" spans="14:19" ht="11.25" customHeight="1" x14ac:dyDescent="0.35">
      <c r="N487" s="365" t="s">
        <v>5398</v>
      </c>
      <c r="O487" s="385">
        <v>325026</v>
      </c>
      <c r="P487" s="424" t="str">
        <f>LEFT(Period,4)-2&amp;"Y"</f>
        <v>2012Y</v>
      </c>
      <c r="Q487" s="413" t="str">
        <f>[1]!SNLLabel(287,325026,,"&lt;&gt;49","Options:Curr=Reported currency,Mag=MIstandard,ConvMethod=MIrecommended")</f>
        <v>AR: Cmprhsv (Hosp, Med) Ind</v>
      </c>
      <c r="R487" s="365"/>
      <c r="S487" s="387" t="s">
        <v>29</v>
      </c>
    </row>
    <row r="488" spans="14:19" ht="11.25" customHeight="1" x14ac:dyDescent="0.35">
      <c r="N488" s="366" t="s">
        <v>5399</v>
      </c>
      <c r="O488" s="389">
        <v>325026</v>
      </c>
      <c r="P488" s="421" t="str">
        <f>LEFT(Period,4)-2&amp;"Y"</f>
        <v>2012Y</v>
      </c>
      <c r="Q488" s="414" t="str">
        <f>[1]!SNLLabel(287,325026,,"&lt;&gt;50","Options:Curr=Reported currency,Mag=MIstandard,ConvMethod=MIrecommended")</f>
        <v>AR: Cmprhsv (Hosp, Med) Grp</v>
      </c>
      <c r="R488" s="366"/>
      <c r="S488" s="391" t="s">
        <v>29</v>
      </c>
    </row>
    <row r="489" spans="14:19" ht="11.25" customHeight="1" x14ac:dyDescent="0.35">
      <c r="N489" s="366" t="s">
        <v>5400</v>
      </c>
      <c r="O489" s="389">
        <v>325026</v>
      </c>
      <c r="P489" s="421" t="str">
        <f>LEFT(Period,4)-2&amp;"Y"</f>
        <v>2012Y</v>
      </c>
      <c r="Q489" s="414" t="str">
        <f>[1]!SNLLabel(287,325026,,"&lt;&gt;358","Options:Curr=Reported currency,Mag=MIstandard,ConvMethod=MIrecommended")</f>
        <v>AR: Credit A&amp;H</v>
      </c>
      <c r="R489" s="366"/>
      <c r="S489" s="391" t="s">
        <v>29</v>
      </c>
    </row>
    <row r="490" spans="14:19" ht="11.25" customHeight="1" x14ac:dyDescent="0.35">
      <c r="N490" s="366" t="s">
        <v>5401</v>
      </c>
      <c r="O490" s="389">
        <v>325026</v>
      </c>
      <c r="P490" s="421" t="str">
        <f>LEFT(Period,4)-2&amp;"Y"</f>
        <v>2012Y</v>
      </c>
      <c r="Q490" s="414" t="str">
        <f>[1]!SNLLabel(287,325026,,"&lt;&gt;359","Options:Curr=Reported currency,Mag=MIstandard,ConvMethod=MIrecommended")</f>
        <v>AR: Other Health</v>
      </c>
      <c r="R490" s="366"/>
      <c r="S490" s="391" t="s">
        <v>29</v>
      </c>
    </row>
    <row r="491" spans="14:19" ht="11.25" customHeight="1" x14ac:dyDescent="0.35">
      <c r="N491" s="370" t="s">
        <v>5402</v>
      </c>
      <c r="O491" s="368">
        <v>325026</v>
      </c>
      <c r="P491" s="425" t="str">
        <f>LEFT(Period,4)-2&amp;"Y"</f>
        <v>2012Y</v>
      </c>
      <c r="Q491" s="415" t="str">
        <f>[1]!SNLLabel(287,325026,,"&lt;&gt;357","Options:Curr=Reported currency,Mag=MIstandard,ConvMethod=MIrecommended")</f>
        <v>AR: Total Accident and Health</v>
      </c>
      <c r="R491" s="370"/>
      <c r="S491" s="371" t="s">
        <v>29</v>
      </c>
    </row>
    <row r="492" spans="14:19" ht="11.25" customHeight="1" x14ac:dyDescent="0.35">
      <c r="N492" s="365" t="s">
        <v>5398</v>
      </c>
      <c r="O492" s="385">
        <v>325026</v>
      </c>
      <c r="P492" s="424" t="str">
        <f>LEFT(Period,4)-3&amp;"Y"</f>
        <v>2011Y</v>
      </c>
      <c r="Q492" s="413" t="str">
        <f>[1]!SNLLabel(287,325026,,"&lt;&gt;49","Options:Curr=Reported currency,Mag=MIstandard,ConvMethod=MIrecommended")</f>
        <v>AR: Cmprhsv (Hosp, Med) Ind</v>
      </c>
      <c r="R492" s="365"/>
      <c r="S492" s="387" t="s">
        <v>29</v>
      </c>
    </row>
    <row r="493" spans="14:19" ht="11.25" customHeight="1" x14ac:dyDescent="0.35">
      <c r="N493" s="366" t="s">
        <v>5399</v>
      </c>
      <c r="O493" s="389">
        <v>325026</v>
      </c>
      <c r="P493" s="421" t="str">
        <f>LEFT(Period,4)-3&amp;"Y"</f>
        <v>2011Y</v>
      </c>
      <c r="Q493" s="414" t="str">
        <f>[1]!SNLLabel(287,325026,,"&lt;&gt;50","Options:Curr=Reported currency,Mag=MIstandard,ConvMethod=MIrecommended")</f>
        <v>AR: Cmprhsv (Hosp, Med) Grp</v>
      </c>
      <c r="R493" s="366"/>
      <c r="S493" s="391" t="s">
        <v>29</v>
      </c>
    </row>
    <row r="494" spans="14:19" ht="11.25" customHeight="1" x14ac:dyDescent="0.35">
      <c r="N494" s="366" t="s">
        <v>5400</v>
      </c>
      <c r="O494" s="389">
        <v>325026</v>
      </c>
      <c r="P494" s="421" t="str">
        <f>LEFT(Period,4)-3&amp;"Y"</f>
        <v>2011Y</v>
      </c>
      <c r="Q494" s="414" t="str">
        <f>[1]!SNLLabel(287,325026,,"&lt;&gt;358","Options:Curr=Reported currency,Mag=MIstandard,ConvMethod=MIrecommended")</f>
        <v>AR: Credit A&amp;H</v>
      </c>
      <c r="R494" s="366"/>
      <c r="S494" s="391" t="s">
        <v>29</v>
      </c>
    </row>
    <row r="495" spans="14:19" ht="11.25" customHeight="1" x14ac:dyDescent="0.35">
      <c r="N495" s="366" t="s">
        <v>5401</v>
      </c>
      <c r="O495" s="389">
        <v>325026</v>
      </c>
      <c r="P495" s="421" t="str">
        <f>LEFT(Period,4)-3&amp;"Y"</f>
        <v>2011Y</v>
      </c>
      <c r="Q495" s="414" t="str">
        <f>[1]!SNLLabel(287,325026,,"&lt;&gt;359","Options:Curr=Reported currency,Mag=MIstandard,ConvMethod=MIrecommended")</f>
        <v>AR: Other Health</v>
      </c>
      <c r="R495" s="366"/>
      <c r="S495" s="391" t="s">
        <v>29</v>
      </c>
    </row>
    <row r="496" spans="14:19" ht="11.25" customHeight="1" x14ac:dyDescent="0.35">
      <c r="N496" s="370" t="s">
        <v>5402</v>
      </c>
      <c r="O496" s="368">
        <v>325026</v>
      </c>
      <c r="P496" s="425" t="str">
        <f>LEFT(Period,4)-3&amp;"Y"</f>
        <v>2011Y</v>
      </c>
      <c r="Q496" s="415" t="str">
        <f>[1]!SNLLabel(287,325026,,"&lt;&gt;357","Options:Curr=Reported currency,Mag=MIstandard,ConvMethod=MIrecommended")</f>
        <v>AR: Total Accident and Health</v>
      </c>
      <c r="R496" s="370"/>
      <c r="S496" s="371" t="s">
        <v>29</v>
      </c>
    </row>
    <row r="497" spans="14:19" ht="11.25" customHeight="1" x14ac:dyDescent="0.35">
      <c r="N497" s="365" t="s">
        <v>5398</v>
      </c>
      <c r="O497" s="385">
        <v>325026</v>
      </c>
      <c r="P497" s="424" t="str">
        <f>LEFT(Period,4)-4&amp;"Y"</f>
        <v>2010Y</v>
      </c>
      <c r="Q497" s="413" t="str">
        <f>[1]!SNLLabel(287,325026,,"&lt;&gt;49","Options:Curr=Reported currency,Mag=MIstandard,ConvMethod=MIrecommended")</f>
        <v>AR: Cmprhsv (Hosp, Med) Ind</v>
      </c>
      <c r="R497" s="365"/>
      <c r="S497" s="387" t="s">
        <v>29</v>
      </c>
    </row>
    <row r="498" spans="14:19" ht="11.25" customHeight="1" x14ac:dyDescent="0.35">
      <c r="N498" s="366" t="s">
        <v>5399</v>
      </c>
      <c r="O498" s="389">
        <v>325026</v>
      </c>
      <c r="P498" s="421" t="str">
        <f>LEFT(Period,4)-4&amp;"Y"</f>
        <v>2010Y</v>
      </c>
      <c r="Q498" s="414" t="str">
        <f>[1]!SNLLabel(287,325026,,"&lt;&gt;50","Options:Curr=Reported currency,Mag=MIstandard,ConvMethod=MIrecommended")</f>
        <v>AR: Cmprhsv (Hosp, Med) Grp</v>
      </c>
      <c r="R498" s="366"/>
      <c r="S498" s="391" t="s">
        <v>29</v>
      </c>
    </row>
    <row r="499" spans="14:19" ht="11.25" customHeight="1" x14ac:dyDescent="0.35">
      <c r="N499" s="366" t="s">
        <v>5400</v>
      </c>
      <c r="O499" s="389">
        <v>325026</v>
      </c>
      <c r="P499" s="421" t="str">
        <f>LEFT(Period,4)-4&amp;"Y"</f>
        <v>2010Y</v>
      </c>
      <c r="Q499" s="414" t="str">
        <f>[1]!SNLLabel(287,325026,,"&lt;&gt;358","Options:Curr=Reported currency,Mag=MIstandard,ConvMethod=MIrecommended")</f>
        <v>AR: Credit A&amp;H</v>
      </c>
      <c r="R499" s="366"/>
      <c r="S499" s="391" t="s">
        <v>29</v>
      </c>
    </row>
    <row r="500" spans="14:19" ht="11.25" customHeight="1" x14ac:dyDescent="0.35">
      <c r="N500" s="366" t="s">
        <v>5401</v>
      </c>
      <c r="O500" s="389">
        <v>325026</v>
      </c>
      <c r="P500" s="421" t="str">
        <f>LEFT(Period,4)-4&amp;"Y"</f>
        <v>2010Y</v>
      </c>
      <c r="Q500" s="414" t="str">
        <f>[1]!SNLLabel(287,325026,,"&lt;&gt;359","Options:Curr=Reported currency,Mag=MIstandard,ConvMethod=MIrecommended")</f>
        <v>AR: Other Health</v>
      </c>
      <c r="R500" s="366"/>
      <c r="S500" s="391" t="s">
        <v>29</v>
      </c>
    </row>
    <row r="501" spans="14:19" ht="11.25" customHeight="1" x14ac:dyDescent="0.35">
      <c r="N501" s="370" t="s">
        <v>5402</v>
      </c>
      <c r="O501" s="368">
        <v>325026</v>
      </c>
      <c r="P501" s="425" t="str">
        <f>LEFT(Period,4)-4&amp;"Y"</f>
        <v>2010Y</v>
      </c>
      <c r="Q501" s="415" t="str">
        <f>[1]!SNLLabel(287,325026,,"&lt;&gt;357","Options:Curr=Reported currency,Mag=MIstandard,ConvMethod=MIrecommended")</f>
        <v>AR: Total Accident and Health</v>
      </c>
      <c r="R501" s="370"/>
      <c r="S501" s="371" t="s">
        <v>29</v>
      </c>
    </row>
    <row r="502" spans="14:19" ht="11.25" customHeight="1" x14ac:dyDescent="0.4">
      <c r="N502" s="427" t="s">
        <v>5524</v>
      </c>
      <c r="O502" s="416"/>
      <c r="P502" s="426"/>
      <c r="Q502" s="417"/>
      <c r="R502" s="382"/>
      <c r="S502" s="418"/>
    </row>
    <row r="503" spans="14:19" ht="11.25" customHeight="1" x14ac:dyDescent="0.35">
      <c r="N503" s="365" t="s">
        <v>5524</v>
      </c>
      <c r="O503" s="385">
        <v>325027</v>
      </c>
      <c r="P503" s="424" t="str">
        <f>Period</f>
        <v>2014Y</v>
      </c>
      <c r="Q503" s="413" t="str">
        <f>[1]!SNLLabel(287,325027,,"&lt;&gt;49","Options:Curr=Reported currency,Mag=MIstandard,ConvMethod=MIrecommended")</f>
        <v>AR: Cmprhsv (Hosp, Med) Ind</v>
      </c>
      <c r="R503" s="365"/>
      <c r="S503" s="387" t="s">
        <v>29</v>
      </c>
    </row>
    <row r="504" spans="14:19" ht="11.25" customHeight="1" x14ac:dyDescent="0.35">
      <c r="N504" s="366" t="s">
        <v>5524</v>
      </c>
      <c r="O504" s="389">
        <v>325027</v>
      </c>
      <c r="P504" s="421" t="str">
        <f>Period</f>
        <v>2014Y</v>
      </c>
      <c r="Q504" s="414" t="str">
        <f>[1]!SNLLabel(287,325027,,"&lt;&gt;50","Options:Curr=Reported currency,Mag=MIstandard,ConvMethod=MIrecommended")</f>
        <v>AR: Cmprhsv (Hosp, Med) Grp</v>
      </c>
      <c r="R504" s="366"/>
      <c r="S504" s="391" t="s">
        <v>29</v>
      </c>
    </row>
    <row r="505" spans="14:19" ht="11.25" customHeight="1" x14ac:dyDescent="0.35">
      <c r="N505" s="366" t="s">
        <v>5524</v>
      </c>
      <c r="O505" s="389">
        <v>325027</v>
      </c>
      <c r="P505" s="421" t="str">
        <f>Period</f>
        <v>2014Y</v>
      </c>
      <c r="Q505" s="414" t="str">
        <f>[1]!SNLLabel(287,325027,,"&lt;&gt;358","Options:Curr=Reported currency,Mag=MIstandard,ConvMethod=MIrecommended")</f>
        <v>AR: Credit A&amp;H</v>
      </c>
      <c r="R505" s="366"/>
      <c r="S505" s="391" t="s">
        <v>29</v>
      </c>
    </row>
    <row r="506" spans="14:19" ht="11.25" customHeight="1" x14ac:dyDescent="0.35">
      <c r="N506" s="366" t="s">
        <v>5524</v>
      </c>
      <c r="O506" s="389">
        <v>325027</v>
      </c>
      <c r="P506" s="421" t="str">
        <f>Period</f>
        <v>2014Y</v>
      </c>
      <c r="Q506" s="414" t="str">
        <f>[1]!SNLLabel(287,325027,,"&lt;&gt;359","Options:Curr=Reported currency,Mag=MIstandard,ConvMethod=MIrecommended")</f>
        <v>AR: Other Health</v>
      </c>
      <c r="R506" s="366"/>
      <c r="S506" s="391" t="s">
        <v>29</v>
      </c>
    </row>
    <row r="507" spans="14:19" ht="11.25" customHeight="1" x14ac:dyDescent="0.35">
      <c r="N507" s="370" t="s">
        <v>5524</v>
      </c>
      <c r="O507" s="368">
        <v>325027</v>
      </c>
      <c r="P507" s="425" t="str">
        <f>Period</f>
        <v>2014Y</v>
      </c>
      <c r="Q507" s="415" t="str">
        <f>[1]!SNLLabel(287,325027,,"&lt;&gt;357","Options:Curr=Reported currency,Mag=MIstandard,ConvMethod=MIrecommended")</f>
        <v>AR: Total Accident and Health</v>
      </c>
      <c r="R507" s="370"/>
      <c r="S507" s="371" t="s">
        <v>29</v>
      </c>
    </row>
    <row r="508" spans="14:19" ht="11.25" customHeight="1" x14ac:dyDescent="0.35">
      <c r="N508" s="365" t="s">
        <v>5524</v>
      </c>
      <c r="O508" s="385">
        <v>325027</v>
      </c>
      <c r="P508" s="424" t="str">
        <f>LEFT(Period,4)-1&amp;"Y"</f>
        <v>2013Y</v>
      </c>
      <c r="Q508" s="413" t="str">
        <f>[1]!SNLLabel(287,325027,,"&lt;&gt;49","Options:Curr=Reported currency,Mag=MIstandard,ConvMethod=MIrecommended")</f>
        <v>AR: Cmprhsv (Hosp, Med) Ind</v>
      </c>
      <c r="R508" s="365"/>
      <c r="S508" s="387" t="s">
        <v>29</v>
      </c>
    </row>
    <row r="509" spans="14:19" ht="11.25" customHeight="1" x14ac:dyDescent="0.35">
      <c r="N509" s="366" t="s">
        <v>5524</v>
      </c>
      <c r="O509" s="389">
        <v>325027</v>
      </c>
      <c r="P509" s="421" t="str">
        <f>LEFT(Period,4)-1&amp;"Y"</f>
        <v>2013Y</v>
      </c>
      <c r="Q509" s="414" t="str">
        <f>[1]!SNLLabel(287,325027,,"&lt;&gt;50","Options:Curr=Reported currency,Mag=MIstandard,ConvMethod=MIrecommended")</f>
        <v>AR: Cmprhsv (Hosp, Med) Grp</v>
      </c>
      <c r="R509" s="366"/>
      <c r="S509" s="391" t="s">
        <v>29</v>
      </c>
    </row>
    <row r="510" spans="14:19" ht="11.25" customHeight="1" x14ac:dyDescent="0.35">
      <c r="N510" s="366" t="s">
        <v>5524</v>
      </c>
      <c r="O510" s="389">
        <v>325027</v>
      </c>
      <c r="P510" s="421" t="str">
        <f>LEFT(Period,4)-1&amp;"Y"</f>
        <v>2013Y</v>
      </c>
      <c r="Q510" s="414" t="str">
        <f>[1]!SNLLabel(287,325027,,"&lt;&gt;358","Options:Curr=Reported currency,Mag=MIstandard,ConvMethod=MIrecommended")</f>
        <v>AR: Credit A&amp;H</v>
      </c>
      <c r="R510" s="366"/>
      <c r="S510" s="391" t="s">
        <v>29</v>
      </c>
    </row>
    <row r="511" spans="14:19" ht="11.25" customHeight="1" x14ac:dyDescent="0.35">
      <c r="N511" s="366" t="s">
        <v>5524</v>
      </c>
      <c r="O511" s="389">
        <v>325027</v>
      </c>
      <c r="P511" s="421" t="str">
        <f>LEFT(Period,4)-1&amp;"Y"</f>
        <v>2013Y</v>
      </c>
      <c r="Q511" s="414" t="str">
        <f>[1]!SNLLabel(287,325027,,"&lt;&gt;359","Options:Curr=Reported currency,Mag=MIstandard,ConvMethod=MIrecommended")</f>
        <v>AR: Other Health</v>
      </c>
      <c r="R511" s="366"/>
      <c r="S511" s="391" t="s">
        <v>29</v>
      </c>
    </row>
    <row r="512" spans="14:19" ht="11.25" customHeight="1" x14ac:dyDescent="0.35">
      <c r="N512" s="370" t="s">
        <v>5524</v>
      </c>
      <c r="O512" s="368">
        <v>325027</v>
      </c>
      <c r="P512" s="425" t="str">
        <f>LEFT(Period,4)-1&amp;"Y"</f>
        <v>2013Y</v>
      </c>
      <c r="Q512" s="415" t="str">
        <f>[1]!SNLLabel(287,325027,,"&lt;&gt;357","Options:Curr=Reported currency,Mag=MIstandard,ConvMethod=MIrecommended")</f>
        <v>AR: Total Accident and Health</v>
      </c>
      <c r="R512" s="370"/>
      <c r="S512" s="371" t="s">
        <v>29</v>
      </c>
    </row>
    <row r="513" spans="14:19" ht="11.25" customHeight="1" x14ac:dyDescent="0.35">
      <c r="N513" s="365" t="s">
        <v>5524</v>
      </c>
      <c r="O513" s="385">
        <v>325027</v>
      </c>
      <c r="P513" s="424" t="str">
        <f>LEFT(Period,4)-2&amp;"Y"</f>
        <v>2012Y</v>
      </c>
      <c r="Q513" s="413" t="str">
        <f>[1]!SNLLabel(287,325027,,"&lt;&gt;49","Options:Curr=Reported currency,Mag=MIstandard,ConvMethod=MIrecommended")</f>
        <v>AR: Cmprhsv (Hosp, Med) Ind</v>
      </c>
      <c r="R513" s="365"/>
      <c r="S513" s="387" t="s">
        <v>29</v>
      </c>
    </row>
    <row r="514" spans="14:19" ht="11.25" customHeight="1" x14ac:dyDescent="0.35">
      <c r="N514" s="366" t="s">
        <v>5524</v>
      </c>
      <c r="O514" s="389">
        <v>325027</v>
      </c>
      <c r="P514" s="421" t="str">
        <f>LEFT(Period,4)-2&amp;"Y"</f>
        <v>2012Y</v>
      </c>
      <c r="Q514" s="414" t="str">
        <f>[1]!SNLLabel(287,325027,,"&lt;&gt;50","Options:Curr=Reported currency,Mag=MIstandard,ConvMethod=MIrecommended")</f>
        <v>AR: Cmprhsv (Hosp, Med) Grp</v>
      </c>
      <c r="R514" s="366"/>
      <c r="S514" s="391" t="s">
        <v>29</v>
      </c>
    </row>
    <row r="515" spans="14:19" ht="11.25" customHeight="1" x14ac:dyDescent="0.35">
      <c r="N515" s="366" t="s">
        <v>5524</v>
      </c>
      <c r="O515" s="389">
        <v>325027</v>
      </c>
      <c r="P515" s="421" t="str">
        <f>LEFT(Period,4)-2&amp;"Y"</f>
        <v>2012Y</v>
      </c>
      <c r="Q515" s="414" t="str">
        <f>[1]!SNLLabel(287,325027,,"&lt;&gt;358","Options:Curr=Reported currency,Mag=MIstandard,ConvMethod=MIrecommended")</f>
        <v>AR: Credit A&amp;H</v>
      </c>
      <c r="R515" s="366"/>
      <c r="S515" s="391" t="s">
        <v>29</v>
      </c>
    </row>
    <row r="516" spans="14:19" ht="11.25" customHeight="1" x14ac:dyDescent="0.35">
      <c r="N516" s="366" t="s">
        <v>5524</v>
      </c>
      <c r="O516" s="389">
        <v>325027</v>
      </c>
      <c r="P516" s="421" t="str">
        <f>LEFT(Period,4)-2&amp;"Y"</f>
        <v>2012Y</v>
      </c>
      <c r="Q516" s="414" t="str">
        <f>[1]!SNLLabel(287,325027,,"&lt;&gt;359","Options:Curr=Reported currency,Mag=MIstandard,ConvMethod=MIrecommended")</f>
        <v>AR: Other Health</v>
      </c>
      <c r="R516" s="366"/>
      <c r="S516" s="391" t="s">
        <v>29</v>
      </c>
    </row>
    <row r="517" spans="14:19" ht="11.25" customHeight="1" x14ac:dyDescent="0.35">
      <c r="N517" s="370" t="s">
        <v>5524</v>
      </c>
      <c r="O517" s="368">
        <v>325027</v>
      </c>
      <c r="P517" s="425" t="str">
        <f>LEFT(Period,4)-2&amp;"Y"</f>
        <v>2012Y</v>
      </c>
      <c r="Q517" s="415" t="str">
        <f>[1]!SNLLabel(287,325027,,"&lt;&gt;357","Options:Curr=Reported currency,Mag=MIstandard,ConvMethod=MIrecommended")</f>
        <v>AR: Total Accident and Health</v>
      </c>
      <c r="R517" s="370"/>
      <c r="S517" s="371" t="s">
        <v>29</v>
      </c>
    </row>
    <row r="518" spans="14:19" ht="11.25" customHeight="1" x14ac:dyDescent="0.35">
      <c r="N518" s="365" t="s">
        <v>5524</v>
      </c>
      <c r="O518" s="385">
        <v>325027</v>
      </c>
      <c r="P518" s="424" t="str">
        <f>LEFT(Period,4)-3&amp;"Y"</f>
        <v>2011Y</v>
      </c>
      <c r="Q518" s="413" t="str">
        <f>[1]!SNLLabel(287,325027,,"&lt;&gt;49","Options:Curr=Reported currency,Mag=MIstandard,ConvMethod=MIrecommended")</f>
        <v>AR: Cmprhsv (Hosp, Med) Ind</v>
      </c>
      <c r="R518" s="365"/>
      <c r="S518" s="387" t="s">
        <v>29</v>
      </c>
    </row>
    <row r="519" spans="14:19" ht="11.25" customHeight="1" x14ac:dyDescent="0.35">
      <c r="N519" s="366" t="s">
        <v>5524</v>
      </c>
      <c r="O519" s="389">
        <v>325027</v>
      </c>
      <c r="P519" s="421" t="str">
        <f>LEFT(Period,4)-3&amp;"Y"</f>
        <v>2011Y</v>
      </c>
      <c r="Q519" s="414" t="str">
        <f>[1]!SNLLabel(287,325027,,"&lt;&gt;50","Options:Curr=Reported currency,Mag=MIstandard,ConvMethod=MIrecommended")</f>
        <v>AR: Cmprhsv (Hosp, Med) Grp</v>
      </c>
      <c r="R519" s="366"/>
      <c r="S519" s="391" t="s">
        <v>29</v>
      </c>
    </row>
    <row r="520" spans="14:19" ht="11.25" customHeight="1" x14ac:dyDescent="0.35">
      <c r="N520" s="366" t="s">
        <v>5524</v>
      </c>
      <c r="O520" s="389">
        <v>325027</v>
      </c>
      <c r="P520" s="421" t="str">
        <f>LEFT(Period,4)-3&amp;"Y"</f>
        <v>2011Y</v>
      </c>
      <c r="Q520" s="414" t="str">
        <f>[1]!SNLLabel(287,325027,,"&lt;&gt;358","Options:Curr=Reported currency,Mag=MIstandard,ConvMethod=MIrecommended")</f>
        <v>AR: Credit A&amp;H</v>
      </c>
      <c r="R520" s="366"/>
      <c r="S520" s="391" t="s">
        <v>29</v>
      </c>
    </row>
    <row r="521" spans="14:19" ht="11.25" customHeight="1" x14ac:dyDescent="0.35">
      <c r="N521" s="366" t="s">
        <v>5524</v>
      </c>
      <c r="O521" s="389">
        <v>325027</v>
      </c>
      <c r="P521" s="421" t="str">
        <f>LEFT(Period,4)-3&amp;"Y"</f>
        <v>2011Y</v>
      </c>
      <c r="Q521" s="414" t="str">
        <f>[1]!SNLLabel(287,325027,,"&lt;&gt;359","Options:Curr=Reported currency,Mag=MIstandard,ConvMethod=MIrecommended")</f>
        <v>AR: Other Health</v>
      </c>
      <c r="R521" s="366"/>
      <c r="S521" s="391" t="s">
        <v>29</v>
      </c>
    </row>
    <row r="522" spans="14:19" ht="11.25" customHeight="1" x14ac:dyDescent="0.35">
      <c r="N522" s="370" t="s">
        <v>5524</v>
      </c>
      <c r="O522" s="368">
        <v>325027</v>
      </c>
      <c r="P522" s="425" t="str">
        <f>LEFT(Period,4)-3&amp;"Y"</f>
        <v>2011Y</v>
      </c>
      <c r="Q522" s="415" t="str">
        <f>[1]!SNLLabel(287,325027,,"&lt;&gt;357","Options:Curr=Reported currency,Mag=MIstandard,ConvMethod=MIrecommended")</f>
        <v>AR: Total Accident and Health</v>
      </c>
      <c r="R522" s="370"/>
      <c r="S522" s="371" t="s">
        <v>29</v>
      </c>
    </row>
    <row r="523" spans="14:19" ht="11.25" customHeight="1" x14ac:dyDescent="0.35">
      <c r="N523" s="365" t="s">
        <v>5524</v>
      </c>
      <c r="O523" s="385">
        <v>325027</v>
      </c>
      <c r="P523" s="424" t="str">
        <f>LEFT(Period,4)-4&amp;"Y"</f>
        <v>2010Y</v>
      </c>
      <c r="Q523" s="413" t="str">
        <f>[1]!SNLLabel(287,325027,,"&lt;&gt;49","Options:Curr=Reported currency,Mag=MIstandard,ConvMethod=MIrecommended")</f>
        <v>AR: Cmprhsv (Hosp, Med) Ind</v>
      </c>
      <c r="R523" s="365"/>
      <c r="S523" s="387" t="s">
        <v>29</v>
      </c>
    </row>
    <row r="524" spans="14:19" ht="11.25" customHeight="1" x14ac:dyDescent="0.35">
      <c r="N524" s="366" t="s">
        <v>5524</v>
      </c>
      <c r="O524" s="389">
        <v>325027</v>
      </c>
      <c r="P524" s="421" t="str">
        <f>LEFT(Period,4)-4&amp;"Y"</f>
        <v>2010Y</v>
      </c>
      <c r="Q524" s="414" t="str">
        <f>[1]!SNLLabel(287,325027,,"&lt;&gt;50","Options:Curr=Reported currency,Mag=MIstandard,ConvMethod=MIrecommended")</f>
        <v>AR: Cmprhsv (Hosp, Med) Grp</v>
      </c>
      <c r="R524" s="366"/>
      <c r="S524" s="391" t="s">
        <v>29</v>
      </c>
    </row>
    <row r="525" spans="14:19" ht="11.25" customHeight="1" x14ac:dyDescent="0.35">
      <c r="N525" s="366" t="s">
        <v>5524</v>
      </c>
      <c r="O525" s="389">
        <v>325027</v>
      </c>
      <c r="P525" s="421" t="str">
        <f>LEFT(Period,4)-4&amp;"Y"</f>
        <v>2010Y</v>
      </c>
      <c r="Q525" s="414" t="str">
        <f>[1]!SNLLabel(287,325027,,"&lt;&gt;358","Options:Curr=Reported currency,Mag=MIstandard,ConvMethod=MIrecommended")</f>
        <v>AR: Credit A&amp;H</v>
      </c>
      <c r="R525" s="366"/>
      <c r="S525" s="391" t="s">
        <v>29</v>
      </c>
    </row>
    <row r="526" spans="14:19" ht="11.25" customHeight="1" x14ac:dyDescent="0.35">
      <c r="N526" s="366" t="s">
        <v>5524</v>
      </c>
      <c r="O526" s="389">
        <v>325027</v>
      </c>
      <c r="P526" s="421" t="str">
        <f>LEFT(Period,4)-4&amp;"Y"</f>
        <v>2010Y</v>
      </c>
      <c r="Q526" s="414" t="str">
        <f>[1]!SNLLabel(287,325027,,"&lt;&gt;359","Options:Curr=Reported currency,Mag=MIstandard,ConvMethod=MIrecommended")</f>
        <v>AR: Other Health</v>
      </c>
      <c r="R526" s="366"/>
      <c r="S526" s="391" t="s">
        <v>29</v>
      </c>
    </row>
    <row r="527" spans="14:19" ht="11.25" customHeight="1" x14ac:dyDescent="0.35">
      <c r="N527" s="370" t="s">
        <v>5524</v>
      </c>
      <c r="O527" s="368">
        <v>325027</v>
      </c>
      <c r="P527" s="425" t="str">
        <f>LEFT(Period,4)-4&amp;"Y"</f>
        <v>2010Y</v>
      </c>
      <c r="Q527" s="415" t="str">
        <f>[1]!SNLLabel(287,325027,,"&lt;&gt;357","Options:Curr=Reported currency,Mag=MIstandard,ConvMethod=MIrecommended")</f>
        <v>AR: Total Accident and Health</v>
      </c>
      <c r="R527" s="370"/>
      <c r="S527" s="371" t="s">
        <v>29</v>
      </c>
    </row>
    <row r="528" spans="14:19" ht="11.25" customHeight="1" x14ac:dyDescent="0.4">
      <c r="N528" s="427" t="s">
        <v>5526</v>
      </c>
      <c r="O528" s="416"/>
      <c r="P528" s="426"/>
      <c r="Q528" s="417"/>
      <c r="R528" s="382"/>
      <c r="S528" s="418"/>
    </row>
    <row r="529" spans="14:19" ht="11.25" customHeight="1" x14ac:dyDescent="0.35">
      <c r="N529" s="365" t="s">
        <v>5526</v>
      </c>
      <c r="O529" s="385" t="s">
        <v>5525</v>
      </c>
      <c r="P529" s="424" t="str">
        <f>Period</f>
        <v>2014Y</v>
      </c>
      <c r="Q529" s="413" t="str">
        <f>[1]!SNLLabel(287,325027,,"&lt;&gt;49","Options:Curr=Reported currency,Mag=MIstandard,ConvMethod=MIrecommended")</f>
        <v>AR: Cmprhsv (Hosp, Med) Ind</v>
      </c>
      <c r="R529" s="365"/>
      <c r="S529" s="387" t="s">
        <v>29</v>
      </c>
    </row>
    <row r="530" spans="14:19" ht="11.25" customHeight="1" x14ac:dyDescent="0.35">
      <c r="N530" s="366" t="s">
        <v>5526</v>
      </c>
      <c r="O530" s="389" t="s">
        <v>5525</v>
      </c>
      <c r="P530" s="421" t="str">
        <f>Period</f>
        <v>2014Y</v>
      </c>
      <c r="Q530" s="414" t="str">
        <f>[1]!SNLLabel(287,325027,,"&lt;&gt;50","Options:Curr=Reported currency,Mag=MIstandard,ConvMethod=MIrecommended")</f>
        <v>AR: Cmprhsv (Hosp, Med) Grp</v>
      </c>
      <c r="R530" s="366"/>
      <c r="S530" s="391" t="s">
        <v>29</v>
      </c>
    </row>
    <row r="531" spans="14:19" ht="11.25" customHeight="1" x14ac:dyDescent="0.35">
      <c r="N531" s="366" t="s">
        <v>5526</v>
      </c>
      <c r="O531" s="389" t="s">
        <v>5525</v>
      </c>
      <c r="P531" s="421" t="str">
        <f>Period</f>
        <v>2014Y</v>
      </c>
      <c r="Q531" s="414" t="str">
        <f>[1]!SNLLabel(287,325027,,"&lt;&gt;358","Options:Curr=Reported currency,Mag=MIstandard,ConvMethod=MIrecommended")</f>
        <v>AR: Credit A&amp;H</v>
      </c>
      <c r="R531" s="366"/>
      <c r="S531" s="391" t="s">
        <v>29</v>
      </c>
    </row>
    <row r="532" spans="14:19" ht="11.25" customHeight="1" x14ac:dyDescent="0.35">
      <c r="N532" s="366" t="s">
        <v>5526</v>
      </c>
      <c r="O532" s="389" t="s">
        <v>5525</v>
      </c>
      <c r="P532" s="421" t="str">
        <f>Period</f>
        <v>2014Y</v>
      </c>
      <c r="Q532" s="414" t="str">
        <f>[1]!SNLLabel(287,325027,,"&lt;&gt;359","Options:Curr=Reported currency,Mag=MIstandard,ConvMethod=MIrecommended")</f>
        <v>AR: Other Health</v>
      </c>
      <c r="R532" s="366"/>
      <c r="S532" s="391" t="s">
        <v>29</v>
      </c>
    </row>
    <row r="533" spans="14:19" ht="11.25" customHeight="1" x14ac:dyDescent="0.35">
      <c r="N533" s="370" t="s">
        <v>5526</v>
      </c>
      <c r="O533" s="368" t="s">
        <v>5525</v>
      </c>
      <c r="P533" s="425" t="str">
        <f>Period</f>
        <v>2014Y</v>
      </c>
      <c r="Q533" s="415" t="str">
        <f>[1]!SNLLabel(287,325027,,"&lt;&gt;357","Options:Curr=Reported currency,Mag=MIstandard,ConvMethod=MIrecommended")</f>
        <v>AR: Total Accident and Health</v>
      </c>
      <c r="R533" s="370"/>
      <c r="S533" s="371" t="s">
        <v>29</v>
      </c>
    </row>
    <row r="534" spans="14:19" ht="11.25" customHeight="1" x14ac:dyDescent="0.35">
      <c r="N534" s="365" t="s">
        <v>5526</v>
      </c>
      <c r="O534" s="385" t="s">
        <v>5525</v>
      </c>
      <c r="P534" s="424" t="str">
        <f>LEFT(Period,4)-1&amp;"Y"</f>
        <v>2013Y</v>
      </c>
      <c r="Q534" s="413" t="str">
        <f>[1]!SNLLabel(287,325027,,"&lt;&gt;49","Options:Curr=Reported currency,Mag=MIstandard,ConvMethod=MIrecommended")</f>
        <v>AR: Cmprhsv (Hosp, Med) Ind</v>
      </c>
      <c r="R534" s="365"/>
      <c r="S534" s="387" t="s">
        <v>29</v>
      </c>
    </row>
    <row r="535" spans="14:19" ht="11.25" customHeight="1" x14ac:dyDescent="0.35">
      <c r="N535" s="366" t="s">
        <v>5526</v>
      </c>
      <c r="O535" s="389" t="s">
        <v>5525</v>
      </c>
      <c r="P535" s="421" t="str">
        <f>LEFT(Period,4)-1&amp;"Y"</f>
        <v>2013Y</v>
      </c>
      <c r="Q535" s="414" t="str">
        <f>[1]!SNLLabel(287,325027,,"&lt;&gt;50","Options:Curr=Reported currency,Mag=MIstandard,ConvMethod=MIrecommended")</f>
        <v>AR: Cmprhsv (Hosp, Med) Grp</v>
      </c>
      <c r="R535" s="366"/>
      <c r="S535" s="391" t="s">
        <v>29</v>
      </c>
    </row>
    <row r="536" spans="14:19" ht="11.25" customHeight="1" x14ac:dyDescent="0.35">
      <c r="N536" s="366" t="s">
        <v>5526</v>
      </c>
      <c r="O536" s="389" t="s">
        <v>5525</v>
      </c>
      <c r="P536" s="421" t="str">
        <f>LEFT(Period,4)-1&amp;"Y"</f>
        <v>2013Y</v>
      </c>
      <c r="Q536" s="414" t="str">
        <f>[1]!SNLLabel(287,325027,,"&lt;&gt;358","Options:Curr=Reported currency,Mag=MIstandard,ConvMethod=MIrecommended")</f>
        <v>AR: Credit A&amp;H</v>
      </c>
      <c r="R536" s="366"/>
      <c r="S536" s="391" t="s">
        <v>29</v>
      </c>
    </row>
    <row r="537" spans="14:19" ht="11.25" customHeight="1" x14ac:dyDescent="0.35">
      <c r="N537" s="366" t="s">
        <v>5526</v>
      </c>
      <c r="O537" s="389" t="s">
        <v>5525</v>
      </c>
      <c r="P537" s="421" t="str">
        <f>LEFT(Period,4)-1&amp;"Y"</f>
        <v>2013Y</v>
      </c>
      <c r="Q537" s="414" t="str">
        <f>[1]!SNLLabel(287,325027,,"&lt;&gt;359","Options:Curr=Reported currency,Mag=MIstandard,ConvMethod=MIrecommended")</f>
        <v>AR: Other Health</v>
      </c>
      <c r="R537" s="366"/>
      <c r="S537" s="391" t="s">
        <v>29</v>
      </c>
    </row>
    <row r="538" spans="14:19" ht="11.25" customHeight="1" x14ac:dyDescent="0.35">
      <c r="N538" s="370" t="s">
        <v>5526</v>
      </c>
      <c r="O538" s="368" t="s">
        <v>5525</v>
      </c>
      <c r="P538" s="425" t="str">
        <f>LEFT(Period,4)-1&amp;"Y"</f>
        <v>2013Y</v>
      </c>
      <c r="Q538" s="415" t="str">
        <f>[1]!SNLLabel(287,325027,,"&lt;&gt;357","Options:Curr=Reported currency,Mag=MIstandard,ConvMethod=MIrecommended")</f>
        <v>AR: Total Accident and Health</v>
      </c>
      <c r="R538" s="370"/>
      <c r="S538" s="371" t="s">
        <v>29</v>
      </c>
    </row>
    <row r="539" spans="14:19" ht="11.25" customHeight="1" x14ac:dyDescent="0.35">
      <c r="N539" s="365" t="s">
        <v>5526</v>
      </c>
      <c r="O539" s="385" t="s">
        <v>5525</v>
      </c>
      <c r="P539" s="424" t="str">
        <f>LEFT(Period,4)-2&amp;"Y"</f>
        <v>2012Y</v>
      </c>
      <c r="Q539" s="413" t="str">
        <f>[1]!SNLLabel(287,325027,,"&lt;&gt;49","Options:Curr=Reported currency,Mag=MIstandard,ConvMethod=MIrecommended")</f>
        <v>AR: Cmprhsv (Hosp, Med) Ind</v>
      </c>
      <c r="R539" s="365"/>
      <c r="S539" s="387" t="s">
        <v>29</v>
      </c>
    </row>
    <row r="540" spans="14:19" ht="11.25" customHeight="1" x14ac:dyDescent="0.35">
      <c r="N540" s="366" t="s">
        <v>5526</v>
      </c>
      <c r="O540" s="389" t="s">
        <v>5525</v>
      </c>
      <c r="P540" s="421" t="str">
        <f>LEFT(Period,4)-2&amp;"Y"</f>
        <v>2012Y</v>
      </c>
      <c r="Q540" s="414" t="str">
        <f>[1]!SNLLabel(287,325027,,"&lt;&gt;50","Options:Curr=Reported currency,Mag=MIstandard,ConvMethod=MIrecommended")</f>
        <v>AR: Cmprhsv (Hosp, Med) Grp</v>
      </c>
      <c r="R540" s="366"/>
      <c r="S540" s="391" t="s">
        <v>29</v>
      </c>
    </row>
    <row r="541" spans="14:19" ht="11.25" customHeight="1" x14ac:dyDescent="0.35">
      <c r="N541" s="366" t="s">
        <v>5526</v>
      </c>
      <c r="O541" s="389" t="s">
        <v>5525</v>
      </c>
      <c r="P541" s="421" t="str">
        <f>LEFT(Period,4)-2&amp;"Y"</f>
        <v>2012Y</v>
      </c>
      <c r="Q541" s="414" t="str">
        <f>[1]!SNLLabel(287,325027,,"&lt;&gt;358","Options:Curr=Reported currency,Mag=MIstandard,ConvMethod=MIrecommended")</f>
        <v>AR: Credit A&amp;H</v>
      </c>
      <c r="R541" s="366"/>
      <c r="S541" s="391" t="s">
        <v>29</v>
      </c>
    </row>
    <row r="542" spans="14:19" ht="11.25" customHeight="1" x14ac:dyDescent="0.35">
      <c r="N542" s="366" t="s">
        <v>5526</v>
      </c>
      <c r="O542" s="389" t="s">
        <v>5525</v>
      </c>
      <c r="P542" s="421" t="str">
        <f>LEFT(Period,4)-2&amp;"Y"</f>
        <v>2012Y</v>
      </c>
      <c r="Q542" s="414" t="str">
        <f>[1]!SNLLabel(287,325027,,"&lt;&gt;359","Options:Curr=Reported currency,Mag=MIstandard,ConvMethod=MIrecommended")</f>
        <v>AR: Other Health</v>
      </c>
      <c r="R542" s="366"/>
      <c r="S542" s="391" t="s">
        <v>29</v>
      </c>
    </row>
    <row r="543" spans="14:19" ht="11.25" customHeight="1" x14ac:dyDescent="0.35">
      <c r="N543" s="370" t="s">
        <v>5526</v>
      </c>
      <c r="O543" s="368" t="s">
        <v>5525</v>
      </c>
      <c r="P543" s="425" t="str">
        <f>LEFT(Period,4)-2&amp;"Y"</f>
        <v>2012Y</v>
      </c>
      <c r="Q543" s="415" t="str">
        <f>[1]!SNLLabel(287,325027,,"&lt;&gt;357","Options:Curr=Reported currency,Mag=MIstandard,ConvMethod=MIrecommended")</f>
        <v>AR: Total Accident and Health</v>
      </c>
      <c r="R543" s="370"/>
      <c r="S543" s="371" t="s">
        <v>29</v>
      </c>
    </row>
    <row r="544" spans="14:19" ht="11.25" customHeight="1" x14ac:dyDescent="0.35">
      <c r="N544" s="365" t="s">
        <v>5526</v>
      </c>
      <c r="O544" s="385" t="s">
        <v>5525</v>
      </c>
      <c r="P544" s="424" t="str">
        <f>LEFT(Period,4)-3&amp;"Y"</f>
        <v>2011Y</v>
      </c>
      <c r="Q544" s="413" t="str">
        <f>[1]!SNLLabel(287,325027,,"&lt;&gt;49","Options:Curr=Reported currency,Mag=MIstandard,ConvMethod=MIrecommended")</f>
        <v>AR: Cmprhsv (Hosp, Med) Ind</v>
      </c>
      <c r="R544" s="365"/>
      <c r="S544" s="387" t="s">
        <v>29</v>
      </c>
    </row>
    <row r="545" spans="14:19" ht="11.25" customHeight="1" x14ac:dyDescent="0.35">
      <c r="N545" s="366" t="s">
        <v>5526</v>
      </c>
      <c r="O545" s="389" t="s">
        <v>5525</v>
      </c>
      <c r="P545" s="421" t="str">
        <f>LEFT(Period,4)-3&amp;"Y"</f>
        <v>2011Y</v>
      </c>
      <c r="Q545" s="414" t="str">
        <f>[1]!SNLLabel(287,325027,,"&lt;&gt;50","Options:Curr=Reported currency,Mag=MIstandard,ConvMethod=MIrecommended")</f>
        <v>AR: Cmprhsv (Hosp, Med) Grp</v>
      </c>
      <c r="R545" s="366"/>
      <c r="S545" s="391" t="s">
        <v>29</v>
      </c>
    </row>
    <row r="546" spans="14:19" ht="11.25" customHeight="1" x14ac:dyDescent="0.35">
      <c r="N546" s="366" t="s">
        <v>5526</v>
      </c>
      <c r="O546" s="389" t="s">
        <v>5525</v>
      </c>
      <c r="P546" s="421" t="str">
        <f>LEFT(Period,4)-3&amp;"Y"</f>
        <v>2011Y</v>
      </c>
      <c r="Q546" s="414" t="str">
        <f>[1]!SNLLabel(287,325027,,"&lt;&gt;358","Options:Curr=Reported currency,Mag=MIstandard,ConvMethod=MIrecommended")</f>
        <v>AR: Credit A&amp;H</v>
      </c>
      <c r="R546" s="366"/>
      <c r="S546" s="391" t="s">
        <v>29</v>
      </c>
    </row>
    <row r="547" spans="14:19" ht="11.25" customHeight="1" x14ac:dyDescent="0.35">
      <c r="N547" s="366" t="s">
        <v>5526</v>
      </c>
      <c r="O547" s="389" t="s">
        <v>5525</v>
      </c>
      <c r="P547" s="421" t="str">
        <f>LEFT(Period,4)-3&amp;"Y"</f>
        <v>2011Y</v>
      </c>
      <c r="Q547" s="414" t="str">
        <f>[1]!SNLLabel(287,325027,,"&lt;&gt;359","Options:Curr=Reported currency,Mag=MIstandard,ConvMethod=MIrecommended")</f>
        <v>AR: Other Health</v>
      </c>
      <c r="R547" s="366"/>
      <c r="S547" s="391" t="s">
        <v>29</v>
      </c>
    </row>
    <row r="548" spans="14:19" ht="11.25" customHeight="1" x14ac:dyDescent="0.35">
      <c r="N548" s="370" t="s">
        <v>5526</v>
      </c>
      <c r="O548" s="368" t="s">
        <v>5525</v>
      </c>
      <c r="P548" s="425" t="str">
        <f>LEFT(Period,4)-3&amp;"Y"</f>
        <v>2011Y</v>
      </c>
      <c r="Q548" s="415" t="str">
        <f>[1]!SNLLabel(287,325027,,"&lt;&gt;357","Options:Curr=Reported currency,Mag=MIstandard,ConvMethod=MIrecommended")</f>
        <v>AR: Total Accident and Health</v>
      </c>
      <c r="R548" s="370"/>
      <c r="S548" s="371" t="s">
        <v>29</v>
      </c>
    </row>
    <row r="549" spans="14:19" ht="11.25" customHeight="1" x14ac:dyDescent="0.35">
      <c r="N549" s="365" t="s">
        <v>5526</v>
      </c>
      <c r="O549" s="385" t="s">
        <v>5525</v>
      </c>
      <c r="P549" s="424" t="str">
        <f>LEFT(Period,4)-4&amp;"Y"</f>
        <v>2010Y</v>
      </c>
      <c r="Q549" s="413" t="str">
        <f>[1]!SNLLabel(287,325027,,"&lt;&gt;49","Options:Curr=Reported currency,Mag=MIstandard,ConvMethod=MIrecommended")</f>
        <v>AR: Cmprhsv (Hosp, Med) Ind</v>
      </c>
      <c r="R549" s="365"/>
      <c r="S549" s="387" t="s">
        <v>29</v>
      </c>
    </row>
    <row r="550" spans="14:19" ht="11.25" customHeight="1" x14ac:dyDescent="0.35">
      <c r="N550" s="366" t="s">
        <v>5526</v>
      </c>
      <c r="O550" s="389" t="s">
        <v>5525</v>
      </c>
      <c r="P550" s="421" t="str">
        <f>LEFT(Period,4)-4&amp;"Y"</f>
        <v>2010Y</v>
      </c>
      <c r="Q550" s="414" t="str">
        <f>[1]!SNLLabel(287,325027,,"&lt;&gt;50","Options:Curr=Reported currency,Mag=MIstandard,ConvMethod=MIrecommended")</f>
        <v>AR: Cmprhsv (Hosp, Med) Grp</v>
      </c>
      <c r="R550" s="366"/>
      <c r="S550" s="391" t="s">
        <v>29</v>
      </c>
    </row>
    <row r="551" spans="14:19" ht="11.25" customHeight="1" x14ac:dyDescent="0.35">
      <c r="N551" s="366" t="s">
        <v>5526</v>
      </c>
      <c r="O551" s="389" t="s">
        <v>5525</v>
      </c>
      <c r="P551" s="421" t="str">
        <f>LEFT(Period,4)-4&amp;"Y"</f>
        <v>2010Y</v>
      </c>
      <c r="Q551" s="414" t="str">
        <f>[1]!SNLLabel(287,325027,,"&lt;&gt;358","Options:Curr=Reported currency,Mag=MIstandard,ConvMethod=MIrecommended")</f>
        <v>AR: Credit A&amp;H</v>
      </c>
      <c r="R551" s="366"/>
      <c r="S551" s="391" t="s">
        <v>29</v>
      </c>
    </row>
    <row r="552" spans="14:19" ht="11.25" customHeight="1" x14ac:dyDescent="0.35">
      <c r="N552" s="366" t="s">
        <v>5526</v>
      </c>
      <c r="O552" s="389" t="s">
        <v>5525</v>
      </c>
      <c r="P552" s="421" t="str">
        <f>LEFT(Period,4)-4&amp;"Y"</f>
        <v>2010Y</v>
      </c>
      <c r="Q552" s="414" t="str">
        <f>[1]!SNLLabel(287,325027,,"&lt;&gt;359","Options:Curr=Reported currency,Mag=MIstandard,ConvMethod=MIrecommended")</f>
        <v>AR: Other Health</v>
      </c>
      <c r="R552" s="366"/>
      <c r="S552" s="391" t="s">
        <v>29</v>
      </c>
    </row>
    <row r="553" spans="14:19" ht="11.25" customHeight="1" x14ac:dyDescent="0.35">
      <c r="N553" s="370" t="s">
        <v>5526</v>
      </c>
      <c r="O553" s="368" t="s">
        <v>5525</v>
      </c>
      <c r="P553" s="425" t="str">
        <f>LEFT(Period,4)-4&amp;"Y"</f>
        <v>2010Y</v>
      </c>
      <c r="Q553" s="415" t="str">
        <f>[1]!SNLLabel(287,325027,,"&lt;&gt;357","Options:Curr=Reported currency,Mag=MIstandard,ConvMethod=MIrecommended")</f>
        <v>AR: Total Accident and Health</v>
      </c>
      <c r="R553" s="370"/>
      <c r="S553" s="371" t="s">
        <v>29</v>
      </c>
    </row>
    <row r="554" spans="14:19" ht="11.25" customHeight="1" x14ac:dyDescent="0.4">
      <c r="N554" s="427" t="s">
        <v>5530</v>
      </c>
      <c r="O554" s="416"/>
      <c r="P554" s="426"/>
      <c r="Q554" s="417"/>
      <c r="R554" s="382"/>
      <c r="S554" s="418"/>
    </row>
    <row r="555" spans="14:19" ht="11.25" customHeight="1" x14ac:dyDescent="0.35">
      <c r="N555" s="365" t="s">
        <v>5530</v>
      </c>
      <c r="O555" s="385" t="s">
        <v>5527</v>
      </c>
      <c r="P555" s="424" t="str">
        <f>Period</f>
        <v>2014Y</v>
      </c>
      <c r="Q555" s="413" t="str">
        <f>[1]!SNLLabel(287,325027,,"&lt;&gt;49","Options:Curr=Reported currency,Mag=MIstandard,ConvMethod=MIrecommended")</f>
        <v>AR: Cmprhsv (Hosp, Med) Ind</v>
      </c>
      <c r="R555" s="365"/>
      <c r="S555" s="387" t="s">
        <v>29</v>
      </c>
    </row>
    <row r="556" spans="14:19" ht="11.25" customHeight="1" x14ac:dyDescent="0.35">
      <c r="N556" s="366" t="s">
        <v>5530</v>
      </c>
      <c r="O556" s="389" t="s">
        <v>5527</v>
      </c>
      <c r="P556" s="421" t="str">
        <f>Period</f>
        <v>2014Y</v>
      </c>
      <c r="Q556" s="414" t="str">
        <f>[1]!SNLLabel(287,325027,,"&lt;&gt;50","Options:Curr=Reported currency,Mag=MIstandard,ConvMethod=MIrecommended")</f>
        <v>AR: Cmprhsv (Hosp, Med) Grp</v>
      </c>
      <c r="R556" s="366"/>
      <c r="S556" s="391" t="s">
        <v>29</v>
      </c>
    </row>
    <row r="557" spans="14:19" ht="11.25" customHeight="1" x14ac:dyDescent="0.35">
      <c r="N557" s="366" t="s">
        <v>5530</v>
      </c>
      <c r="O557" s="389" t="s">
        <v>5527</v>
      </c>
      <c r="P557" s="421" t="str">
        <f>Period</f>
        <v>2014Y</v>
      </c>
      <c r="Q557" s="414" t="str">
        <f>[1]!SNLLabel(287,325027,,"&lt;&gt;358","Options:Curr=Reported currency,Mag=MIstandard,ConvMethod=MIrecommended")</f>
        <v>AR: Credit A&amp;H</v>
      </c>
      <c r="R557" s="366"/>
      <c r="S557" s="391" t="s">
        <v>29</v>
      </c>
    </row>
    <row r="558" spans="14:19" ht="11.25" customHeight="1" x14ac:dyDescent="0.35">
      <c r="N558" s="366" t="s">
        <v>5530</v>
      </c>
      <c r="O558" s="389" t="s">
        <v>5527</v>
      </c>
      <c r="P558" s="421" t="str">
        <f>Period</f>
        <v>2014Y</v>
      </c>
      <c r="Q558" s="414" t="str">
        <f>[1]!SNLLabel(287,325027,,"&lt;&gt;359","Options:Curr=Reported currency,Mag=MIstandard,ConvMethod=MIrecommended")</f>
        <v>AR: Other Health</v>
      </c>
      <c r="R558" s="366"/>
      <c r="S558" s="391" t="s">
        <v>29</v>
      </c>
    </row>
    <row r="559" spans="14:19" ht="11.25" customHeight="1" x14ac:dyDescent="0.35">
      <c r="N559" s="370" t="s">
        <v>5530</v>
      </c>
      <c r="O559" s="368" t="s">
        <v>5527</v>
      </c>
      <c r="P559" s="425" t="str">
        <f>Period</f>
        <v>2014Y</v>
      </c>
      <c r="Q559" s="415" t="str">
        <f>[1]!SNLLabel(287,325027,,"&lt;&gt;357","Options:Curr=Reported currency,Mag=MIstandard,ConvMethod=MIrecommended")</f>
        <v>AR: Total Accident and Health</v>
      </c>
      <c r="R559" s="370"/>
      <c r="S559" s="371" t="s">
        <v>29</v>
      </c>
    </row>
    <row r="560" spans="14:19" ht="11.25" customHeight="1" x14ac:dyDescent="0.35">
      <c r="N560" s="365" t="s">
        <v>5530</v>
      </c>
      <c r="O560" s="385" t="s">
        <v>5527</v>
      </c>
      <c r="P560" s="424" t="str">
        <f>LEFT(Period,4)-1&amp;"Y"</f>
        <v>2013Y</v>
      </c>
      <c r="Q560" s="413" t="str">
        <f>[1]!SNLLabel(287,325027,,"&lt;&gt;49","Options:Curr=Reported currency,Mag=MIstandard,ConvMethod=MIrecommended")</f>
        <v>AR: Cmprhsv (Hosp, Med) Ind</v>
      </c>
      <c r="R560" s="365"/>
      <c r="S560" s="387" t="s">
        <v>29</v>
      </c>
    </row>
    <row r="561" spans="14:19" ht="11.25" customHeight="1" x14ac:dyDescent="0.35">
      <c r="N561" s="366" t="s">
        <v>5530</v>
      </c>
      <c r="O561" s="389" t="s">
        <v>5527</v>
      </c>
      <c r="P561" s="421" t="str">
        <f>LEFT(Period,4)-1&amp;"Y"</f>
        <v>2013Y</v>
      </c>
      <c r="Q561" s="414" t="str">
        <f>[1]!SNLLabel(287,325027,,"&lt;&gt;50","Options:Curr=Reported currency,Mag=MIstandard,ConvMethod=MIrecommended")</f>
        <v>AR: Cmprhsv (Hosp, Med) Grp</v>
      </c>
      <c r="R561" s="366"/>
      <c r="S561" s="391" t="s">
        <v>29</v>
      </c>
    </row>
    <row r="562" spans="14:19" ht="11.25" customHeight="1" x14ac:dyDescent="0.35">
      <c r="N562" s="366" t="s">
        <v>5530</v>
      </c>
      <c r="O562" s="389" t="s">
        <v>5527</v>
      </c>
      <c r="P562" s="421" t="str">
        <f>LEFT(Period,4)-1&amp;"Y"</f>
        <v>2013Y</v>
      </c>
      <c r="Q562" s="414" t="str">
        <f>[1]!SNLLabel(287,325027,,"&lt;&gt;358","Options:Curr=Reported currency,Mag=MIstandard,ConvMethod=MIrecommended")</f>
        <v>AR: Credit A&amp;H</v>
      </c>
      <c r="R562" s="366"/>
      <c r="S562" s="391" t="s">
        <v>29</v>
      </c>
    </row>
    <row r="563" spans="14:19" ht="11.25" customHeight="1" x14ac:dyDescent="0.35">
      <c r="N563" s="366" t="s">
        <v>5530</v>
      </c>
      <c r="O563" s="389" t="s">
        <v>5527</v>
      </c>
      <c r="P563" s="421" t="str">
        <f>LEFT(Period,4)-1&amp;"Y"</f>
        <v>2013Y</v>
      </c>
      <c r="Q563" s="414" t="str">
        <f>[1]!SNLLabel(287,325027,,"&lt;&gt;359","Options:Curr=Reported currency,Mag=MIstandard,ConvMethod=MIrecommended")</f>
        <v>AR: Other Health</v>
      </c>
      <c r="R563" s="366"/>
      <c r="S563" s="391" t="s">
        <v>29</v>
      </c>
    </row>
    <row r="564" spans="14:19" ht="11.25" customHeight="1" x14ac:dyDescent="0.35">
      <c r="N564" s="370" t="s">
        <v>5530</v>
      </c>
      <c r="O564" s="368" t="s">
        <v>5527</v>
      </c>
      <c r="P564" s="425" t="str">
        <f>LEFT(Period,4)-1&amp;"Y"</f>
        <v>2013Y</v>
      </c>
      <c r="Q564" s="415" t="str">
        <f>[1]!SNLLabel(287,325027,,"&lt;&gt;357","Options:Curr=Reported currency,Mag=MIstandard,ConvMethod=MIrecommended")</f>
        <v>AR: Total Accident and Health</v>
      </c>
      <c r="R564" s="370"/>
      <c r="S564" s="371" t="s">
        <v>29</v>
      </c>
    </row>
    <row r="565" spans="14:19" ht="11.25" customHeight="1" x14ac:dyDescent="0.35">
      <c r="N565" s="365" t="s">
        <v>5530</v>
      </c>
      <c r="O565" s="385" t="s">
        <v>5527</v>
      </c>
      <c r="P565" s="424" t="str">
        <f>LEFT(Period,4)-2&amp;"Y"</f>
        <v>2012Y</v>
      </c>
      <c r="Q565" s="413" t="str">
        <f>[1]!SNLLabel(287,325027,,"&lt;&gt;49","Options:Curr=Reported currency,Mag=MIstandard,ConvMethod=MIrecommended")</f>
        <v>AR: Cmprhsv (Hosp, Med) Ind</v>
      </c>
      <c r="R565" s="365"/>
      <c r="S565" s="387" t="s">
        <v>29</v>
      </c>
    </row>
    <row r="566" spans="14:19" ht="11.25" customHeight="1" x14ac:dyDescent="0.35">
      <c r="N566" s="366" t="s">
        <v>5530</v>
      </c>
      <c r="O566" s="389" t="s">
        <v>5527</v>
      </c>
      <c r="P566" s="421" t="str">
        <f>LEFT(Period,4)-2&amp;"Y"</f>
        <v>2012Y</v>
      </c>
      <c r="Q566" s="414" t="str">
        <f>[1]!SNLLabel(287,325027,,"&lt;&gt;50","Options:Curr=Reported currency,Mag=MIstandard,ConvMethod=MIrecommended")</f>
        <v>AR: Cmprhsv (Hosp, Med) Grp</v>
      </c>
      <c r="R566" s="366"/>
      <c r="S566" s="391" t="s">
        <v>29</v>
      </c>
    </row>
    <row r="567" spans="14:19" ht="11.25" customHeight="1" x14ac:dyDescent="0.35">
      <c r="N567" s="366" t="s">
        <v>5530</v>
      </c>
      <c r="O567" s="389" t="s">
        <v>5527</v>
      </c>
      <c r="P567" s="421" t="str">
        <f>LEFT(Period,4)-2&amp;"Y"</f>
        <v>2012Y</v>
      </c>
      <c r="Q567" s="414" t="str">
        <f>[1]!SNLLabel(287,325027,,"&lt;&gt;358","Options:Curr=Reported currency,Mag=MIstandard,ConvMethod=MIrecommended")</f>
        <v>AR: Credit A&amp;H</v>
      </c>
      <c r="R567" s="366"/>
      <c r="S567" s="391" t="s">
        <v>29</v>
      </c>
    </row>
    <row r="568" spans="14:19" ht="11.25" customHeight="1" x14ac:dyDescent="0.35">
      <c r="N568" s="366" t="s">
        <v>5530</v>
      </c>
      <c r="O568" s="389" t="s">
        <v>5527</v>
      </c>
      <c r="P568" s="421" t="str">
        <f>LEFT(Period,4)-2&amp;"Y"</f>
        <v>2012Y</v>
      </c>
      <c r="Q568" s="414" t="str">
        <f>[1]!SNLLabel(287,325027,,"&lt;&gt;359","Options:Curr=Reported currency,Mag=MIstandard,ConvMethod=MIrecommended")</f>
        <v>AR: Other Health</v>
      </c>
      <c r="R568" s="366"/>
      <c r="S568" s="391" t="s">
        <v>29</v>
      </c>
    </row>
    <row r="569" spans="14:19" ht="11.25" customHeight="1" x14ac:dyDescent="0.35">
      <c r="N569" s="370" t="s">
        <v>5530</v>
      </c>
      <c r="O569" s="368" t="s">
        <v>5527</v>
      </c>
      <c r="P569" s="425" t="str">
        <f>LEFT(Period,4)-2&amp;"Y"</f>
        <v>2012Y</v>
      </c>
      <c r="Q569" s="415" t="str">
        <f>[1]!SNLLabel(287,325027,,"&lt;&gt;357","Options:Curr=Reported currency,Mag=MIstandard,ConvMethod=MIrecommended")</f>
        <v>AR: Total Accident and Health</v>
      </c>
      <c r="R569" s="370"/>
      <c r="S569" s="371" t="s">
        <v>29</v>
      </c>
    </row>
    <row r="570" spans="14:19" ht="11.25" customHeight="1" x14ac:dyDescent="0.35">
      <c r="N570" s="365" t="s">
        <v>5530</v>
      </c>
      <c r="O570" s="385" t="s">
        <v>5527</v>
      </c>
      <c r="P570" s="424" t="str">
        <f>LEFT(Period,4)-3&amp;"Y"</f>
        <v>2011Y</v>
      </c>
      <c r="Q570" s="413" t="str">
        <f>[1]!SNLLabel(287,325027,,"&lt;&gt;49","Options:Curr=Reported currency,Mag=MIstandard,ConvMethod=MIrecommended")</f>
        <v>AR: Cmprhsv (Hosp, Med) Ind</v>
      </c>
      <c r="R570" s="365"/>
      <c r="S570" s="387" t="s">
        <v>29</v>
      </c>
    </row>
    <row r="571" spans="14:19" ht="11.25" customHeight="1" x14ac:dyDescent="0.35">
      <c r="N571" s="366" t="s">
        <v>5530</v>
      </c>
      <c r="O571" s="389" t="s">
        <v>5527</v>
      </c>
      <c r="P571" s="421" t="str">
        <f>LEFT(Period,4)-3&amp;"Y"</f>
        <v>2011Y</v>
      </c>
      <c r="Q571" s="414" t="str">
        <f>[1]!SNLLabel(287,325027,,"&lt;&gt;50","Options:Curr=Reported currency,Mag=MIstandard,ConvMethod=MIrecommended")</f>
        <v>AR: Cmprhsv (Hosp, Med) Grp</v>
      </c>
      <c r="R571" s="366"/>
      <c r="S571" s="391" t="s">
        <v>29</v>
      </c>
    </row>
    <row r="572" spans="14:19" ht="11.25" customHeight="1" x14ac:dyDescent="0.35">
      <c r="N572" s="366" t="s">
        <v>5530</v>
      </c>
      <c r="O572" s="389" t="s">
        <v>5527</v>
      </c>
      <c r="P572" s="421" t="str">
        <f>LEFT(Period,4)-3&amp;"Y"</f>
        <v>2011Y</v>
      </c>
      <c r="Q572" s="414" t="str">
        <f>[1]!SNLLabel(287,325027,,"&lt;&gt;358","Options:Curr=Reported currency,Mag=MIstandard,ConvMethod=MIrecommended")</f>
        <v>AR: Credit A&amp;H</v>
      </c>
      <c r="R572" s="366"/>
      <c r="S572" s="391" t="s">
        <v>29</v>
      </c>
    </row>
    <row r="573" spans="14:19" ht="11.25" customHeight="1" x14ac:dyDescent="0.35">
      <c r="N573" s="366" t="s">
        <v>5530</v>
      </c>
      <c r="O573" s="389" t="s">
        <v>5527</v>
      </c>
      <c r="P573" s="421" t="str">
        <f>LEFT(Period,4)-3&amp;"Y"</f>
        <v>2011Y</v>
      </c>
      <c r="Q573" s="414" t="str">
        <f>[1]!SNLLabel(287,325027,,"&lt;&gt;359","Options:Curr=Reported currency,Mag=MIstandard,ConvMethod=MIrecommended")</f>
        <v>AR: Other Health</v>
      </c>
      <c r="R573" s="366"/>
      <c r="S573" s="391" t="s">
        <v>29</v>
      </c>
    </row>
    <row r="574" spans="14:19" ht="11.25" customHeight="1" x14ac:dyDescent="0.35">
      <c r="N574" s="370" t="s">
        <v>5530</v>
      </c>
      <c r="O574" s="368" t="s">
        <v>5527</v>
      </c>
      <c r="P574" s="425" t="str">
        <f>LEFT(Period,4)-3&amp;"Y"</f>
        <v>2011Y</v>
      </c>
      <c r="Q574" s="415" t="str">
        <f>[1]!SNLLabel(287,325027,,"&lt;&gt;357","Options:Curr=Reported currency,Mag=MIstandard,ConvMethod=MIrecommended")</f>
        <v>AR: Total Accident and Health</v>
      </c>
      <c r="R574" s="370"/>
      <c r="S574" s="371" t="s">
        <v>29</v>
      </c>
    </row>
    <row r="575" spans="14:19" ht="11.25" customHeight="1" x14ac:dyDescent="0.35">
      <c r="N575" s="365" t="s">
        <v>5530</v>
      </c>
      <c r="O575" s="385" t="s">
        <v>5527</v>
      </c>
      <c r="P575" s="424" t="str">
        <f>LEFT(Period,4)-4&amp;"Y"</f>
        <v>2010Y</v>
      </c>
      <c r="Q575" s="413" t="str">
        <f>[1]!SNLLabel(287,325027,,"&lt;&gt;49","Options:Curr=Reported currency,Mag=MIstandard,ConvMethod=MIrecommended")</f>
        <v>AR: Cmprhsv (Hosp, Med) Ind</v>
      </c>
      <c r="R575" s="365"/>
      <c r="S575" s="387" t="s">
        <v>29</v>
      </c>
    </row>
    <row r="576" spans="14:19" ht="11.25" customHeight="1" x14ac:dyDescent="0.35">
      <c r="N576" s="366" t="s">
        <v>5530</v>
      </c>
      <c r="O576" s="389" t="s">
        <v>5527</v>
      </c>
      <c r="P576" s="421" t="str">
        <f>LEFT(Period,4)-4&amp;"Y"</f>
        <v>2010Y</v>
      </c>
      <c r="Q576" s="414" t="str">
        <f>[1]!SNLLabel(287,325027,,"&lt;&gt;50","Options:Curr=Reported currency,Mag=MIstandard,ConvMethod=MIrecommended")</f>
        <v>AR: Cmprhsv (Hosp, Med) Grp</v>
      </c>
      <c r="R576" s="366"/>
      <c r="S576" s="391" t="s">
        <v>29</v>
      </c>
    </row>
    <row r="577" spans="14:19" ht="11.25" customHeight="1" x14ac:dyDescent="0.35">
      <c r="N577" s="366" t="s">
        <v>5530</v>
      </c>
      <c r="O577" s="389" t="s">
        <v>5527</v>
      </c>
      <c r="P577" s="421" t="str">
        <f>LEFT(Period,4)-4&amp;"Y"</f>
        <v>2010Y</v>
      </c>
      <c r="Q577" s="414" t="str">
        <f>[1]!SNLLabel(287,325027,,"&lt;&gt;358","Options:Curr=Reported currency,Mag=MIstandard,ConvMethod=MIrecommended")</f>
        <v>AR: Credit A&amp;H</v>
      </c>
      <c r="R577" s="366"/>
      <c r="S577" s="391" t="s">
        <v>29</v>
      </c>
    </row>
    <row r="578" spans="14:19" ht="11.25" customHeight="1" x14ac:dyDescent="0.35">
      <c r="N578" s="366" t="s">
        <v>5530</v>
      </c>
      <c r="O578" s="389" t="s">
        <v>5527</v>
      </c>
      <c r="P578" s="421" t="str">
        <f>LEFT(Period,4)-4&amp;"Y"</f>
        <v>2010Y</v>
      </c>
      <c r="Q578" s="414" t="str">
        <f>[1]!SNLLabel(287,325027,,"&lt;&gt;359","Options:Curr=Reported currency,Mag=MIstandard,ConvMethod=MIrecommended")</f>
        <v>AR: Other Health</v>
      </c>
      <c r="R578" s="366"/>
      <c r="S578" s="391" t="s">
        <v>29</v>
      </c>
    </row>
    <row r="579" spans="14:19" ht="11.25" customHeight="1" x14ac:dyDescent="0.35">
      <c r="N579" s="370" t="s">
        <v>5530</v>
      </c>
      <c r="O579" s="368" t="s">
        <v>5527</v>
      </c>
      <c r="P579" s="425" t="str">
        <f>LEFT(Period,4)-4&amp;"Y"</f>
        <v>2010Y</v>
      </c>
      <c r="Q579" s="415" t="str">
        <f>[1]!SNLLabel(287,325027,,"&lt;&gt;357","Options:Curr=Reported currency,Mag=MIstandard,ConvMethod=MIrecommended")</f>
        <v>AR: Total Accident and Health</v>
      </c>
      <c r="R579" s="370"/>
      <c r="S579" s="371" t="s">
        <v>29</v>
      </c>
    </row>
    <row r="580" spans="14:19" ht="11.25" customHeight="1" x14ac:dyDescent="0.4">
      <c r="N580" s="427" t="s">
        <v>5531</v>
      </c>
      <c r="O580" s="416"/>
      <c r="P580" s="426"/>
      <c r="Q580" s="417"/>
      <c r="R580" s="382"/>
      <c r="S580" s="418"/>
    </row>
    <row r="581" spans="14:19" ht="11.25" customHeight="1" x14ac:dyDescent="0.35">
      <c r="N581" s="365" t="s">
        <v>5531</v>
      </c>
      <c r="O581" s="385" t="s">
        <v>5528</v>
      </c>
      <c r="P581" s="424" t="str">
        <f>Period</f>
        <v>2014Y</v>
      </c>
      <c r="Q581" s="413" t="str">
        <f>[1]!SNLLabel(287,325027,,"&lt;&gt;49","Options:Curr=Reported currency,Mag=MIstandard,ConvMethod=MIrecommended")</f>
        <v>AR: Cmprhsv (Hosp, Med) Ind</v>
      </c>
      <c r="R581" s="365"/>
      <c r="S581" s="387" t="s">
        <v>29</v>
      </c>
    </row>
    <row r="582" spans="14:19" ht="11.25" customHeight="1" x14ac:dyDescent="0.35">
      <c r="N582" s="366" t="s">
        <v>5531</v>
      </c>
      <c r="O582" s="389" t="s">
        <v>5528</v>
      </c>
      <c r="P582" s="421" t="str">
        <f>Period</f>
        <v>2014Y</v>
      </c>
      <c r="Q582" s="414" t="str">
        <f>[1]!SNLLabel(287,325027,,"&lt;&gt;50","Options:Curr=Reported currency,Mag=MIstandard,ConvMethod=MIrecommended")</f>
        <v>AR: Cmprhsv (Hosp, Med) Grp</v>
      </c>
      <c r="R582" s="366"/>
      <c r="S582" s="391" t="s">
        <v>29</v>
      </c>
    </row>
    <row r="583" spans="14:19" ht="11.25" customHeight="1" x14ac:dyDescent="0.35">
      <c r="N583" s="366" t="s">
        <v>5531</v>
      </c>
      <c r="O583" s="389" t="s">
        <v>5528</v>
      </c>
      <c r="P583" s="421" t="str">
        <f>Period</f>
        <v>2014Y</v>
      </c>
      <c r="Q583" s="414" t="str">
        <f>[1]!SNLLabel(287,325027,,"&lt;&gt;358","Options:Curr=Reported currency,Mag=MIstandard,ConvMethod=MIrecommended")</f>
        <v>AR: Credit A&amp;H</v>
      </c>
      <c r="R583" s="366"/>
      <c r="S583" s="391" t="s">
        <v>29</v>
      </c>
    </row>
    <row r="584" spans="14:19" ht="11.25" customHeight="1" x14ac:dyDescent="0.35">
      <c r="N584" s="366" t="s">
        <v>5531</v>
      </c>
      <c r="O584" s="389" t="s">
        <v>5528</v>
      </c>
      <c r="P584" s="421" t="str">
        <f>Period</f>
        <v>2014Y</v>
      </c>
      <c r="Q584" s="414" t="str">
        <f>[1]!SNLLabel(287,325027,,"&lt;&gt;359","Options:Curr=Reported currency,Mag=MIstandard,ConvMethod=MIrecommended")</f>
        <v>AR: Other Health</v>
      </c>
      <c r="R584" s="366"/>
      <c r="S584" s="391" t="s">
        <v>29</v>
      </c>
    </row>
    <row r="585" spans="14:19" ht="11.25" customHeight="1" x14ac:dyDescent="0.35">
      <c r="N585" s="370" t="s">
        <v>5531</v>
      </c>
      <c r="O585" s="368" t="s">
        <v>5528</v>
      </c>
      <c r="P585" s="425" t="str">
        <f>Period</f>
        <v>2014Y</v>
      </c>
      <c r="Q585" s="415" t="str">
        <f>[1]!SNLLabel(287,325027,,"&lt;&gt;357","Options:Curr=Reported currency,Mag=MIstandard,ConvMethod=MIrecommended")</f>
        <v>AR: Total Accident and Health</v>
      </c>
      <c r="R585" s="370"/>
      <c r="S585" s="371" t="s">
        <v>29</v>
      </c>
    </row>
    <row r="586" spans="14:19" ht="11.25" customHeight="1" x14ac:dyDescent="0.35">
      <c r="N586" s="365" t="s">
        <v>5531</v>
      </c>
      <c r="O586" s="385" t="s">
        <v>5528</v>
      </c>
      <c r="P586" s="424" t="str">
        <f>LEFT(Period,4)-1&amp;"Y"</f>
        <v>2013Y</v>
      </c>
      <c r="Q586" s="413" t="str">
        <f>[1]!SNLLabel(287,325027,,"&lt;&gt;49","Options:Curr=Reported currency,Mag=MIstandard,ConvMethod=MIrecommended")</f>
        <v>AR: Cmprhsv (Hosp, Med) Ind</v>
      </c>
      <c r="R586" s="365"/>
      <c r="S586" s="387" t="s">
        <v>29</v>
      </c>
    </row>
    <row r="587" spans="14:19" ht="11.25" customHeight="1" x14ac:dyDescent="0.35">
      <c r="N587" s="366" t="s">
        <v>5531</v>
      </c>
      <c r="O587" s="389" t="s">
        <v>5528</v>
      </c>
      <c r="P587" s="421" t="str">
        <f>LEFT(Period,4)-1&amp;"Y"</f>
        <v>2013Y</v>
      </c>
      <c r="Q587" s="414" t="str">
        <f>[1]!SNLLabel(287,325027,,"&lt;&gt;50","Options:Curr=Reported currency,Mag=MIstandard,ConvMethod=MIrecommended")</f>
        <v>AR: Cmprhsv (Hosp, Med) Grp</v>
      </c>
      <c r="R587" s="366"/>
      <c r="S587" s="391" t="s">
        <v>29</v>
      </c>
    </row>
    <row r="588" spans="14:19" ht="11.25" customHeight="1" x14ac:dyDescent="0.35">
      <c r="N588" s="366" t="s">
        <v>5531</v>
      </c>
      <c r="O588" s="389" t="s">
        <v>5528</v>
      </c>
      <c r="P588" s="421" t="str">
        <f>LEFT(Period,4)-1&amp;"Y"</f>
        <v>2013Y</v>
      </c>
      <c r="Q588" s="414" t="str">
        <f>[1]!SNLLabel(287,325027,,"&lt;&gt;358","Options:Curr=Reported currency,Mag=MIstandard,ConvMethod=MIrecommended")</f>
        <v>AR: Credit A&amp;H</v>
      </c>
      <c r="R588" s="366"/>
      <c r="S588" s="391" t="s">
        <v>29</v>
      </c>
    </row>
    <row r="589" spans="14:19" ht="11.25" customHeight="1" x14ac:dyDescent="0.35">
      <c r="N589" s="366" t="s">
        <v>5531</v>
      </c>
      <c r="O589" s="389" t="s">
        <v>5528</v>
      </c>
      <c r="P589" s="421" t="str">
        <f>LEFT(Period,4)-1&amp;"Y"</f>
        <v>2013Y</v>
      </c>
      <c r="Q589" s="414" t="str">
        <f>[1]!SNLLabel(287,325027,,"&lt;&gt;359","Options:Curr=Reported currency,Mag=MIstandard,ConvMethod=MIrecommended")</f>
        <v>AR: Other Health</v>
      </c>
      <c r="R589" s="366"/>
      <c r="S589" s="391" t="s">
        <v>29</v>
      </c>
    </row>
    <row r="590" spans="14:19" ht="11.25" customHeight="1" x14ac:dyDescent="0.35">
      <c r="N590" s="370" t="s">
        <v>5531</v>
      </c>
      <c r="O590" s="368" t="s">
        <v>5528</v>
      </c>
      <c r="P590" s="425" t="str">
        <f>LEFT(Period,4)-1&amp;"Y"</f>
        <v>2013Y</v>
      </c>
      <c r="Q590" s="415" t="str">
        <f>[1]!SNLLabel(287,325027,,"&lt;&gt;357","Options:Curr=Reported currency,Mag=MIstandard,ConvMethod=MIrecommended")</f>
        <v>AR: Total Accident and Health</v>
      </c>
      <c r="R590" s="370"/>
      <c r="S590" s="371" t="s">
        <v>29</v>
      </c>
    </row>
    <row r="591" spans="14:19" ht="11.25" customHeight="1" x14ac:dyDescent="0.35">
      <c r="N591" s="365" t="s">
        <v>5531</v>
      </c>
      <c r="O591" s="385" t="s">
        <v>5528</v>
      </c>
      <c r="P591" s="424" t="str">
        <f>LEFT(Period,4)-2&amp;"Y"</f>
        <v>2012Y</v>
      </c>
      <c r="Q591" s="413" t="str">
        <f>[1]!SNLLabel(287,325027,,"&lt;&gt;49","Options:Curr=Reported currency,Mag=MIstandard,ConvMethod=MIrecommended")</f>
        <v>AR: Cmprhsv (Hosp, Med) Ind</v>
      </c>
      <c r="R591" s="365"/>
      <c r="S591" s="387" t="s">
        <v>29</v>
      </c>
    </row>
    <row r="592" spans="14:19" ht="11.25" customHeight="1" x14ac:dyDescent="0.35">
      <c r="N592" s="366" t="s">
        <v>5531</v>
      </c>
      <c r="O592" s="389" t="s">
        <v>5528</v>
      </c>
      <c r="P592" s="421" t="str">
        <f>LEFT(Period,4)-2&amp;"Y"</f>
        <v>2012Y</v>
      </c>
      <c r="Q592" s="414" t="str">
        <f>[1]!SNLLabel(287,325027,,"&lt;&gt;50","Options:Curr=Reported currency,Mag=MIstandard,ConvMethod=MIrecommended")</f>
        <v>AR: Cmprhsv (Hosp, Med) Grp</v>
      </c>
      <c r="R592" s="366"/>
      <c r="S592" s="391" t="s">
        <v>29</v>
      </c>
    </row>
    <row r="593" spans="14:19" ht="11.25" customHeight="1" x14ac:dyDescent="0.35">
      <c r="N593" s="366" t="s">
        <v>5531</v>
      </c>
      <c r="O593" s="389" t="s">
        <v>5528</v>
      </c>
      <c r="P593" s="421" t="str">
        <f>LEFT(Period,4)-2&amp;"Y"</f>
        <v>2012Y</v>
      </c>
      <c r="Q593" s="414" t="str">
        <f>[1]!SNLLabel(287,325027,,"&lt;&gt;358","Options:Curr=Reported currency,Mag=MIstandard,ConvMethod=MIrecommended")</f>
        <v>AR: Credit A&amp;H</v>
      </c>
      <c r="R593" s="366"/>
      <c r="S593" s="391" t="s">
        <v>29</v>
      </c>
    </row>
    <row r="594" spans="14:19" ht="11.25" customHeight="1" x14ac:dyDescent="0.35">
      <c r="N594" s="366" t="s">
        <v>5531</v>
      </c>
      <c r="O594" s="389" t="s">
        <v>5528</v>
      </c>
      <c r="P594" s="421" t="str">
        <f>LEFT(Period,4)-2&amp;"Y"</f>
        <v>2012Y</v>
      </c>
      <c r="Q594" s="414" t="str">
        <f>[1]!SNLLabel(287,325027,,"&lt;&gt;359","Options:Curr=Reported currency,Mag=MIstandard,ConvMethod=MIrecommended")</f>
        <v>AR: Other Health</v>
      </c>
      <c r="R594" s="366"/>
      <c r="S594" s="391" t="s">
        <v>29</v>
      </c>
    </row>
    <row r="595" spans="14:19" ht="11.25" customHeight="1" x14ac:dyDescent="0.35">
      <c r="N595" s="370" t="s">
        <v>5531</v>
      </c>
      <c r="O595" s="368" t="s">
        <v>5528</v>
      </c>
      <c r="P595" s="425" t="str">
        <f>LEFT(Period,4)-2&amp;"Y"</f>
        <v>2012Y</v>
      </c>
      <c r="Q595" s="415" t="str">
        <f>[1]!SNLLabel(287,325027,,"&lt;&gt;357","Options:Curr=Reported currency,Mag=MIstandard,ConvMethod=MIrecommended")</f>
        <v>AR: Total Accident and Health</v>
      </c>
      <c r="R595" s="370"/>
      <c r="S595" s="371" t="s">
        <v>29</v>
      </c>
    </row>
    <row r="596" spans="14:19" ht="11.25" customHeight="1" x14ac:dyDescent="0.35">
      <c r="N596" s="365" t="s">
        <v>5531</v>
      </c>
      <c r="O596" s="385" t="s">
        <v>5528</v>
      </c>
      <c r="P596" s="424" t="str">
        <f>LEFT(Period,4)-3&amp;"Y"</f>
        <v>2011Y</v>
      </c>
      <c r="Q596" s="413" t="str">
        <f>[1]!SNLLabel(287,325027,,"&lt;&gt;49","Options:Curr=Reported currency,Mag=MIstandard,ConvMethod=MIrecommended")</f>
        <v>AR: Cmprhsv (Hosp, Med) Ind</v>
      </c>
      <c r="R596" s="365"/>
      <c r="S596" s="387" t="s">
        <v>29</v>
      </c>
    </row>
    <row r="597" spans="14:19" ht="11.25" customHeight="1" x14ac:dyDescent="0.35">
      <c r="N597" s="366" t="s">
        <v>5531</v>
      </c>
      <c r="O597" s="389" t="s">
        <v>5528</v>
      </c>
      <c r="P597" s="421" t="str">
        <f>LEFT(Period,4)-3&amp;"Y"</f>
        <v>2011Y</v>
      </c>
      <c r="Q597" s="414" t="str">
        <f>[1]!SNLLabel(287,325027,,"&lt;&gt;50","Options:Curr=Reported currency,Mag=MIstandard,ConvMethod=MIrecommended")</f>
        <v>AR: Cmprhsv (Hosp, Med) Grp</v>
      </c>
      <c r="R597" s="366"/>
      <c r="S597" s="391" t="s">
        <v>29</v>
      </c>
    </row>
    <row r="598" spans="14:19" ht="11.25" customHeight="1" x14ac:dyDescent="0.35">
      <c r="N598" s="366" t="s">
        <v>5531</v>
      </c>
      <c r="O598" s="389" t="s">
        <v>5528</v>
      </c>
      <c r="P598" s="421" t="str">
        <f>LEFT(Period,4)-3&amp;"Y"</f>
        <v>2011Y</v>
      </c>
      <c r="Q598" s="414" t="str">
        <f>[1]!SNLLabel(287,325027,,"&lt;&gt;358","Options:Curr=Reported currency,Mag=MIstandard,ConvMethod=MIrecommended")</f>
        <v>AR: Credit A&amp;H</v>
      </c>
      <c r="R598" s="366"/>
      <c r="S598" s="391" t="s">
        <v>29</v>
      </c>
    </row>
    <row r="599" spans="14:19" ht="11.25" customHeight="1" x14ac:dyDescent="0.35">
      <c r="N599" s="366" t="s">
        <v>5531</v>
      </c>
      <c r="O599" s="389" t="s">
        <v>5528</v>
      </c>
      <c r="P599" s="421" t="str">
        <f>LEFT(Period,4)-3&amp;"Y"</f>
        <v>2011Y</v>
      </c>
      <c r="Q599" s="414" t="str">
        <f>[1]!SNLLabel(287,325027,,"&lt;&gt;359","Options:Curr=Reported currency,Mag=MIstandard,ConvMethod=MIrecommended")</f>
        <v>AR: Other Health</v>
      </c>
      <c r="R599" s="366"/>
      <c r="S599" s="391" t="s">
        <v>29</v>
      </c>
    </row>
    <row r="600" spans="14:19" ht="11.25" customHeight="1" x14ac:dyDescent="0.35">
      <c r="N600" s="370" t="s">
        <v>5531</v>
      </c>
      <c r="O600" s="368" t="s">
        <v>5528</v>
      </c>
      <c r="P600" s="425" t="str">
        <f>LEFT(Period,4)-3&amp;"Y"</f>
        <v>2011Y</v>
      </c>
      <c r="Q600" s="415" t="str">
        <f>[1]!SNLLabel(287,325027,,"&lt;&gt;357","Options:Curr=Reported currency,Mag=MIstandard,ConvMethod=MIrecommended")</f>
        <v>AR: Total Accident and Health</v>
      </c>
      <c r="R600" s="370"/>
      <c r="S600" s="371" t="s">
        <v>29</v>
      </c>
    </row>
    <row r="601" spans="14:19" ht="11.25" customHeight="1" x14ac:dyDescent="0.35">
      <c r="N601" s="365" t="s">
        <v>5531</v>
      </c>
      <c r="O601" s="385" t="s">
        <v>5528</v>
      </c>
      <c r="P601" s="424" t="str">
        <f>LEFT(Period,4)-4&amp;"Y"</f>
        <v>2010Y</v>
      </c>
      <c r="Q601" s="413" t="str">
        <f>[1]!SNLLabel(287,325027,,"&lt;&gt;49","Options:Curr=Reported currency,Mag=MIstandard,ConvMethod=MIrecommended")</f>
        <v>AR: Cmprhsv (Hosp, Med) Ind</v>
      </c>
      <c r="R601" s="365"/>
      <c r="S601" s="387" t="s">
        <v>29</v>
      </c>
    </row>
    <row r="602" spans="14:19" ht="11.25" customHeight="1" x14ac:dyDescent="0.35">
      <c r="N602" s="366" t="s">
        <v>5531</v>
      </c>
      <c r="O602" s="389" t="s">
        <v>5528</v>
      </c>
      <c r="P602" s="421" t="str">
        <f>LEFT(Period,4)-4&amp;"Y"</f>
        <v>2010Y</v>
      </c>
      <c r="Q602" s="414" t="str">
        <f>[1]!SNLLabel(287,325027,,"&lt;&gt;50","Options:Curr=Reported currency,Mag=MIstandard,ConvMethod=MIrecommended")</f>
        <v>AR: Cmprhsv (Hosp, Med) Grp</v>
      </c>
      <c r="R602" s="366"/>
      <c r="S602" s="391" t="s">
        <v>29</v>
      </c>
    </row>
    <row r="603" spans="14:19" ht="11.25" customHeight="1" x14ac:dyDescent="0.35">
      <c r="N603" s="366" t="s">
        <v>5531</v>
      </c>
      <c r="O603" s="389" t="s">
        <v>5528</v>
      </c>
      <c r="P603" s="421" t="str">
        <f>LEFT(Period,4)-4&amp;"Y"</f>
        <v>2010Y</v>
      </c>
      <c r="Q603" s="414" t="str">
        <f>[1]!SNLLabel(287,325027,,"&lt;&gt;358","Options:Curr=Reported currency,Mag=MIstandard,ConvMethod=MIrecommended")</f>
        <v>AR: Credit A&amp;H</v>
      </c>
      <c r="R603" s="366"/>
      <c r="S603" s="391" t="s">
        <v>29</v>
      </c>
    </row>
    <row r="604" spans="14:19" ht="11.25" customHeight="1" x14ac:dyDescent="0.35">
      <c r="N604" s="366" t="s">
        <v>5531</v>
      </c>
      <c r="O604" s="389" t="s">
        <v>5528</v>
      </c>
      <c r="P604" s="421" t="str">
        <f>LEFT(Period,4)-4&amp;"Y"</f>
        <v>2010Y</v>
      </c>
      <c r="Q604" s="414" t="str">
        <f>[1]!SNLLabel(287,325027,,"&lt;&gt;359","Options:Curr=Reported currency,Mag=MIstandard,ConvMethod=MIrecommended")</f>
        <v>AR: Other Health</v>
      </c>
      <c r="R604" s="366"/>
      <c r="S604" s="391" t="s">
        <v>29</v>
      </c>
    </row>
    <row r="605" spans="14:19" ht="11.25" customHeight="1" x14ac:dyDescent="0.35">
      <c r="N605" s="370" t="s">
        <v>5531</v>
      </c>
      <c r="O605" s="368" t="s">
        <v>5528</v>
      </c>
      <c r="P605" s="425" t="str">
        <f>LEFT(Period,4)-4&amp;"Y"</f>
        <v>2010Y</v>
      </c>
      <c r="Q605" s="415" t="str">
        <f>[1]!SNLLabel(287,325027,,"&lt;&gt;357","Options:Curr=Reported currency,Mag=MIstandard,ConvMethod=MIrecommended")</f>
        <v>AR: Total Accident and Health</v>
      </c>
      <c r="R605" s="370"/>
      <c r="S605" s="371" t="s">
        <v>29</v>
      </c>
    </row>
    <row r="606" spans="14:19" ht="11.25" customHeight="1" x14ac:dyDescent="0.4">
      <c r="N606" s="427" t="s">
        <v>5496</v>
      </c>
      <c r="O606" s="416"/>
      <c r="P606" s="426"/>
      <c r="Q606" s="417"/>
      <c r="R606" s="382"/>
      <c r="S606" s="418"/>
    </row>
    <row r="607" spans="14:19" ht="11.25" customHeight="1" x14ac:dyDescent="0.35">
      <c r="N607" s="365" t="s">
        <v>5496</v>
      </c>
      <c r="O607" s="385" t="s">
        <v>5529</v>
      </c>
      <c r="P607" s="424" t="str">
        <f>Period</f>
        <v>2014Y</v>
      </c>
      <c r="Q607" s="413" t="str">
        <f>[1]!SNLLabel(287,325027,,"&lt;&gt;49","Options:Curr=Reported currency,Mag=MIstandard,ConvMethod=MIrecommended")</f>
        <v>AR: Cmprhsv (Hosp, Med) Ind</v>
      </c>
      <c r="R607" s="365"/>
      <c r="S607" s="387" t="s">
        <v>29</v>
      </c>
    </row>
    <row r="608" spans="14:19" ht="11.25" customHeight="1" x14ac:dyDescent="0.35">
      <c r="N608" s="366" t="s">
        <v>5496</v>
      </c>
      <c r="O608" s="389" t="s">
        <v>5529</v>
      </c>
      <c r="P608" s="421" t="str">
        <f>Period</f>
        <v>2014Y</v>
      </c>
      <c r="Q608" s="414" t="str">
        <f>[1]!SNLLabel(287,325027,,"&lt;&gt;50","Options:Curr=Reported currency,Mag=MIstandard,ConvMethod=MIrecommended")</f>
        <v>AR: Cmprhsv (Hosp, Med) Grp</v>
      </c>
      <c r="R608" s="366"/>
      <c r="S608" s="391" t="s">
        <v>29</v>
      </c>
    </row>
    <row r="609" spans="14:19" ht="11.25" customHeight="1" x14ac:dyDescent="0.35">
      <c r="N609" s="366" t="s">
        <v>5496</v>
      </c>
      <c r="O609" s="389" t="s">
        <v>5529</v>
      </c>
      <c r="P609" s="421" t="str">
        <f>Period</f>
        <v>2014Y</v>
      </c>
      <c r="Q609" s="414" t="str">
        <f>[1]!SNLLabel(287,325027,,"&lt;&gt;358","Options:Curr=Reported currency,Mag=MIstandard,ConvMethod=MIrecommended")</f>
        <v>AR: Credit A&amp;H</v>
      </c>
      <c r="R609" s="366"/>
      <c r="S609" s="391" t="s">
        <v>29</v>
      </c>
    </row>
    <row r="610" spans="14:19" ht="11.25" customHeight="1" x14ac:dyDescent="0.35">
      <c r="N610" s="366" t="s">
        <v>5496</v>
      </c>
      <c r="O610" s="389" t="s">
        <v>5529</v>
      </c>
      <c r="P610" s="421" t="str">
        <f>Period</f>
        <v>2014Y</v>
      </c>
      <c r="Q610" s="414" t="str">
        <f>[1]!SNLLabel(287,325027,,"&lt;&gt;359","Options:Curr=Reported currency,Mag=MIstandard,ConvMethod=MIrecommended")</f>
        <v>AR: Other Health</v>
      </c>
      <c r="R610" s="366"/>
      <c r="S610" s="391" t="s">
        <v>29</v>
      </c>
    </row>
    <row r="611" spans="14:19" ht="11.25" customHeight="1" x14ac:dyDescent="0.35">
      <c r="N611" s="370" t="s">
        <v>5496</v>
      </c>
      <c r="O611" s="368" t="s">
        <v>5529</v>
      </c>
      <c r="P611" s="425" t="str">
        <f>Period</f>
        <v>2014Y</v>
      </c>
      <c r="Q611" s="415" t="str">
        <f>[1]!SNLLabel(287,325027,,"&lt;&gt;357","Options:Curr=Reported currency,Mag=MIstandard,ConvMethod=MIrecommended")</f>
        <v>AR: Total Accident and Health</v>
      </c>
      <c r="R611" s="370"/>
      <c r="S611" s="371" t="s">
        <v>29</v>
      </c>
    </row>
    <row r="612" spans="14:19" ht="11.25" customHeight="1" x14ac:dyDescent="0.35">
      <c r="N612" s="365" t="s">
        <v>5496</v>
      </c>
      <c r="O612" s="385" t="s">
        <v>5529</v>
      </c>
      <c r="P612" s="424" t="str">
        <f>LEFT(Period,4)-1&amp;"Y"</f>
        <v>2013Y</v>
      </c>
      <c r="Q612" s="413" t="str">
        <f>[1]!SNLLabel(287,325027,,"&lt;&gt;49","Options:Curr=Reported currency,Mag=MIstandard,ConvMethod=MIrecommended")</f>
        <v>AR: Cmprhsv (Hosp, Med) Ind</v>
      </c>
      <c r="R612" s="365"/>
      <c r="S612" s="387" t="s">
        <v>29</v>
      </c>
    </row>
    <row r="613" spans="14:19" ht="11.25" customHeight="1" x14ac:dyDescent="0.35">
      <c r="N613" s="366" t="s">
        <v>5496</v>
      </c>
      <c r="O613" s="389" t="s">
        <v>5529</v>
      </c>
      <c r="P613" s="421" t="str">
        <f>LEFT(Period,4)-1&amp;"Y"</f>
        <v>2013Y</v>
      </c>
      <c r="Q613" s="414" t="str">
        <f>[1]!SNLLabel(287,325027,,"&lt;&gt;50","Options:Curr=Reported currency,Mag=MIstandard,ConvMethod=MIrecommended")</f>
        <v>AR: Cmprhsv (Hosp, Med) Grp</v>
      </c>
      <c r="R613" s="366"/>
      <c r="S613" s="391" t="s">
        <v>29</v>
      </c>
    </row>
    <row r="614" spans="14:19" ht="11.25" customHeight="1" x14ac:dyDescent="0.35">
      <c r="N614" s="366" t="s">
        <v>5496</v>
      </c>
      <c r="O614" s="389" t="s">
        <v>5529</v>
      </c>
      <c r="P614" s="421" t="str">
        <f>LEFT(Period,4)-1&amp;"Y"</f>
        <v>2013Y</v>
      </c>
      <c r="Q614" s="414" t="str">
        <f>[1]!SNLLabel(287,325027,,"&lt;&gt;358","Options:Curr=Reported currency,Mag=MIstandard,ConvMethod=MIrecommended")</f>
        <v>AR: Credit A&amp;H</v>
      </c>
      <c r="R614" s="366"/>
      <c r="S614" s="391" t="s">
        <v>29</v>
      </c>
    </row>
    <row r="615" spans="14:19" ht="11.25" customHeight="1" x14ac:dyDescent="0.35">
      <c r="N615" s="366" t="s">
        <v>5496</v>
      </c>
      <c r="O615" s="389" t="s">
        <v>5529</v>
      </c>
      <c r="P615" s="421" t="str">
        <f>LEFT(Period,4)-1&amp;"Y"</f>
        <v>2013Y</v>
      </c>
      <c r="Q615" s="414" t="str">
        <f>[1]!SNLLabel(287,325027,,"&lt;&gt;359","Options:Curr=Reported currency,Mag=MIstandard,ConvMethod=MIrecommended")</f>
        <v>AR: Other Health</v>
      </c>
      <c r="R615" s="366"/>
      <c r="S615" s="391" t="s">
        <v>29</v>
      </c>
    </row>
    <row r="616" spans="14:19" ht="11.25" customHeight="1" x14ac:dyDescent="0.35">
      <c r="N616" s="370" t="s">
        <v>5496</v>
      </c>
      <c r="O616" s="368" t="s">
        <v>5529</v>
      </c>
      <c r="P616" s="425" t="str">
        <f>LEFT(Period,4)-1&amp;"Y"</f>
        <v>2013Y</v>
      </c>
      <c r="Q616" s="415" t="str">
        <f>[1]!SNLLabel(287,325027,,"&lt;&gt;357","Options:Curr=Reported currency,Mag=MIstandard,ConvMethod=MIrecommended")</f>
        <v>AR: Total Accident and Health</v>
      </c>
      <c r="R616" s="370"/>
      <c r="S616" s="371" t="s">
        <v>29</v>
      </c>
    </row>
    <row r="617" spans="14:19" ht="11.25" customHeight="1" x14ac:dyDescent="0.35">
      <c r="N617" s="365" t="s">
        <v>5496</v>
      </c>
      <c r="O617" s="385" t="s">
        <v>5529</v>
      </c>
      <c r="P617" s="424" t="str">
        <f>LEFT(Period,4)-2&amp;"Y"</f>
        <v>2012Y</v>
      </c>
      <c r="Q617" s="413" t="str">
        <f>[1]!SNLLabel(287,325027,,"&lt;&gt;49","Options:Curr=Reported currency,Mag=MIstandard,ConvMethod=MIrecommended")</f>
        <v>AR: Cmprhsv (Hosp, Med) Ind</v>
      </c>
      <c r="R617" s="365"/>
      <c r="S617" s="387" t="s">
        <v>29</v>
      </c>
    </row>
    <row r="618" spans="14:19" ht="11.25" customHeight="1" x14ac:dyDescent="0.35">
      <c r="N618" s="366" t="s">
        <v>5496</v>
      </c>
      <c r="O618" s="389" t="s">
        <v>5529</v>
      </c>
      <c r="P618" s="421" t="str">
        <f>LEFT(Period,4)-2&amp;"Y"</f>
        <v>2012Y</v>
      </c>
      <c r="Q618" s="414" t="str">
        <f>[1]!SNLLabel(287,325027,,"&lt;&gt;50","Options:Curr=Reported currency,Mag=MIstandard,ConvMethod=MIrecommended")</f>
        <v>AR: Cmprhsv (Hosp, Med) Grp</v>
      </c>
      <c r="R618" s="366"/>
      <c r="S618" s="391" t="s">
        <v>29</v>
      </c>
    </row>
    <row r="619" spans="14:19" ht="11.25" customHeight="1" x14ac:dyDescent="0.35">
      <c r="N619" s="366" t="s">
        <v>5496</v>
      </c>
      <c r="O619" s="389" t="s">
        <v>5529</v>
      </c>
      <c r="P619" s="421" t="str">
        <f>LEFT(Period,4)-2&amp;"Y"</f>
        <v>2012Y</v>
      </c>
      <c r="Q619" s="414" t="str">
        <f>[1]!SNLLabel(287,325027,,"&lt;&gt;358","Options:Curr=Reported currency,Mag=MIstandard,ConvMethod=MIrecommended")</f>
        <v>AR: Credit A&amp;H</v>
      </c>
      <c r="R619" s="366"/>
      <c r="S619" s="391" t="s">
        <v>29</v>
      </c>
    </row>
    <row r="620" spans="14:19" ht="11.25" customHeight="1" x14ac:dyDescent="0.35">
      <c r="N620" s="366" t="s">
        <v>5496</v>
      </c>
      <c r="O620" s="389" t="s">
        <v>5529</v>
      </c>
      <c r="P620" s="421" t="str">
        <f>LEFT(Period,4)-2&amp;"Y"</f>
        <v>2012Y</v>
      </c>
      <c r="Q620" s="414" t="str">
        <f>[1]!SNLLabel(287,325027,,"&lt;&gt;359","Options:Curr=Reported currency,Mag=MIstandard,ConvMethod=MIrecommended")</f>
        <v>AR: Other Health</v>
      </c>
      <c r="R620" s="366"/>
      <c r="S620" s="391" t="s">
        <v>29</v>
      </c>
    </row>
    <row r="621" spans="14:19" ht="11.25" customHeight="1" x14ac:dyDescent="0.35">
      <c r="N621" s="370" t="s">
        <v>5496</v>
      </c>
      <c r="O621" s="368" t="s">
        <v>5529</v>
      </c>
      <c r="P621" s="425" t="str">
        <f>LEFT(Period,4)-2&amp;"Y"</f>
        <v>2012Y</v>
      </c>
      <c r="Q621" s="415" t="str">
        <f>[1]!SNLLabel(287,325027,,"&lt;&gt;357","Options:Curr=Reported currency,Mag=MIstandard,ConvMethod=MIrecommended")</f>
        <v>AR: Total Accident and Health</v>
      </c>
      <c r="R621" s="370"/>
      <c r="S621" s="371" t="s">
        <v>29</v>
      </c>
    </row>
    <row r="622" spans="14:19" ht="11.25" customHeight="1" x14ac:dyDescent="0.35">
      <c r="N622" s="365" t="s">
        <v>5496</v>
      </c>
      <c r="O622" s="385" t="s">
        <v>5529</v>
      </c>
      <c r="P622" s="424" t="str">
        <f>LEFT(Period,4)-3&amp;"Y"</f>
        <v>2011Y</v>
      </c>
      <c r="Q622" s="413" t="str">
        <f>[1]!SNLLabel(287,325027,,"&lt;&gt;49","Options:Curr=Reported currency,Mag=MIstandard,ConvMethod=MIrecommended")</f>
        <v>AR: Cmprhsv (Hosp, Med) Ind</v>
      </c>
      <c r="R622" s="365"/>
      <c r="S622" s="387" t="s">
        <v>29</v>
      </c>
    </row>
    <row r="623" spans="14:19" ht="11.25" customHeight="1" x14ac:dyDescent="0.35">
      <c r="N623" s="366" t="s">
        <v>5496</v>
      </c>
      <c r="O623" s="389" t="s">
        <v>5529</v>
      </c>
      <c r="P623" s="421" t="str">
        <f>LEFT(Period,4)-3&amp;"Y"</f>
        <v>2011Y</v>
      </c>
      <c r="Q623" s="414" t="str">
        <f>[1]!SNLLabel(287,325027,,"&lt;&gt;50","Options:Curr=Reported currency,Mag=MIstandard,ConvMethod=MIrecommended")</f>
        <v>AR: Cmprhsv (Hosp, Med) Grp</v>
      </c>
      <c r="R623" s="366"/>
      <c r="S623" s="391" t="s">
        <v>29</v>
      </c>
    </row>
    <row r="624" spans="14:19" ht="11.25" customHeight="1" x14ac:dyDescent="0.35">
      <c r="N624" s="366" t="s">
        <v>5496</v>
      </c>
      <c r="O624" s="389" t="s">
        <v>5529</v>
      </c>
      <c r="P624" s="421" t="str">
        <f>LEFT(Period,4)-3&amp;"Y"</f>
        <v>2011Y</v>
      </c>
      <c r="Q624" s="414" t="str">
        <f>[1]!SNLLabel(287,325027,,"&lt;&gt;358","Options:Curr=Reported currency,Mag=MIstandard,ConvMethod=MIrecommended")</f>
        <v>AR: Credit A&amp;H</v>
      </c>
      <c r="R624" s="366"/>
      <c r="S624" s="391" t="s">
        <v>29</v>
      </c>
    </row>
    <row r="625" spans="14:19" ht="11.25" customHeight="1" x14ac:dyDescent="0.35">
      <c r="N625" s="366" t="s">
        <v>5496</v>
      </c>
      <c r="O625" s="389" t="s">
        <v>5529</v>
      </c>
      <c r="P625" s="421" t="str">
        <f>LEFT(Period,4)-3&amp;"Y"</f>
        <v>2011Y</v>
      </c>
      <c r="Q625" s="414" t="str">
        <f>[1]!SNLLabel(287,325027,,"&lt;&gt;359","Options:Curr=Reported currency,Mag=MIstandard,ConvMethod=MIrecommended")</f>
        <v>AR: Other Health</v>
      </c>
      <c r="R625" s="366"/>
      <c r="S625" s="391" t="s">
        <v>29</v>
      </c>
    </row>
    <row r="626" spans="14:19" ht="11.25" customHeight="1" x14ac:dyDescent="0.35">
      <c r="N626" s="370" t="s">
        <v>5496</v>
      </c>
      <c r="O626" s="368" t="s">
        <v>5529</v>
      </c>
      <c r="P626" s="425" t="str">
        <f>LEFT(Period,4)-3&amp;"Y"</f>
        <v>2011Y</v>
      </c>
      <c r="Q626" s="415" t="str">
        <f>[1]!SNLLabel(287,325027,,"&lt;&gt;357","Options:Curr=Reported currency,Mag=MIstandard,ConvMethod=MIrecommended")</f>
        <v>AR: Total Accident and Health</v>
      </c>
      <c r="R626" s="370"/>
      <c r="S626" s="371" t="s">
        <v>29</v>
      </c>
    </row>
    <row r="627" spans="14:19" ht="11.25" customHeight="1" x14ac:dyDescent="0.35">
      <c r="N627" s="365" t="s">
        <v>5496</v>
      </c>
      <c r="O627" s="385" t="s">
        <v>5529</v>
      </c>
      <c r="P627" s="424" t="str">
        <f>LEFT(Period,4)-4&amp;"Y"</f>
        <v>2010Y</v>
      </c>
      <c r="Q627" s="413" t="str">
        <f>[1]!SNLLabel(287,325027,,"&lt;&gt;49","Options:Curr=Reported currency,Mag=MIstandard,ConvMethod=MIrecommended")</f>
        <v>AR: Cmprhsv (Hosp, Med) Ind</v>
      </c>
      <c r="R627" s="365"/>
      <c r="S627" s="387" t="s">
        <v>29</v>
      </c>
    </row>
    <row r="628" spans="14:19" ht="11.25" customHeight="1" x14ac:dyDescent="0.35">
      <c r="N628" s="366" t="s">
        <v>5496</v>
      </c>
      <c r="O628" s="389" t="s">
        <v>5529</v>
      </c>
      <c r="P628" s="421" t="str">
        <f>LEFT(Period,4)-4&amp;"Y"</f>
        <v>2010Y</v>
      </c>
      <c r="Q628" s="414" t="str">
        <f>[1]!SNLLabel(287,325027,,"&lt;&gt;50","Options:Curr=Reported currency,Mag=MIstandard,ConvMethod=MIrecommended")</f>
        <v>AR: Cmprhsv (Hosp, Med) Grp</v>
      </c>
      <c r="R628" s="366"/>
      <c r="S628" s="391" t="s">
        <v>29</v>
      </c>
    </row>
    <row r="629" spans="14:19" ht="11.25" customHeight="1" x14ac:dyDescent="0.35">
      <c r="N629" s="366" t="s">
        <v>5496</v>
      </c>
      <c r="O629" s="389" t="s">
        <v>5529</v>
      </c>
      <c r="P629" s="421" t="str">
        <f>LEFT(Period,4)-4&amp;"Y"</f>
        <v>2010Y</v>
      </c>
      <c r="Q629" s="414" t="str">
        <f>[1]!SNLLabel(287,325027,,"&lt;&gt;358","Options:Curr=Reported currency,Mag=MIstandard,ConvMethod=MIrecommended")</f>
        <v>AR: Credit A&amp;H</v>
      </c>
      <c r="R629" s="366"/>
      <c r="S629" s="391" t="s">
        <v>29</v>
      </c>
    </row>
    <row r="630" spans="14:19" ht="11.25" customHeight="1" x14ac:dyDescent="0.35">
      <c r="N630" s="366" t="s">
        <v>5496</v>
      </c>
      <c r="O630" s="389" t="s">
        <v>5529</v>
      </c>
      <c r="P630" s="421" t="str">
        <f>LEFT(Period,4)-4&amp;"Y"</f>
        <v>2010Y</v>
      </c>
      <c r="Q630" s="414" t="str">
        <f>[1]!SNLLabel(287,325027,,"&lt;&gt;359","Options:Curr=Reported currency,Mag=MIstandard,ConvMethod=MIrecommended")</f>
        <v>AR: Other Health</v>
      </c>
      <c r="R630" s="366"/>
      <c r="S630" s="391" t="s">
        <v>29</v>
      </c>
    </row>
    <row r="631" spans="14:19" ht="11.25" customHeight="1" x14ac:dyDescent="0.35">
      <c r="N631" s="370" t="s">
        <v>5496</v>
      </c>
      <c r="O631" s="368" t="s">
        <v>5529</v>
      </c>
      <c r="P631" s="425" t="str">
        <f>LEFT(Period,4)-4&amp;"Y"</f>
        <v>2010Y</v>
      </c>
      <c r="Q631" s="415" t="str">
        <f>[1]!SNLLabel(287,325027,,"&lt;&gt;357","Options:Curr=Reported currency,Mag=MIstandard,ConvMethod=MIrecommended")</f>
        <v>AR: Total Accident and Health</v>
      </c>
      <c r="R631" s="370"/>
      <c r="S631" s="371" t="s">
        <v>29</v>
      </c>
    </row>
    <row r="632" spans="14:19" ht="11.25" customHeight="1" x14ac:dyDescent="0.4">
      <c r="N632" s="427" t="s">
        <v>5533</v>
      </c>
      <c r="O632" s="416"/>
      <c r="P632" s="426"/>
      <c r="Q632" s="417"/>
      <c r="R632" s="382"/>
      <c r="S632" s="418"/>
    </row>
    <row r="633" spans="14:19" ht="11.25" customHeight="1" x14ac:dyDescent="0.35">
      <c r="N633" s="365" t="s">
        <v>5533</v>
      </c>
      <c r="O633" s="385" t="s">
        <v>5532</v>
      </c>
      <c r="P633" s="424" t="str">
        <f>Period</f>
        <v>2014Y</v>
      </c>
      <c r="Q633" s="413" t="str">
        <f>[1]!SNLLabel(287,325027,,"&lt;&gt;49","Options:Curr=Reported currency,Mag=MIstandard,ConvMethod=MIrecommended")</f>
        <v>AR: Cmprhsv (Hosp, Med) Ind</v>
      </c>
      <c r="R633" s="365"/>
      <c r="S633" s="387" t="s">
        <v>29</v>
      </c>
    </row>
    <row r="634" spans="14:19" ht="11.25" customHeight="1" x14ac:dyDescent="0.35">
      <c r="N634" s="366" t="s">
        <v>5533</v>
      </c>
      <c r="O634" s="389" t="s">
        <v>5532</v>
      </c>
      <c r="P634" s="421" t="str">
        <f>Period</f>
        <v>2014Y</v>
      </c>
      <c r="Q634" s="414" t="str">
        <f>[1]!SNLLabel(287,325027,,"&lt;&gt;50","Options:Curr=Reported currency,Mag=MIstandard,ConvMethod=MIrecommended")</f>
        <v>AR: Cmprhsv (Hosp, Med) Grp</v>
      </c>
      <c r="R634" s="366"/>
      <c r="S634" s="391" t="s">
        <v>29</v>
      </c>
    </row>
    <row r="635" spans="14:19" ht="11.25" customHeight="1" x14ac:dyDescent="0.35">
      <c r="N635" s="366" t="s">
        <v>5533</v>
      </c>
      <c r="O635" s="389" t="s">
        <v>5532</v>
      </c>
      <c r="P635" s="421" t="str">
        <f>Period</f>
        <v>2014Y</v>
      </c>
      <c r="Q635" s="414" t="str">
        <f>[1]!SNLLabel(287,325027,,"&lt;&gt;358","Options:Curr=Reported currency,Mag=MIstandard,ConvMethod=MIrecommended")</f>
        <v>AR: Credit A&amp;H</v>
      </c>
      <c r="R635" s="366"/>
      <c r="S635" s="391" t="s">
        <v>29</v>
      </c>
    </row>
    <row r="636" spans="14:19" ht="11.25" customHeight="1" x14ac:dyDescent="0.35">
      <c r="N636" s="366" t="s">
        <v>5533</v>
      </c>
      <c r="O636" s="389" t="s">
        <v>5532</v>
      </c>
      <c r="P636" s="421" t="str">
        <f>Period</f>
        <v>2014Y</v>
      </c>
      <c r="Q636" s="414" t="str">
        <f>[1]!SNLLabel(287,325027,,"&lt;&gt;359","Options:Curr=Reported currency,Mag=MIstandard,ConvMethod=MIrecommended")</f>
        <v>AR: Other Health</v>
      </c>
      <c r="R636" s="366"/>
      <c r="S636" s="391" t="s">
        <v>29</v>
      </c>
    </row>
    <row r="637" spans="14:19" ht="11.25" customHeight="1" x14ac:dyDescent="0.35">
      <c r="N637" s="370" t="s">
        <v>5533</v>
      </c>
      <c r="O637" s="368" t="s">
        <v>5532</v>
      </c>
      <c r="P637" s="425" t="str">
        <f>Period</f>
        <v>2014Y</v>
      </c>
      <c r="Q637" s="415" t="str">
        <f>[1]!SNLLabel(287,325027,,"&lt;&gt;357","Options:Curr=Reported currency,Mag=MIstandard,ConvMethod=MIrecommended")</f>
        <v>AR: Total Accident and Health</v>
      </c>
      <c r="R637" s="370"/>
      <c r="S637" s="371" t="s">
        <v>29</v>
      </c>
    </row>
    <row r="638" spans="14:19" ht="11.25" customHeight="1" x14ac:dyDescent="0.35">
      <c r="N638" s="365" t="s">
        <v>5533</v>
      </c>
      <c r="O638" s="385" t="s">
        <v>5532</v>
      </c>
      <c r="P638" s="424" t="str">
        <f>LEFT(Period,4)-1&amp;"Y"</f>
        <v>2013Y</v>
      </c>
      <c r="Q638" s="413" t="str">
        <f>[1]!SNLLabel(287,325027,,"&lt;&gt;49","Options:Curr=Reported currency,Mag=MIstandard,ConvMethod=MIrecommended")</f>
        <v>AR: Cmprhsv (Hosp, Med) Ind</v>
      </c>
      <c r="R638" s="365"/>
      <c r="S638" s="387" t="s">
        <v>29</v>
      </c>
    </row>
    <row r="639" spans="14:19" ht="11.25" customHeight="1" x14ac:dyDescent="0.35">
      <c r="N639" s="366" t="s">
        <v>5533</v>
      </c>
      <c r="O639" s="389" t="s">
        <v>5532</v>
      </c>
      <c r="P639" s="421" t="str">
        <f>LEFT(Period,4)-1&amp;"Y"</f>
        <v>2013Y</v>
      </c>
      <c r="Q639" s="414" t="str">
        <f>[1]!SNLLabel(287,325027,,"&lt;&gt;50","Options:Curr=Reported currency,Mag=MIstandard,ConvMethod=MIrecommended")</f>
        <v>AR: Cmprhsv (Hosp, Med) Grp</v>
      </c>
      <c r="R639" s="366"/>
      <c r="S639" s="391" t="s">
        <v>29</v>
      </c>
    </row>
    <row r="640" spans="14:19" ht="11.25" customHeight="1" x14ac:dyDescent="0.35">
      <c r="N640" s="366" t="s">
        <v>5533</v>
      </c>
      <c r="O640" s="389" t="s">
        <v>5532</v>
      </c>
      <c r="P640" s="421" t="str">
        <f>LEFT(Period,4)-1&amp;"Y"</f>
        <v>2013Y</v>
      </c>
      <c r="Q640" s="414" t="str">
        <f>[1]!SNLLabel(287,325027,,"&lt;&gt;358","Options:Curr=Reported currency,Mag=MIstandard,ConvMethod=MIrecommended")</f>
        <v>AR: Credit A&amp;H</v>
      </c>
      <c r="R640" s="366"/>
      <c r="S640" s="391" t="s">
        <v>29</v>
      </c>
    </row>
    <row r="641" spans="14:19" ht="11.25" customHeight="1" x14ac:dyDescent="0.35">
      <c r="N641" s="366" t="s">
        <v>5533</v>
      </c>
      <c r="O641" s="389" t="s">
        <v>5532</v>
      </c>
      <c r="P641" s="421" t="str">
        <f>LEFT(Period,4)-1&amp;"Y"</f>
        <v>2013Y</v>
      </c>
      <c r="Q641" s="414" t="str">
        <f>[1]!SNLLabel(287,325027,,"&lt;&gt;359","Options:Curr=Reported currency,Mag=MIstandard,ConvMethod=MIrecommended")</f>
        <v>AR: Other Health</v>
      </c>
      <c r="R641" s="366"/>
      <c r="S641" s="391" t="s">
        <v>29</v>
      </c>
    </row>
    <row r="642" spans="14:19" ht="11.25" customHeight="1" x14ac:dyDescent="0.35">
      <c r="N642" s="370" t="s">
        <v>5533</v>
      </c>
      <c r="O642" s="368" t="s">
        <v>5532</v>
      </c>
      <c r="P642" s="425" t="str">
        <f>LEFT(Period,4)-1&amp;"Y"</f>
        <v>2013Y</v>
      </c>
      <c r="Q642" s="415" t="str">
        <f>[1]!SNLLabel(287,325027,,"&lt;&gt;357","Options:Curr=Reported currency,Mag=MIstandard,ConvMethod=MIrecommended")</f>
        <v>AR: Total Accident and Health</v>
      </c>
      <c r="R642" s="370"/>
      <c r="S642" s="371" t="s">
        <v>29</v>
      </c>
    </row>
    <row r="643" spans="14:19" ht="11.25" customHeight="1" x14ac:dyDescent="0.35">
      <c r="N643" s="365" t="s">
        <v>5533</v>
      </c>
      <c r="O643" s="385" t="s">
        <v>5532</v>
      </c>
      <c r="P643" s="424" t="str">
        <f>LEFT(Period,4)-2&amp;"Y"</f>
        <v>2012Y</v>
      </c>
      <c r="Q643" s="413" t="str">
        <f>[1]!SNLLabel(287,325027,,"&lt;&gt;49","Options:Curr=Reported currency,Mag=MIstandard,ConvMethod=MIrecommended")</f>
        <v>AR: Cmprhsv (Hosp, Med) Ind</v>
      </c>
      <c r="R643" s="365"/>
      <c r="S643" s="387" t="s">
        <v>29</v>
      </c>
    </row>
    <row r="644" spans="14:19" ht="11.25" customHeight="1" x14ac:dyDescent="0.35">
      <c r="N644" s="366" t="s">
        <v>5533</v>
      </c>
      <c r="O644" s="389" t="s">
        <v>5532</v>
      </c>
      <c r="P644" s="421" t="str">
        <f>LEFT(Period,4)-2&amp;"Y"</f>
        <v>2012Y</v>
      </c>
      <c r="Q644" s="414" t="str">
        <f>[1]!SNLLabel(287,325027,,"&lt;&gt;50","Options:Curr=Reported currency,Mag=MIstandard,ConvMethod=MIrecommended")</f>
        <v>AR: Cmprhsv (Hosp, Med) Grp</v>
      </c>
      <c r="R644" s="366"/>
      <c r="S644" s="391" t="s">
        <v>29</v>
      </c>
    </row>
    <row r="645" spans="14:19" ht="11.25" customHeight="1" x14ac:dyDescent="0.35">
      <c r="N645" s="366" t="s">
        <v>5533</v>
      </c>
      <c r="O645" s="389" t="s">
        <v>5532</v>
      </c>
      <c r="P645" s="421" t="str">
        <f>LEFT(Period,4)-2&amp;"Y"</f>
        <v>2012Y</v>
      </c>
      <c r="Q645" s="414" t="str">
        <f>[1]!SNLLabel(287,325027,,"&lt;&gt;358","Options:Curr=Reported currency,Mag=MIstandard,ConvMethod=MIrecommended")</f>
        <v>AR: Credit A&amp;H</v>
      </c>
      <c r="R645" s="366"/>
      <c r="S645" s="391" t="s">
        <v>29</v>
      </c>
    </row>
    <row r="646" spans="14:19" ht="11.25" customHeight="1" x14ac:dyDescent="0.35">
      <c r="N646" s="366" t="s">
        <v>5533</v>
      </c>
      <c r="O646" s="389" t="s">
        <v>5532</v>
      </c>
      <c r="P646" s="421" t="str">
        <f>LEFT(Period,4)-2&amp;"Y"</f>
        <v>2012Y</v>
      </c>
      <c r="Q646" s="414" t="str">
        <f>[1]!SNLLabel(287,325027,,"&lt;&gt;359","Options:Curr=Reported currency,Mag=MIstandard,ConvMethod=MIrecommended")</f>
        <v>AR: Other Health</v>
      </c>
      <c r="R646" s="366"/>
      <c r="S646" s="391" t="s">
        <v>29</v>
      </c>
    </row>
    <row r="647" spans="14:19" ht="11.25" customHeight="1" x14ac:dyDescent="0.35">
      <c r="N647" s="370" t="s">
        <v>5533</v>
      </c>
      <c r="O647" s="368" t="s">
        <v>5532</v>
      </c>
      <c r="P647" s="425" t="str">
        <f>LEFT(Period,4)-2&amp;"Y"</f>
        <v>2012Y</v>
      </c>
      <c r="Q647" s="415" t="str">
        <f>[1]!SNLLabel(287,325027,,"&lt;&gt;357","Options:Curr=Reported currency,Mag=MIstandard,ConvMethod=MIrecommended")</f>
        <v>AR: Total Accident and Health</v>
      </c>
      <c r="R647" s="370"/>
      <c r="S647" s="371" t="s">
        <v>29</v>
      </c>
    </row>
    <row r="648" spans="14:19" ht="11.25" customHeight="1" x14ac:dyDescent="0.35">
      <c r="N648" s="365" t="s">
        <v>5533</v>
      </c>
      <c r="O648" s="385" t="s">
        <v>5532</v>
      </c>
      <c r="P648" s="424" t="str">
        <f>LEFT(Period,4)-3&amp;"Y"</f>
        <v>2011Y</v>
      </c>
      <c r="Q648" s="413" t="str">
        <f>[1]!SNLLabel(287,325027,,"&lt;&gt;49","Options:Curr=Reported currency,Mag=MIstandard,ConvMethod=MIrecommended")</f>
        <v>AR: Cmprhsv (Hosp, Med) Ind</v>
      </c>
      <c r="R648" s="365"/>
      <c r="S648" s="387" t="s">
        <v>29</v>
      </c>
    </row>
    <row r="649" spans="14:19" ht="11.25" customHeight="1" x14ac:dyDescent="0.35">
      <c r="N649" s="366" t="s">
        <v>5533</v>
      </c>
      <c r="O649" s="389" t="s">
        <v>5532</v>
      </c>
      <c r="P649" s="421" t="str">
        <f>LEFT(Period,4)-3&amp;"Y"</f>
        <v>2011Y</v>
      </c>
      <c r="Q649" s="414" t="str">
        <f>[1]!SNLLabel(287,325027,,"&lt;&gt;50","Options:Curr=Reported currency,Mag=MIstandard,ConvMethod=MIrecommended")</f>
        <v>AR: Cmprhsv (Hosp, Med) Grp</v>
      </c>
      <c r="R649" s="366"/>
      <c r="S649" s="391" t="s">
        <v>29</v>
      </c>
    </row>
    <row r="650" spans="14:19" ht="11.25" customHeight="1" x14ac:dyDescent="0.35">
      <c r="N650" s="366" t="s">
        <v>5533</v>
      </c>
      <c r="O650" s="389" t="s">
        <v>5532</v>
      </c>
      <c r="P650" s="421" t="str">
        <f>LEFT(Period,4)-3&amp;"Y"</f>
        <v>2011Y</v>
      </c>
      <c r="Q650" s="414" t="str">
        <f>[1]!SNLLabel(287,325027,,"&lt;&gt;358","Options:Curr=Reported currency,Mag=MIstandard,ConvMethod=MIrecommended")</f>
        <v>AR: Credit A&amp;H</v>
      </c>
      <c r="R650" s="366"/>
      <c r="S650" s="391" t="s">
        <v>29</v>
      </c>
    </row>
    <row r="651" spans="14:19" ht="11.25" customHeight="1" x14ac:dyDescent="0.35">
      <c r="N651" s="366" t="s">
        <v>5533</v>
      </c>
      <c r="O651" s="389" t="s">
        <v>5532</v>
      </c>
      <c r="P651" s="421" t="str">
        <f>LEFT(Period,4)-3&amp;"Y"</f>
        <v>2011Y</v>
      </c>
      <c r="Q651" s="414" t="str">
        <f>[1]!SNLLabel(287,325027,,"&lt;&gt;359","Options:Curr=Reported currency,Mag=MIstandard,ConvMethod=MIrecommended")</f>
        <v>AR: Other Health</v>
      </c>
      <c r="R651" s="366"/>
      <c r="S651" s="391" t="s">
        <v>29</v>
      </c>
    </row>
    <row r="652" spans="14:19" ht="11.25" customHeight="1" x14ac:dyDescent="0.35">
      <c r="N652" s="370" t="s">
        <v>5533</v>
      </c>
      <c r="O652" s="368" t="s">
        <v>5532</v>
      </c>
      <c r="P652" s="425" t="str">
        <f>LEFT(Period,4)-3&amp;"Y"</f>
        <v>2011Y</v>
      </c>
      <c r="Q652" s="415" t="str">
        <f>[1]!SNLLabel(287,325027,,"&lt;&gt;357","Options:Curr=Reported currency,Mag=MIstandard,ConvMethod=MIrecommended")</f>
        <v>AR: Total Accident and Health</v>
      </c>
      <c r="R652" s="370"/>
      <c r="S652" s="371" t="s">
        <v>29</v>
      </c>
    </row>
    <row r="653" spans="14:19" ht="11.25" customHeight="1" x14ac:dyDescent="0.35">
      <c r="N653" s="365" t="s">
        <v>5533</v>
      </c>
      <c r="O653" s="385" t="s">
        <v>5532</v>
      </c>
      <c r="P653" s="424" t="str">
        <f>LEFT(Period,4)-4&amp;"Y"</f>
        <v>2010Y</v>
      </c>
      <c r="Q653" s="413" t="str">
        <f>[1]!SNLLabel(287,325027,,"&lt;&gt;49","Options:Curr=Reported currency,Mag=MIstandard,ConvMethod=MIrecommended")</f>
        <v>AR: Cmprhsv (Hosp, Med) Ind</v>
      </c>
      <c r="R653" s="365"/>
      <c r="S653" s="387" t="s">
        <v>29</v>
      </c>
    </row>
    <row r="654" spans="14:19" ht="11.25" customHeight="1" x14ac:dyDescent="0.35">
      <c r="N654" s="366" t="s">
        <v>5533</v>
      </c>
      <c r="O654" s="389" t="s">
        <v>5532</v>
      </c>
      <c r="P654" s="421" t="str">
        <f>LEFT(Period,4)-4&amp;"Y"</f>
        <v>2010Y</v>
      </c>
      <c r="Q654" s="414" t="str">
        <f>[1]!SNLLabel(287,325027,,"&lt;&gt;50","Options:Curr=Reported currency,Mag=MIstandard,ConvMethod=MIrecommended")</f>
        <v>AR: Cmprhsv (Hosp, Med) Grp</v>
      </c>
      <c r="R654" s="366"/>
      <c r="S654" s="391" t="s">
        <v>29</v>
      </c>
    </row>
    <row r="655" spans="14:19" ht="11.25" customHeight="1" x14ac:dyDescent="0.35">
      <c r="N655" s="366" t="s">
        <v>5533</v>
      </c>
      <c r="O655" s="389" t="s">
        <v>5532</v>
      </c>
      <c r="P655" s="421" t="str">
        <f>LEFT(Period,4)-4&amp;"Y"</f>
        <v>2010Y</v>
      </c>
      <c r="Q655" s="414" t="str">
        <f>[1]!SNLLabel(287,325027,,"&lt;&gt;358","Options:Curr=Reported currency,Mag=MIstandard,ConvMethod=MIrecommended")</f>
        <v>AR: Credit A&amp;H</v>
      </c>
      <c r="R655" s="366"/>
      <c r="S655" s="391" t="s">
        <v>29</v>
      </c>
    </row>
    <row r="656" spans="14:19" ht="11.25" customHeight="1" x14ac:dyDescent="0.35">
      <c r="N656" s="366" t="s">
        <v>5533</v>
      </c>
      <c r="O656" s="389" t="s">
        <v>5532</v>
      </c>
      <c r="P656" s="421" t="str">
        <f>LEFT(Period,4)-4&amp;"Y"</f>
        <v>2010Y</v>
      </c>
      <c r="Q656" s="414" t="str">
        <f>[1]!SNLLabel(287,325027,,"&lt;&gt;359","Options:Curr=Reported currency,Mag=MIstandard,ConvMethod=MIrecommended")</f>
        <v>AR: Other Health</v>
      </c>
      <c r="R656" s="366"/>
      <c r="S656" s="391" t="s">
        <v>29</v>
      </c>
    </row>
    <row r="657" spans="14:19" ht="11.25" customHeight="1" x14ac:dyDescent="0.35">
      <c r="N657" s="370" t="s">
        <v>5533</v>
      </c>
      <c r="O657" s="368" t="s">
        <v>5532</v>
      </c>
      <c r="P657" s="425" t="str">
        <f>LEFT(Period,4)-4&amp;"Y"</f>
        <v>2010Y</v>
      </c>
      <c r="Q657" s="415" t="str">
        <f>[1]!SNLLabel(287,325027,,"&lt;&gt;357","Options:Curr=Reported currency,Mag=MIstandard,ConvMethod=MIrecommended")</f>
        <v>AR: Total Accident and Health</v>
      </c>
      <c r="R657" s="370"/>
      <c r="S657" s="371" t="s">
        <v>29</v>
      </c>
    </row>
    <row r="658" spans="14:19" ht="11.25" customHeight="1" x14ac:dyDescent="0.35">
      <c r="S658" s="458"/>
    </row>
    <row r="659" spans="14:19" ht="11.25" customHeight="1" x14ac:dyDescent="0.35">
      <c r="S659" s="458"/>
    </row>
    <row r="660" spans="14:19" ht="11.25" customHeight="1" x14ac:dyDescent="0.35">
      <c r="S660" s="458"/>
    </row>
    <row r="661" spans="14:19" ht="11.25" customHeight="1" x14ac:dyDescent="0.35">
      <c r="S661" s="458"/>
    </row>
    <row r="662" spans="14:19" ht="11.25" customHeight="1" x14ac:dyDescent="0.35">
      <c r="S662" s="458"/>
    </row>
    <row r="663" spans="14:19" ht="11.25" customHeight="1" x14ac:dyDescent="0.35">
      <c r="S663" s="458"/>
    </row>
    <row r="664" spans="14:19" ht="11.25" customHeight="1" x14ac:dyDescent="0.35">
      <c r="S664" s="458"/>
    </row>
    <row r="665" spans="14:19" ht="11.25" customHeight="1" x14ac:dyDescent="0.35">
      <c r="S665" s="458"/>
    </row>
    <row r="666" spans="14:19" ht="11.25" customHeight="1" x14ac:dyDescent="0.35">
      <c r="S666" s="458"/>
    </row>
    <row r="667" spans="14:19" ht="11.25" customHeight="1" x14ac:dyDescent="0.35">
      <c r="S667" s="458"/>
    </row>
    <row r="668" spans="14:19" ht="11.25" customHeight="1" x14ac:dyDescent="0.35">
      <c r="S668" s="458"/>
    </row>
    <row r="669" spans="14:19" ht="11.25" customHeight="1" x14ac:dyDescent="0.35">
      <c r="S669" s="458"/>
    </row>
    <row r="670" spans="14:19" ht="11.25" customHeight="1" x14ac:dyDescent="0.35">
      <c r="S670" s="458"/>
    </row>
    <row r="671" spans="14:19" ht="11.25" customHeight="1" x14ac:dyDescent="0.35">
      <c r="S671" s="458"/>
    </row>
    <row r="672" spans="14:19" ht="11.25" customHeight="1" x14ac:dyDescent="0.35">
      <c r="S672" s="458"/>
    </row>
    <row r="673" spans="19:19" ht="11.25" customHeight="1" x14ac:dyDescent="0.35">
      <c r="S673" s="458"/>
    </row>
    <row r="674" spans="19:19" ht="11.25" customHeight="1" x14ac:dyDescent="0.35">
      <c r="S674" s="458"/>
    </row>
    <row r="675" spans="19:19" ht="11.25" customHeight="1" x14ac:dyDescent="0.35">
      <c r="S675" s="458"/>
    </row>
    <row r="676" spans="19:19" ht="11.25" customHeight="1" x14ac:dyDescent="0.35">
      <c r="S676" s="458"/>
    </row>
    <row r="677" spans="19:19" ht="11.25" customHeight="1" x14ac:dyDescent="0.35">
      <c r="S677" s="458"/>
    </row>
    <row r="678" spans="19:19" ht="11.25" customHeight="1" x14ac:dyDescent="0.35">
      <c r="S678" s="458"/>
    </row>
    <row r="679" spans="19:19" ht="11.25" customHeight="1" x14ac:dyDescent="0.35">
      <c r="S679" s="458"/>
    </row>
    <row r="680" spans="19:19" ht="11.25" customHeight="1" x14ac:dyDescent="0.35">
      <c r="S680" s="458"/>
    </row>
  </sheetData>
  <mergeCells count="1">
    <mergeCell ref="I1:J1"/>
  </mergeCells>
  <hyperlinks>
    <hyperlink ref="I1" location="Instructions!A1" display="Instructions" xr:uid="{00000000-0004-0000-0900-000000000000}"/>
    <hyperlink ref="I1:J1" location="Instructions!A1" tooltip="Go back to Instructions tab." display="Instructions" xr:uid="{00000000-0004-0000-0900-000001000000}"/>
  </hyperlinks>
  <pageMargins left="0.5" right="0.5" top="0.5" bottom="0.5" header="0.5" footer="0.5"/>
  <pageSetup scale="73" orientation="portrait" horizontalDpi="90" verticalDpi="90" r:id="rId1"/>
  <headerFooter alignWithMargins="0"/>
  <rowBreaks count="1" manualBreakCount="1">
    <brk id="94"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B1:J47"/>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5359</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[1]!snltable(287,$D$6:$H$6,$C$10:$C$46,$D$7:$H$7,"NA","Options:Curr=USD,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2010Y</v>
      </c>
      <c r="E9" s="251" t="str">
        <f t="shared" ref="E9:G9" si="1">E7</f>
        <v>2011Y</v>
      </c>
      <c r="F9" s="251" t="str">
        <f t="shared" si="1"/>
        <v>2012Y</v>
      </c>
      <c r="G9" s="251" t="str">
        <f t="shared" si="1"/>
        <v>2013Y</v>
      </c>
      <c r="H9" s="251" t="str">
        <f>H7</f>
        <v>2014Y</v>
      </c>
    </row>
    <row r="10" spans="2:10" ht="11.25" customHeight="1" x14ac:dyDescent="0.4">
      <c r="B10" s="246" t="s">
        <v>4945</v>
      </c>
      <c r="C10" s="308">
        <v>202219</v>
      </c>
      <c r="D10" s="309">
        <v>40543</v>
      </c>
      <c r="E10" s="309">
        <v>40908</v>
      </c>
      <c r="F10" s="309">
        <v>41274</v>
      </c>
      <c r="G10" s="309">
        <v>41639</v>
      </c>
      <c r="H10" s="309">
        <v>42004</v>
      </c>
      <c r="I10" s="310"/>
    </row>
    <row r="11" spans="2:10" ht="11.25" customHeight="1" x14ac:dyDescent="0.35">
      <c r="B11" s="244" t="s">
        <v>4946</v>
      </c>
      <c r="C11" s="247"/>
      <c r="D11" s="248"/>
      <c r="E11" s="248"/>
      <c r="F11" s="248"/>
      <c r="G11" s="248"/>
      <c r="H11" s="248"/>
    </row>
    <row r="12" spans="2:10" ht="11.25" customHeight="1" x14ac:dyDescent="0.35">
      <c r="B12" s="246" t="s">
        <v>5307</v>
      </c>
      <c r="C12" s="247"/>
      <c r="D12" s="248"/>
      <c r="E12" s="248"/>
      <c r="F12" s="248"/>
      <c r="G12" s="248"/>
      <c r="H12" s="248"/>
    </row>
    <row r="13" spans="2:10" ht="11.25" customHeight="1" x14ac:dyDescent="0.35">
      <c r="B13" s="244" t="s">
        <v>4946</v>
      </c>
      <c r="C13" s="247"/>
      <c r="D13" s="248"/>
      <c r="E13" s="248"/>
      <c r="F13" s="248"/>
      <c r="G13" s="248"/>
      <c r="H13" s="248"/>
    </row>
    <row r="14" spans="2:10" ht="11.25" customHeight="1" x14ac:dyDescent="0.35">
      <c r="B14" s="246" t="s">
        <v>4908</v>
      </c>
      <c r="C14" s="247"/>
      <c r="D14" s="248"/>
      <c r="E14" s="248"/>
      <c r="F14" s="248"/>
      <c r="G14" s="248"/>
      <c r="H14" s="248"/>
    </row>
    <row r="15" spans="2:10" ht="11.25" customHeight="1" x14ac:dyDescent="0.35">
      <c r="B15" s="244" t="s">
        <v>5306</v>
      </c>
      <c r="C15" s="245">
        <v>123726</v>
      </c>
      <c r="D15" s="279">
        <v>40682620711</v>
      </c>
      <c r="E15" s="279">
        <v>42901255933</v>
      </c>
      <c r="F15" s="279">
        <v>43668649206</v>
      </c>
      <c r="G15" s="279">
        <v>44137506682</v>
      </c>
      <c r="H15" s="279">
        <v>45033457802</v>
      </c>
    </row>
    <row r="16" spans="2:10" ht="11.25" customHeight="1" x14ac:dyDescent="0.35">
      <c r="B16" s="244" t="s">
        <v>4946</v>
      </c>
      <c r="C16" s="247"/>
      <c r="D16" s="279"/>
      <c r="E16" s="279"/>
      <c r="F16" s="279"/>
      <c r="G16" s="279"/>
      <c r="H16" s="279"/>
    </row>
    <row r="17" spans="2:8" ht="11.25" customHeight="1" x14ac:dyDescent="0.35">
      <c r="B17" s="244" t="s">
        <v>5305</v>
      </c>
      <c r="C17" s="245">
        <v>123727</v>
      </c>
      <c r="D17" s="279">
        <v>12596482.301000001</v>
      </c>
      <c r="E17" s="279">
        <v>12665345.875</v>
      </c>
      <c r="F17" s="279">
        <v>11882006.857000001</v>
      </c>
      <c r="G17" s="279">
        <v>11268312.846999999</v>
      </c>
      <c r="H17" s="279">
        <v>10691708.814999999</v>
      </c>
    </row>
    <row r="18" spans="2:8" ht="11.25" customHeight="1" x14ac:dyDescent="0.35">
      <c r="B18" s="244" t="s">
        <v>5304</v>
      </c>
      <c r="C18" s="245">
        <v>123728</v>
      </c>
      <c r="D18" s="279">
        <v>27724367758</v>
      </c>
      <c r="E18" s="279">
        <v>29613808141</v>
      </c>
      <c r="F18" s="279">
        <v>30125772481</v>
      </c>
      <c r="G18" s="279">
        <v>30637682404</v>
      </c>
      <c r="H18" s="279">
        <v>31248231616</v>
      </c>
    </row>
    <row r="19" spans="2:8" ht="11.25" customHeight="1" x14ac:dyDescent="0.35">
      <c r="B19" s="244" t="s">
        <v>5303</v>
      </c>
      <c r="C19" s="245">
        <v>123729</v>
      </c>
      <c r="D19" s="279">
        <v>156656810.49900001</v>
      </c>
      <c r="E19" s="279">
        <v>146478779.877</v>
      </c>
      <c r="F19" s="279">
        <v>131687783.479</v>
      </c>
      <c r="G19" s="279">
        <v>122206797.389</v>
      </c>
      <c r="H19" s="279">
        <v>112266190.779</v>
      </c>
    </row>
    <row r="20" spans="2:8" ht="11.25" customHeight="1" x14ac:dyDescent="0.35">
      <c r="B20" s="244" t="s">
        <v>5302</v>
      </c>
      <c r="C20" s="245">
        <v>123730</v>
      </c>
      <c r="D20" s="279">
        <v>12788999659</v>
      </c>
      <c r="E20" s="279">
        <v>13128303682</v>
      </c>
      <c r="F20" s="279">
        <v>13399306945</v>
      </c>
      <c r="G20" s="279">
        <v>13366349298</v>
      </c>
      <c r="H20" s="279">
        <v>13662268287</v>
      </c>
    </row>
    <row r="21" spans="2:8" ht="11.25" customHeight="1" x14ac:dyDescent="0.35">
      <c r="B21" s="244" t="s">
        <v>4946</v>
      </c>
      <c r="C21" s="247"/>
      <c r="D21" s="279"/>
      <c r="E21" s="279"/>
      <c r="F21" s="279"/>
      <c r="G21" s="279"/>
      <c r="H21" s="279"/>
    </row>
    <row r="22" spans="2:8" ht="11.25" customHeight="1" x14ac:dyDescent="0.35">
      <c r="B22" s="244" t="s">
        <v>5301</v>
      </c>
      <c r="C22" s="245">
        <v>123731</v>
      </c>
      <c r="D22" s="279">
        <v>851.98586069999999</v>
      </c>
      <c r="E22" s="279">
        <v>869.88293229999999</v>
      </c>
      <c r="F22" s="279">
        <v>898.50735769999994</v>
      </c>
      <c r="G22" s="279">
        <v>902.64633909999998</v>
      </c>
      <c r="H22" s="279">
        <v>903.0443199</v>
      </c>
    </row>
    <row r="23" spans="2:8" ht="11.25" customHeight="1" x14ac:dyDescent="0.35">
      <c r="B23" s="244" t="s">
        <v>5300</v>
      </c>
      <c r="C23" s="245">
        <v>123732</v>
      </c>
      <c r="D23" s="279">
        <v>94539.722983500003</v>
      </c>
      <c r="E23" s="279">
        <v>98716.633913199999</v>
      </c>
      <c r="F23" s="279">
        <v>101353.6267697</v>
      </c>
      <c r="G23" s="279">
        <v>104505.7633507</v>
      </c>
      <c r="H23" s="279">
        <v>108280.2655193</v>
      </c>
    </row>
    <row r="24" spans="2:8" ht="11.25" customHeight="1" x14ac:dyDescent="0.35">
      <c r="B24" s="244" t="s">
        <v>5299</v>
      </c>
      <c r="C24" s="245">
        <v>123733</v>
      </c>
      <c r="D24" s="279">
        <v>5909.4108963999997</v>
      </c>
      <c r="E24" s="279">
        <v>5462.9396938</v>
      </c>
      <c r="F24" s="279">
        <v>5936.2803340999999</v>
      </c>
      <c r="G24" s="279">
        <v>6367.8672463000003</v>
      </c>
      <c r="H24" s="279">
        <v>6225.1164762999997</v>
      </c>
    </row>
    <row r="25" spans="2:8" ht="11.25" customHeight="1" x14ac:dyDescent="0.35">
      <c r="B25" s="244" t="s">
        <v>5298</v>
      </c>
      <c r="C25" s="245">
        <v>123734</v>
      </c>
      <c r="D25" s="279">
        <v>71641.423930599994</v>
      </c>
      <c r="E25" s="279">
        <v>72519.071207300003</v>
      </c>
      <c r="F25" s="279">
        <v>75622.4921875</v>
      </c>
      <c r="G25" s="279">
        <v>72149.063573000007</v>
      </c>
      <c r="H25" s="279">
        <v>68483.203114999997</v>
      </c>
    </row>
    <row r="26" spans="2:8" ht="11.25" customHeight="1" x14ac:dyDescent="0.35">
      <c r="B26" s="244" t="s">
        <v>4946</v>
      </c>
      <c r="C26" s="247"/>
      <c r="D26" s="279"/>
      <c r="E26" s="279"/>
      <c r="F26" s="279"/>
      <c r="G26" s="279"/>
      <c r="H26" s="279"/>
    </row>
    <row r="27" spans="2:8" ht="11.25" customHeight="1" x14ac:dyDescent="0.35">
      <c r="B27" s="246" t="s">
        <v>4975</v>
      </c>
      <c r="C27" s="247"/>
      <c r="D27" s="279"/>
      <c r="E27" s="279"/>
      <c r="F27" s="279"/>
      <c r="G27" s="279"/>
      <c r="H27" s="279"/>
    </row>
    <row r="28" spans="2:8" ht="11.25" customHeight="1" x14ac:dyDescent="0.35">
      <c r="B28" s="244" t="s">
        <v>5297</v>
      </c>
      <c r="C28" s="245">
        <v>123735</v>
      </c>
      <c r="D28" s="279">
        <v>48598903</v>
      </c>
      <c r="E28" s="279">
        <v>50710318</v>
      </c>
      <c r="F28" s="279">
        <v>51059845</v>
      </c>
      <c r="G28" s="279">
        <v>38051092</v>
      </c>
      <c r="H28" s="279">
        <v>37507042</v>
      </c>
    </row>
    <row r="29" spans="2:8" ht="11.25" customHeight="1" x14ac:dyDescent="0.35">
      <c r="B29" s="244" t="s">
        <v>5296</v>
      </c>
      <c r="C29" s="245">
        <v>123736</v>
      </c>
      <c r="D29" s="279">
        <v>22607388</v>
      </c>
      <c r="E29" s="279">
        <v>22553004</v>
      </c>
      <c r="F29" s="279">
        <v>21789108</v>
      </c>
      <c r="G29" s="279">
        <v>21630221</v>
      </c>
      <c r="H29" s="279">
        <v>21656665</v>
      </c>
    </row>
    <row r="30" spans="2:8" ht="11.25" customHeight="1" x14ac:dyDescent="0.35">
      <c r="B30" s="244" t="s">
        <v>5295</v>
      </c>
      <c r="C30" s="245">
        <v>123737</v>
      </c>
      <c r="D30" s="279">
        <v>214150.79699999999</v>
      </c>
      <c r="E30" s="279">
        <v>212194.74300000002</v>
      </c>
      <c r="F30" s="279">
        <v>214629.728</v>
      </c>
      <c r="G30" s="279">
        <v>310996.82699999999</v>
      </c>
      <c r="H30" s="279">
        <v>349451.59899999999</v>
      </c>
    </row>
    <row r="31" spans="2:8" ht="11.25" customHeight="1" x14ac:dyDescent="0.35">
      <c r="B31" s="244" t="s">
        <v>4946</v>
      </c>
      <c r="C31" s="247"/>
      <c r="D31" s="279"/>
      <c r="E31" s="279"/>
      <c r="F31" s="279"/>
      <c r="G31" s="279"/>
      <c r="H31" s="279"/>
    </row>
    <row r="32" spans="2:8" ht="11.25" customHeight="1" x14ac:dyDescent="0.35">
      <c r="B32" s="244" t="s">
        <v>5294</v>
      </c>
      <c r="C32" s="245">
        <v>123738</v>
      </c>
      <c r="D32" s="279">
        <v>19128.812154800002</v>
      </c>
      <c r="E32" s="279">
        <v>19479.250675499999</v>
      </c>
      <c r="F32" s="279">
        <v>18893.384844600001</v>
      </c>
      <c r="G32" s="279">
        <v>26076.035085</v>
      </c>
      <c r="H32" s="344">
        <v>27653.398216400001</v>
      </c>
    </row>
    <row r="33" spans="2:8" ht="11.25" customHeight="1" x14ac:dyDescent="0.35">
      <c r="B33" s="244" t="s">
        <v>5293</v>
      </c>
      <c r="C33" s="245">
        <v>123739</v>
      </c>
      <c r="D33" s="279">
        <v>14148.1154692</v>
      </c>
      <c r="E33" s="279">
        <v>14716.0156498</v>
      </c>
      <c r="F33" s="279">
        <v>15593.1001529</v>
      </c>
      <c r="G33" s="279">
        <v>16041.143518000001</v>
      </c>
      <c r="H33" s="344">
        <v>16273.8053022</v>
      </c>
    </row>
    <row r="34" spans="2:8" ht="11.25" customHeight="1" x14ac:dyDescent="0.35">
      <c r="B34" s="244" t="s">
        <v>4946</v>
      </c>
      <c r="C34" s="247"/>
      <c r="D34" s="279"/>
      <c r="E34" s="279"/>
      <c r="F34" s="279"/>
      <c r="G34" s="279"/>
      <c r="H34" s="279"/>
    </row>
    <row r="35" spans="2:8" ht="11.25" customHeight="1" x14ac:dyDescent="0.35">
      <c r="B35" s="246" t="s">
        <v>5292</v>
      </c>
      <c r="C35" s="247"/>
      <c r="D35" s="279"/>
      <c r="E35" s="279"/>
      <c r="F35" s="279"/>
      <c r="G35" s="279"/>
      <c r="H35" s="279"/>
    </row>
    <row r="36" spans="2:8" ht="11.25" customHeight="1" x14ac:dyDescent="0.35">
      <c r="B36" s="244" t="s">
        <v>5291</v>
      </c>
      <c r="C36" s="245">
        <v>123740</v>
      </c>
      <c r="D36" s="279">
        <v>148524281.44600001</v>
      </c>
      <c r="E36" s="279">
        <v>145136751.28600001</v>
      </c>
      <c r="F36" s="279">
        <v>143114724.10499999</v>
      </c>
      <c r="G36" s="279">
        <v>145320999.14399999</v>
      </c>
      <c r="H36" s="279">
        <v>144571659.43799999</v>
      </c>
    </row>
    <row r="37" spans="2:8" ht="11.25" customHeight="1" x14ac:dyDescent="0.35">
      <c r="B37" s="244" t="s">
        <v>4946</v>
      </c>
      <c r="C37" s="247"/>
      <c r="D37" s="279"/>
      <c r="E37" s="279"/>
      <c r="F37" s="279"/>
      <c r="G37" s="279"/>
      <c r="H37" s="279"/>
    </row>
    <row r="38" spans="2:8" ht="11.25" customHeight="1" x14ac:dyDescent="0.35">
      <c r="B38" s="244" t="s">
        <v>5290</v>
      </c>
      <c r="C38" s="245">
        <v>123741</v>
      </c>
      <c r="D38" s="279">
        <v>76781264.711999997</v>
      </c>
      <c r="E38" s="279">
        <v>74238280.724000007</v>
      </c>
      <c r="F38" s="279">
        <v>77350550.812000006</v>
      </c>
      <c r="G38" s="279">
        <v>81151206.217999995</v>
      </c>
      <c r="H38" s="279">
        <v>85710401.328999996</v>
      </c>
    </row>
    <row r="39" spans="2:8" ht="11.25" customHeight="1" x14ac:dyDescent="0.35">
      <c r="B39" s="244" t="s">
        <v>5289</v>
      </c>
      <c r="C39" s="245">
        <v>123742</v>
      </c>
      <c r="D39" s="279">
        <v>7123797.068</v>
      </c>
      <c r="E39" s="279">
        <v>4642982.1430000002</v>
      </c>
      <c r="F39" s="279">
        <v>4378409.2939999998</v>
      </c>
      <c r="G39" s="279">
        <v>2837963.1189999999</v>
      </c>
      <c r="H39" s="279">
        <v>1715201.628</v>
      </c>
    </row>
    <row r="40" spans="2:8" ht="11.25" customHeight="1" x14ac:dyDescent="0.35">
      <c r="B40" s="244" t="s">
        <v>5288</v>
      </c>
      <c r="C40" s="245">
        <v>123743</v>
      </c>
      <c r="D40" s="279">
        <v>64619219.666000001</v>
      </c>
      <c r="E40" s="279">
        <v>66255488.419</v>
      </c>
      <c r="F40" s="279">
        <v>61385763.998999998</v>
      </c>
      <c r="G40" s="279">
        <v>61331829.807000004</v>
      </c>
      <c r="H40" s="279">
        <v>57146056.480999999</v>
      </c>
    </row>
    <row r="41" spans="2:8" ht="11.25" customHeight="1" x14ac:dyDescent="0.35">
      <c r="B41" s="244" t="s">
        <v>4946</v>
      </c>
      <c r="C41" s="247"/>
      <c r="D41" s="279"/>
      <c r="E41" s="279"/>
      <c r="F41" s="279"/>
      <c r="G41" s="279"/>
      <c r="H41" s="279"/>
    </row>
    <row r="42" spans="2:8" ht="11.25" customHeight="1" x14ac:dyDescent="0.35">
      <c r="B42" s="244" t="s">
        <v>5287</v>
      </c>
      <c r="C42" s="245">
        <v>123744</v>
      </c>
      <c r="D42" s="279">
        <v>254151488</v>
      </c>
      <c r="E42" s="279">
        <v>252038595</v>
      </c>
      <c r="F42" s="279">
        <v>262355323</v>
      </c>
      <c r="G42" s="279">
        <v>265519377</v>
      </c>
      <c r="H42" s="279">
        <v>278224143</v>
      </c>
    </row>
    <row r="43" spans="2:8" ht="11.25" customHeight="1" x14ac:dyDescent="0.35">
      <c r="B43" s="244" t="s">
        <v>4946</v>
      </c>
      <c r="C43" s="247"/>
      <c r="D43" s="279"/>
      <c r="E43" s="279"/>
      <c r="F43" s="279"/>
      <c r="G43" s="279"/>
      <c r="H43" s="279"/>
    </row>
    <row r="44" spans="2:8" ht="11.25" customHeight="1" x14ac:dyDescent="0.35">
      <c r="B44" s="244" t="s">
        <v>5286</v>
      </c>
      <c r="C44" s="245">
        <v>123745</v>
      </c>
      <c r="D44" s="279">
        <v>455.67849050000001</v>
      </c>
      <c r="E44" s="279">
        <v>442.5002346</v>
      </c>
      <c r="F44" s="279">
        <v>427.92718930000001</v>
      </c>
      <c r="G44" s="279">
        <v>435.66867880000001</v>
      </c>
      <c r="H44" s="279">
        <v>429.15447949999998</v>
      </c>
    </row>
    <row r="45" spans="2:8" ht="11.25" customHeight="1" x14ac:dyDescent="0.35">
      <c r="B45" s="244" t="s">
        <v>5285</v>
      </c>
      <c r="C45" s="245">
        <v>123746</v>
      </c>
      <c r="D45" s="279">
        <v>700.77921790000005</v>
      </c>
      <c r="E45" s="279">
        <v>527.86612260000004</v>
      </c>
      <c r="F45" s="279">
        <v>471.87414419999999</v>
      </c>
      <c r="G45" s="279">
        <v>419.7104875</v>
      </c>
      <c r="H45" s="279">
        <v>264.34624580000002</v>
      </c>
    </row>
    <row r="46" spans="2:8" ht="11.25" customHeight="1" thickBot="1" x14ac:dyDescent="0.4">
      <c r="B46" s="249" t="s">
        <v>5284</v>
      </c>
      <c r="C46" s="250">
        <v>123747</v>
      </c>
      <c r="D46" s="280">
        <v>856.0290364</v>
      </c>
      <c r="E46" s="280">
        <v>877.87239299999999</v>
      </c>
      <c r="F46" s="280">
        <v>848.80497190000006</v>
      </c>
      <c r="G46" s="280">
        <v>846.07887879999998</v>
      </c>
      <c r="H46" s="280">
        <v>793.51394400000004</v>
      </c>
    </row>
    <row r="47" spans="2:8" ht="11.25" customHeight="1" x14ac:dyDescent="0.35">
      <c r="B47" s="237"/>
      <c r="C47" s="242"/>
    </row>
  </sheetData>
  <mergeCells count="1">
    <mergeCell ref="I1:J1"/>
  </mergeCells>
  <hyperlinks>
    <hyperlink ref="I1" location="Instructions!A1" display="Instructions" xr:uid="{00000000-0004-0000-0A00-000000000000}"/>
    <hyperlink ref="I1:J1" location="Instructions!A1" tooltip="Go back to Instructions tab." display="Instructions" xr:uid="{00000000-0004-0000-0A00-000001000000}"/>
  </hyperlinks>
  <pageMargins left="0.75" right="0.75" top="1" bottom="1" header="0.5" footer="0.5"/>
  <pageSetup scale="78"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B1:J67"/>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5358</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[1]!snltable(287,$D$6:$H$6,$C$10:$C$66,$D$7:$H$7,"NA","Options:Curr=USD,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2010Y</v>
      </c>
      <c r="E9" s="251" t="str">
        <f t="shared" ref="E9:G9" si="1">E7</f>
        <v>2011Y</v>
      </c>
      <c r="F9" s="251" t="str">
        <f t="shared" si="1"/>
        <v>2012Y</v>
      </c>
      <c r="G9" s="251" t="str">
        <f t="shared" si="1"/>
        <v>2013Y</v>
      </c>
      <c r="H9" s="251" t="str">
        <f>H7</f>
        <v>2014Y</v>
      </c>
    </row>
    <row r="10" spans="2:10" ht="11.25" customHeight="1" x14ac:dyDescent="0.4">
      <c r="B10" s="246" t="s">
        <v>4945</v>
      </c>
      <c r="C10" s="308">
        <v>202219</v>
      </c>
      <c r="D10" s="309">
        <v>40543</v>
      </c>
      <c r="E10" s="309">
        <v>40908</v>
      </c>
      <c r="F10" s="309">
        <v>41274</v>
      </c>
      <c r="G10" s="309">
        <v>41639</v>
      </c>
      <c r="H10" s="309">
        <v>42004</v>
      </c>
      <c r="I10" s="310"/>
    </row>
    <row r="11" spans="2:10" ht="11.25" customHeight="1" x14ac:dyDescent="0.35">
      <c r="B11" s="244" t="s">
        <v>4946</v>
      </c>
      <c r="C11" s="247"/>
      <c r="D11" s="248"/>
      <c r="E11" s="248"/>
      <c r="F11" s="248"/>
      <c r="G11" s="248"/>
      <c r="H11" s="248"/>
    </row>
    <row r="12" spans="2:10" ht="11.25" customHeight="1" x14ac:dyDescent="0.35">
      <c r="B12" s="246" t="s">
        <v>5352</v>
      </c>
      <c r="C12" s="247"/>
      <c r="D12" s="248"/>
      <c r="E12" s="248"/>
      <c r="F12" s="248"/>
      <c r="G12" s="248"/>
      <c r="H12" s="248"/>
    </row>
    <row r="13" spans="2:10" ht="11.25" customHeight="1" x14ac:dyDescent="0.35">
      <c r="B13" s="244" t="s">
        <v>5351</v>
      </c>
      <c r="C13" s="245">
        <v>123759</v>
      </c>
      <c r="D13" s="279">
        <v>86018120.447999999</v>
      </c>
      <c r="E13" s="279">
        <v>104694720.904</v>
      </c>
      <c r="F13" s="279">
        <v>117797995.013</v>
      </c>
      <c r="G13" s="279">
        <v>149238593.92700002</v>
      </c>
      <c r="H13" s="279">
        <v>55238821.325999998</v>
      </c>
    </row>
    <row r="14" spans="2:10" ht="11.25" customHeight="1" x14ac:dyDescent="0.35">
      <c r="B14" s="244" t="s">
        <v>5350</v>
      </c>
      <c r="C14" s="245">
        <v>123760</v>
      </c>
      <c r="D14" s="279">
        <v>8444176.9780000001</v>
      </c>
      <c r="E14" s="279">
        <v>7381217.9680000003</v>
      </c>
      <c r="F14" s="279">
        <v>6443957.0370000005</v>
      </c>
      <c r="G14" s="279">
        <v>8494027.6960000005</v>
      </c>
      <c r="H14" s="279">
        <v>6233601.8950000005</v>
      </c>
    </row>
    <row r="15" spans="2:10" ht="11.25" customHeight="1" x14ac:dyDescent="0.35">
      <c r="B15" s="244" t="s">
        <v>5349</v>
      </c>
      <c r="C15" s="245">
        <v>123761</v>
      </c>
      <c r="D15" s="279">
        <v>25461011.68</v>
      </c>
      <c r="E15" s="279">
        <v>26410567.330000002</v>
      </c>
      <c r="F15" s="279">
        <v>29606237.982000001</v>
      </c>
      <c r="G15" s="279">
        <v>31156605.473000001</v>
      </c>
      <c r="H15" s="279">
        <v>36819196.412</v>
      </c>
    </row>
    <row r="16" spans="2:10" ht="11.25" customHeight="1" x14ac:dyDescent="0.35">
      <c r="B16" s="244" t="s">
        <v>5348</v>
      </c>
      <c r="C16" s="245">
        <v>123762</v>
      </c>
      <c r="D16" s="279">
        <v>119898287.227</v>
      </c>
      <c r="E16" s="279">
        <v>138857519.206</v>
      </c>
      <c r="F16" s="279">
        <v>153799391.04699999</v>
      </c>
      <c r="G16" s="279">
        <v>188823813.53100002</v>
      </c>
      <c r="H16" s="279">
        <v>98259066.186000004</v>
      </c>
    </row>
    <row r="17" spans="2:8" ht="11.25" customHeight="1" x14ac:dyDescent="0.35">
      <c r="B17" s="244" t="s">
        <v>4946</v>
      </c>
      <c r="C17" s="247"/>
      <c r="D17" s="279"/>
      <c r="E17" s="279"/>
      <c r="F17" s="279"/>
      <c r="G17" s="279"/>
      <c r="H17" s="279"/>
    </row>
    <row r="18" spans="2:8" ht="11.25" customHeight="1" x14ac:dyDescent="0.35">
      <c r="B18" s="244" t="s">
        <v>5347</v>
      </c>
      <c r="C18" s="245">
        <v>123763</v>
      </c>
      <c r="D18" s="279">
        <v>11444957751.612</v>
      </c>
      <c r="E18" s="279">
        <v>11913782947.582001</v>
      </c>
      <c r="F18" s="279">
        <v>12580857739.937</v>
      </c>
      <c r="G18" s="279">
        <v>12578917564.23</v>
      </c>
      <c r="H18" s="279">
        <v>12961753498.914</v>
      </c>
    </row>
    <row r="19" spans="2:8" ht="11.25" customHeight="1" x14ac:dyDescent="0.35">
      <c r="B19" s="244" t="s">
        <v>5346</v>
      </c>
      <c r="C19" s="245">
        <v>123764</v>
      </c>
      <c r="D19" s="279">
        <v>11014097789.146999</v>
      </c>
      <c r="E19" s="279">
        <v>11807371956.337</v>
      </c>
      <c r="F19" s="279">
        <v>12053918081.728001</v>
      </c>
      <c r="G19" s="279">
        <v>12145569835.283001</v>
      </c>
      <c r="H19" s="279">
        <v>12175979248.349001</v>
      </c>
    </row>
    <row r="20" spans="2:8" ht="11.25" customHeight="1" x14ac:dyDescent="0.35">
      <c r="B20" s="244" t="s">
        <v>5345</v>
      </c>
      <c r="C20" s="245">
        <v>123765</v>
      </c>
      <c r="D20" s="279">
        <v>22459055540.757</v>
      </c>
      <c r="E20" s="279">
        <v>23944309903.698002</v>
      </c>
      <c r="F20" s="279">
        <v>24645269557.625999</v>
      </c>
      <c r="G20" s="279">
        <v>24724487399.512001</v>
      </c>
      <c r="H20" s="279">
        <v>25137732747.263</v>
      </c>
    </row>
    <row r="21" spans="2:8" ht="11.25" customHeight="1" x14ac:dyDescent="0.35">
      <c r="B21" s="244" t="s">
        <v>5344</v>
      </c>
      <c r="C21" s="245">
        <v>123766</v>
      </c>
      <c r="D21" s="279">
        <v>117161242.544</v>
      </c>
      <c r="E21" s="279">
        <v>67956910.099999994</v>
      </c>
      <c r="F21" s="279">
        <v>39973206.138000004</v>
      </c>
      <c r="G21" s="279">
        <v>81951007.409999996</v>
      </c>
      <c r="H21" s="279">
        <v>113777628.184</v>
      </c>
    </row>
    <row r="22" spans="2:8" ht="11.25" customHeight="1" x14ac:dyDescent="0.35">
      <c r="B22" s="244" t="s">
        <v>5343</v>
      </c>
      <c r="C22" s="245">
        <v>123767</v>
      </c>
      <c r="D22" s="279">
        <v>22576216783.300999</v>
      </c>
      <c r="E22" s="279">
        <v>24012266813.797001</v>
      </c>
      <c r="F22" s="279">
        <v>24685242763.764</v>
      </c>
      <c r="G22" s="279">
        <v>24806438406.922001</v>
      </c>
      <c r="H22" s="279">
        <v>25251510375.447002</v>
      </c>
    </row>
    <row r="23" spans="2:8" ht="11.25" customHeight="1" x14ac:dyDescent="0.35">
      <c r="B23" s="244" t="s">
        <v>4946</v>
      </c>
      <c r="C23" s="247"/>
      <c r="D23" s="279"/>
      <c r="E23" s="279"/>
      <c r="F23" s="279"/>
      <c r="G23" s="279"/>
      <c r="H23" s="279"/>
    </row>
    <row r="24" spans="2:8" ht="11.25" customHeight="1" x14ac:dyDescent="0.35">
      <c r="B24" s="244" t="s">
        <v>5342</v>
      </c>
      <c r="C24" s="245">
        <v>123768</v>
      </c>
      <c r="D24" s="279">
        <v>243284403.03999999</v>
      </c>
      <c r="E24" s="279">
        <v>270532145.81400001</v>
      </c>
      <c r="F24" s="279">
        <v>291136314.52200001</v>
      </c>
      <c r="G24" s="279">
        <v>304148017.01600003</v>
      </c>
      <c r="H24" s="279">
        <v>314188697.43199998</v>
      </c>
    </row>
    <row r="25" spans="2:8" ht="11.25" customHeight="1" x14ac:dyDescent="0.35">
      <c r="B25" s="244" t="s">
        <v>5341</v>
      </c>
      <c r="C25" s="245">
        <v>123769</v>
      </c>
      <c r="D25" s="279">
        <v>155256050.308</v>
      </c>
      <c r="E25" s="279">
        <v>170961493.14300001</v>
      </c>
      <c r="F25" s="279">
        <v>196623356.95899999</v>
      </c>
      <c r="G25" s="279">
        <v>227067853.745</v>
      </c>
      <c r="H25" s="279">
        <v>233641017.23800001</v>
      </c>
    </row>
    <row r="26" spans="2:8" ht="11.25" customHeight="1" x14ac:dyDescent="0.35">
      <c r="B26" s="244" t="s">
        <v>5340</v>
      </c>
      <c r="C26" s="245">
        <v>123770</v>
      </c>
      <c r="D26" s="279">
        <v>398540453.34799999</v>
      </c>
      <c r="E26" s="279">
        <v>444230967.23900002</v>
      </c>
      <c r="F26" s="279">
        <v>487981433.45899999</v>
      </c>
      <c r="G26" s="279">
        <v>531215870.75800002</v>
      </c>
      <c r="H26" s="279">
        <v>547829714.67200005</v>
      </c>
    </row>
    <row r="27" spans="2:8" ht="11.25" customHeight="1" x14ac:dyDescent="0.35">
      <c r="B27" s="244" t="s">
        <v>5339</v>
      </c>
      <c r="C27" s="245">
        <v>123771</v>
      </c>
      <c r="D27" s="279">
        <v>7026297.2590000005</v>
      </c>
      <c r="E27" s="279">
        <v>6566707.1220000004</v>
      </c>
      <c r="F27" s="279">
        <v>3025276.4</v>
      </c>
      <c r="G27" s="279">
        <v>2773739.19</v>
      </c>
      <c r="H27" s="279">
        <v>278132.52600000001</v>
      </c>
    </row>
    <row r="28" spans="2:8" ht="11.25" customHeight="1" x14ac:dyDescent="0.35">
      <c r="B28" s="244" t="s">
        <v>5338</v>
      </c>
      <c r="C28" s="245">
        <v>123772</v>
      </c>
      <c r="D28" s="279">
        <v>405566750.60699999</v>
      </c>
      <c r="E28" s="279">
        <v>450797674.361</v>
      </c>
      <c r="F28" s="279">
        <v>491006709.85900003</v>
      </c>
      <c r="G28" s="279">
        <v>533989609.94700003</v>
      </c>
      <c r="H28" s="279">
        <v>548107847.19700003</v>
      </c>
    </row>
    <row r="29" spans="2:8" ht="11.25" customHeight="1" x14ac:dyDescent="0.35">
      <c r="B29" s="244" t="s">
        <v>4946</v>
      </c>
      <c r="C29" s="247"/>
      <c r="D29" s="279"/>
      <c r="E29" s="279"/>
      <c r="F29" s="279"/>
      <c r="G29" s="279"/>
      <c r="H29" s="279"/>
    </row>
    <row r="30" spans="2:8" ht="11.25" customHeight="1" x14ac:dyDescent="0.35">
      <c r="B30" s="244" t="s">
        <v>5337</v>
      </c>
      <c r="C30" s="245">
        <v>123776</v>
      </c>
      <c r="D30" s="279">
        <v>10240296.309</v>
      </c>
      <c r="E30" s="279">
        <v>9987917.2379999999</v>
      </c>
      <c r="F30" s="279">
        <v>12638163.668</v>
      </c>
      <c r="G30" s="279">
        <v>12577962.308</v>
      </c>
      <c r="H30" s="279">
        <v>13034464.189999999</v>
      </c>
    </row>
    <row r="31" spans="2:8" ht="11.25" customHeight="1" x14ac:dyDescent="0.35">
      <c r="B31" s="244" t="s">
        <v>5336</v>
      </c>
      <c r="C31" s="245">
        <v>123777</v>
      </c>
      <c r="D31" s="279">
        <v>240338.356</v>
      </c>
      <c r="E31" s="279">
        <v>238608.05900000001</v>
      </c>
      <c r="F31" s="279">
        <v>114253.77900000001</v>
      </c>
      <c r="G31" s="279">
        <v>19885.024000000001</v>
      </c>
      <c r="H31" s="279">
        <v>274.29599999999999</v>
      </c>
    </row>
    <row r="32" spans="2:8" ht="11.25" customHeight="1" x14ac:dyDescent="0.35">
      <c r="B32" s="244" t="s">
        <v>5335</v>
      </c>
      <c r="C32" s="245">
        <v>123778</v>
      </c>
      <c r="D32" s="279">
        <v>212375.13800000001</v>
      </c>
      <c r="E32" s="279">
        <v>158212.125</v>
      </c>
      <c r="F32" s="279">
        <v>130344.512</v>
      </c>
      <c r="G32" s="279">
        <v>125468.63100000001</v>
      </c>
      <c r="H32" s="279">
        <v>117297.10100000001</v>
      </c>
    </row>
    <row r="33" spans="2:8" ht="11.25" customHeight="1" x14ac:dyDescent="0.35">
      <c r="B33" s="244" t="s">
        <v>5334</v>
      </c>
      <c r="C33" s="245">
        <v>123779</v>
      </c>
      <c r="D33" s="279">
        <v>10693009.802999999</v>
      </c>
      <c r="E33" s="279">
        <v>10384737.422</v>
      </c>
      <c r="F33" s="279">
        <v>12882761.960000001</v>
      </c>
      <c r="G33" s="279">
        <v>12723315.963</v>
      </c>
      <c r="H33" s="279">
        <v>13152035.586999999</v>
      </c>
    </row>
    <row r="34" spans="2:8" ht="11.25" customHeight="1" x14ac:dyDescent="0.35">
      <c r="B34" s="244" t="s">
        <v>4946</v>
      </c>
      <c r="C34" s="247"/>
      <c r="D34" s="279"/>
      <c r="E34" s="279"/>
      <c r="F34" s="279"/>
      <c r="G34" s="279"/>
      <c r="H34" s="279"/>
    </row>
    <row r="35" spans="2:8" ht="11.25" customHeight="1" x14ac:dyDescent="0.35">
      <c r="B35" s="246" t="s">
        <v>5333</v>
      </c>
      <c r="C35" s="247"/>
      <c r="D35" s="279"/>
      <c r="E35" s="279"/>
      <c r="F35" s="279"/>
      <c r="G35" s="279"/>
      <c r="H35" s="279"/>
    </row>
    <row r="36" spans="2:8" ht="11.25" customHeight="1" x14ac:dyDescent="0.35">
      <c r="B36" s="244" t="s">
        <v>5332</v>
      </c>
      <c r="C36" s="245">
        <v>123780</v>
      </c>
      <c r="D36" s="279">
        <v>46027199.394000001</v>
      </c>
      <c r="E36" s="279">
        <v>63517007.138000004</v>
      </c>
      <c r="F36" s="279">
        <v>70245718.312000006</v>
      </c>
      <c r="G36" s="279">
        <v>77664688.167999998</v>
      </c>
      <c r="H36" s="279">
        <v>54112224.924000002</v>
      </c>
    </row>
    <row r="37" spans="2:8" ht="11.25" customHeight="1" x14ac:dyDescent="0.35">
      <c r="B37" s="244" t="s">
        <v>5331</v>
      </c>
      <c r="C37" s="245">
        <v>123781</v>
      </c>
      <c r="D37" s="279">
        <v>555228.55299999996</v>
      </c>
      <c r="E37" s="279">
        <v>438721.62</v>
      </c>
      <c r="F37" s="279">
        <v>406821.734</v>
      </c>
      <c r="G37" s="279">
        <v>2545020.2400000002</v>
      </c>
      <c r="H37" s="279">
        <v>974401.02899999998</v>
      </c>
    </row>
    <row r="38" spans="2:8" ht="11.25" customHeight="1" x14ac:dyDescent="0.35">
      <c r="B38" s="244" t="s">
        <v>5330</v>
      </c>
      <c r="C38" s="245">
        <v>123782</v>
      </c>
      <c r="D38" s="279">
        <v>20733993.07</v>
      </c>
      <c r="E38" s="279">
        <v>19852110.602000002</v>
      </c>
      <c r="F38" s="279">
        <v>21531951.697000001</v>
      </c>
      <c r="G38" s="279">
        <v>21892393.976</v>
      </c>
      <c r="H38" s="279">
        <v>25718754.185000002</v>
      </c>
    </row>
    <row r="39" spans="2:8" ht="11.25" customHeight="1" x14ac:dyDescent="0.35">
      <c r="B39" s="244" t="s">
        <v>5329</v>
      </c>
      <c r="C39" s="245">
        <v>123783</v>
      </c>
      <c r="D39" s="279">
        <v>67316385.754999995</v>
      </c>
      <c r="E39" s="279">
        <v>83807716.755999997</v>
      </c>
      <c r="F39" s="279">
        <v>92184296.191</v>
      </c>
      <c r="G39" s="279">
        <v>102101908.624</v>
      </c>
      <c r="H39" s="279">
        <v>80805195.423999995</v>
      </c>
    </row>
    <row r="40" spans="2:8" ht="11.25" customHeight="1" x14ac:dyDescent="0.35">
      <c r="B40" s="244" t="s">
        <v>4946</v>
      </c>
      <c r="C40" s="247"/>
      <c r="D40" s="279"/>
      <c r="E40" s="279"/>
      <c r="F40" s="279"/>
      <c r="G40" s="279"/>
      <c r="H40" s="279"/>
    </row>
    <row r="41" spans="2:8" ht="11.25" customHeight="1" x14ac:dyDescent="0.35">
      <c r="B41" s="244" t="s">
        <v>5328</v>
      </c>
      <c r="C41" s="245">
        <v>123784</v>
      </c>
      <c r="D41" s="279">
        <v>2103114170.4260001</v>
      </c>
      <c r="E41" s="279">
        <v>2949579131.1550002</v>
      </c>
      <c r="F41" s="279">
        <v>3090483436.3829999</v>
      </c>
      <c r="G41" s="279">
        <v>3275108080.8169999</v>
      </c>
      <c r="H41" s="279">
        <v>2988982581.651</v>
      </c>
    </row>
    <row r="42" spans="2:8" ht="11.25" customHeight="1" x14ac:dyDescent="0.35">
      <c r="B42" s="244" t="s">
        <v>5327</v>
      </c>
      <c r="C42" s="245">
        <v>123785</v>
      </c>
      <c r="D42" s="279">
        <v>11188908070.694</v>
      </c>
      <c r="E42" s="279">
        <v>11851282903.362</v>
      </c>
      <c r="F42" s="279">
        <v>12079333850.909</v>
      </c>
      <c r="G42" s="279">
        <v>11614447469.843</v>
      </c>
      <c r="H42" s="279">
        <v>11668217216.585001</v>
      </c>
    </row>
    <row r="43" spans="2:8" ht="11.25" customHeight="1" x14ac:dyDescent="0.35">
      <c r="B43" s="244" t="s">
        <v>5326</v>
      </c>
      <c r="C43" s="245">
        <v>123786</v>
      </c>
      <c r="D43" s="279">
        <v>13292022241.121</v>
      </c>
      <c r="E43" s="279">
        <v>14800862034.517</v>
      </c>
      <c r="F43" s="279">
        <v>15169817287.293001</v>
      </c>
      <c r="G43" s="279">
        <v>14889555550.657</v>
      </c>
      <c r="H43" s="279">
        <v>14657199798.236</v>
      </c>
    </row>
    <row r="44" spans="2:8" ht="11.25" customHeight="1" x14ac:dyDescent="0.35">
      <c r="B44" s="244" t="s">
        <v>5325</v>
      </c>
      <c r="C44" s="245">
        <v>123787</v>
      </c>
      <c r="D44" s="279">
        <v>75351159.892000005</v>
      </c>
      <c r="E44" s="279">
        <v>41103112.627000004</v>
      </c>
      <c r="F44" s="279">
        <v>29715692.828000002</v>
      </c>
      <c r="G44" s="279">
        <v>87877637.673999995</v>
      </c>
      <c r="H44" s="279">
        <v>92954640.511000007</v>
      </c>
    </row>
    <row r="45" spans="2:8" ht="11.25" customHeight="1" x14ac:dyDescent="0.35">
      <c r="B45" s="244" t="s">
        <v>5324</v>
      </c>
      <c r="C45" s="245">
        <v>123788</v>
      </c>
      <c r="D45" s="279">
        <v>13367373401.013</v>
      </c>
      <c r="E45" s="279">
        <v>14841965147.144001</v>
      </c>
      <c r="F45" s="279">
        <v>15199532980.121</v>
      </c>
      <c r="G45" s="279">
        <v>14977433188.332001</v>
      </c>
      <c r="H45" s="279">
        <v>14750154438.747</v>
      </c>
    </row>
    <row r="46" spans="2:8" ht="11.25" customHeight="1" x14ac:dyDescent="0.35">
      <c r="B46" s="244" t="s">
        <v>4946</v>
      </c>
      <c r="C46" s="247"/>
      <c r="D46" s="279"/>
      <c r="E46" s="279"/>
      <c r="F46" s="279"/>
      <c r="G46" s="279"/>
      <c r="H46" s="279"/>
    </row>
    <row r="47" spans="2:8" ht="11.25" customHeight="1" x14ac:dyDescent="0.35">
      <c r="B47" s="244" t="s">
        <v>5323</v>
      </c>
      <c r="C47" s="245">
        <v>123789</v>
      </c>
      <c r="D47" s="279">
        <v>88008367.299999997</v>
      </c>
      <c r="E47" s="279">
        <v>104156661.771</v>
      </c>
      <c r="F47" s="279">
        <v>107582484.125</v>
      </c>
      <c r="G47" s="279">
        <v>118107356.759</v>
      </c>
      <c r="H47" s="279">
        <v>104018622.09299999</v>
      </c>
    </row>
    <row r="48" spans="2:8" ht="11.25" customHeight="1" x14ac:dyDescent="0.35">
      <c r="B48" s="244" t="s">
        <v>5322</v>
      </c>
      <c r="C48" s="245">
        <v>123790</v>
      </c>
      <c r="D48" s="279">
        <v>136083728.55399999</v>
      </c>
      <c r="E48" s="279">
        <v>151282314.287</v>
      </c>
      <c r="F48" s="279">
        <v>169862363.40200001</v>
      </c>
      <c r="G48" s="279">
        <v>196192999.382</v>
      </c>
      <c r="H48" s="279">
        <v>204477726.40200001</v>
      </c>
    </row>
    <row r="49" spans="2:8" ht="11.25" customHeight="1" x14ac:dyDescent="0.35">
      <c r="B49" s="244" t="s">
        <v>5321</v>
      </c>
      <c r="C49" s="245">
        <v>123791</v>
      </c>
      <c r="D49" s="279">
        <v>224092095.85500002</v>
      </c>
      <c r="E49" s="279">
        <v>255438976.06200001</v>
      </c>
      <c r="F49" s="279">
        <v>277444847.52399999</v>
      </c>
      <c r="G49" s="279">
        <v>314300356.14100003</v>
      </c>
      <c r="H49" s="279">
        <v>308496348.49199998</v>
      </c>
    </row>
    <row r="50" spans="2:8" ht="11.25" customHeight="1" x14ac:dyDescent="0.35">
      <c r="B50" s="244" t="s">
        <v>5320</v>
      </c>
      <c r="C50" s="245">
        <v>123792</v>
      </c>
      <c r="D50" s="279">
        <v>3983623.1120000002</v>
      </c>
      <c r="E50" s="279">
        <v>3989878.14</v>
      </c>
      <c r="F50" s="279">
        <v>2399227.139</v>
      </c>
      <c r="G50" s="279">
        <v>1833194.0860000001</v>
      </c>
      <c r="H50" s="279">
        <v>176814.52900000001</v>
      </c>
    </row>
    <row r="51" spans="2:8" ht="11.25" customHeight="1" x14ac:dyDescent="0.35">
      <c r="B51" s="244" t="s">
        <v>5319</v>
      </c>
      <c r="C51" s="245">
        <v>123793</v>
      </c>
      <c r="D51" s="279">
        <v>228075718.96700001</v>
      </c>
      <c r="E51" s="279">
        <v>259428854.20199999</v>
      </c>
      <c r="F51" s="279">
        <v>279844074.66299999</v>
      </c>
      <c r="G51" s="279">
        <v>316133550.227</v>
      </c>
      <c r="H51" s="279">
        <v>308673163.02100003</v>
      </c>
    </row>
    <row r="52" spans="2:8" ht="11.25" customHeight="1" x14ac:dyDescent="0.35">
      <c r="B52" s="244" t="s">
        <v>4946</v>
      </c>
      <c r="C52" s="247"/>
      <c r="D52" s="279"/>
      <c r="E52" s="279"/>
      <c r="F52" s="279"/>
      <c r="G52" s="279"/>
      <c r="H52" s="279"/>
    </row>
    <row r="53" spans="2:8" ht="11.25" customHeight="1" x14ac:dyDescent="0.35">
      <c r="B53" s="244" t="s">
        <v>5318</v>
      </c>
      <c r="C53" s="245">
        <v>123794</v>
      </c>
      <c r="D53" s="279">
        <v>7520502.4000000004</v>
      </c>
      <c r="E53" s="279">
        <v>8199806.3270000005</v>
      </c>
      <c r="F53" s="279">
        <v>6739620.7309999997</v>
      </c>
      <c r="G53" s="279">
        <v>9038878.648</v>
      </c>
      <c r="H53" s="279">
        <v>11394605.916000001</v>
      </c>
    </row>
    <row r="54" spans="2:8" ht="11.25" customHeight="1" x14ac:dyDescent="0.35">
      <c r="B54" s="244" t="s">
        <v>5317</v>
      </c>
      <c r="C54" s="245">
        <v>123795</v>
      </c>
      <c r="D54" s="279">
        <v>35120063.630999997</v>
      </c>
      <c r="E54" s="279">
        <v>36482865.066</v>
      </c>
      <c r="F54" s="279">
        <v>40026654.593000002</v>
      </c>
      <c r="G54" s="279">
        <v>41406145.031000003</v>
      </c>
      <c r="H54" s="279">
        <v>43382913.439999998</v>
      </c>
    </row>
    <row r="55" spans="2:8" ht="11.25" customHeight="1" x14ac:dyDescent="0.35">
      <c r="B55" s="244" t="s">
        <v>5316</v>
      </c>
      <c r="C55" s="245">
        <v>123796</v>
      </c>
      <c r="D55" s="279">
        <v>42640566.030000001</v>
      </c>
      <c r="E55" s="279">
        <v>44682671.395999998</v>
      </c>
      <c r="F55" s="279">
        <v>46766275.327</v>
      </c>
      <c r="G55" s="279">
        <v>50445023.675999999</v>
      </c>
      <c r="H55" s="279">
        <v>54777519.354000002</v>
      </c>
    </row>
    <row r="56" spans="2:8" ht="11.25" customHeight="1" x14ac:dyDescent="0.35">
      <c r="B56" s="244" t="s">
        <v>4946</v>
      </c>
      <c r="C56" s="247"/>
      <c r="D56" s="279"/>
      <c r="E56" s="279"/>
      <c r="F56" s="279"/>
      <c r="G56" s="279"/>
      <c r="H56" s="279"/>
    </row>
    <row r="57" spans="2:8" ht="11.25" customHeight="1" x14ac:dyDescent="0.35">
      <c r="B57" s="246" t="s">
        <v>5050</v>
      </c>
      <c r="C57" s="247"/>
      <c r="D57" s="279"/>
      <c r="E57" s="279"/>
      <c r="F57" s="279"/>
      <c r="G57" s="279"/>
      <c r="H57" s="279"/>
    </row>
    <row r="58" spans="2:8" ht="11.25" customHeight="1" x14ac:dyDescent="0.35">
      <c r="B58" s="244" t="s">
        <v>5315</v>
      </c>
      <c r="C58" s="245">
        <v>123797</v>
      </c>
      <c r="D58" s="279">
        <v>1621530.11</v>
      </c>
      <c r="E58" s="279">
        <v>1629084.615</v>
      </c>
      <c r="F58" s="279">
        <v>1741703.0930000001</v>
      </c>
      <c r="G58" s="279">
        <v>1819778.95</v>
      </c>
      <c r="H58" s="279">
        <v>2066923.7930000001</v>
      </c>
    </row>
    <row r="59" spans="2:8" ht="11.25" customHeight="1" x14ac:dyDescent="0.35">
      <c r="B59" s="244" t="s">
        <v>5314</v>
      </c>
      <c r="C59" s="245">
        <v>123798</v>
      </c>
      <c r="D59" s="279">
        <v>2257851.3289999999</v>
      </c>
      <c r="E59" s="279">
        <v>2308309.4470000002</v>
      </c>
      <c r="F59" s="279">
        <v>2670408.8829999999</v>
      </c>
      <c r="G59" s="279">
        <v>2280489.7570000002</v>
      </c>
      <c r="H59" s="279">
        <v>2774467.1839999999</v>
      </c>
    </row>
    <row r="60" spans="2:8" ht="11.25" customHeight="1" x14ac:dyDescent="0.35">
      <c r="B60" s="244" t="s">
        <v>5313</v>
      </c>
      <c r="C60" s="245">
        <v>123799</v>
      </c>
      <c r="D60" s="279">
        <v>1073961.925</v>
      </c>
      <c r="E60" s="279">
        <v>1599228.6359999999</v>
      </c>
      <c r="F60" s="279">
        <v>1780507.216</v>
      </c>
      <c r="G60" s="279">
        <v>1959019.04</v>
      </c>
      <c r="H60" s="279">
        <v>2353514.9670000002</v>
      </c>
    </row>
    <row r="61" spans="2:8" ht="11.25" customHeight="1" x14ac:dyDescent="0.35">
      <c r="B61" s="244" t="s">
        <v>5312</v>
      </c>
      <c r="C61" s="245">
        <v>123800</v>
      </c>
      <c r="D61" s="279">
        <v>4953343.3610000005</v>
      </c>
      <c r="E61" s="279">
        <v>5536622.6979999999</v>
      </c>
      <c r="F61" s="279">
        <v>6192619.1869999999</v>
      </c>
      <c r="G61" s="279">
        <v>6059287.7510000002</v>
      </c>
      <c r="H61" s="279">
        <v>7194905.9460000005</v>
      </c>
    </row>
    <row r="62" spans="2:8" ht="11.25" customHeight="1" x14ac:dyDescent="0.35">
      <c r="B62" s="244" t="s">
        <v>4946</v>
      </c>
      <c r="C62" s="247"/>
      <c r="D62" s="279"/>
      <c r="E62" s="279"/>
      <c r="F62" s="279"/>
      <c r="G62" s="279"/>
      <c r="H62" s="279"/>
    </row>
    <row r="63" spans="2:8" ht="11.25" customHeight="1" x14ac:dyDescent="0.35">
      <c r="B63" s="244" t="s">
        <v>5311</v>
      </c>
      <c r="C63" s="245">
        <v>123801</v>
      </c>
      <c r="D63" s="279">
        <v>3735922.9479999999</v>
      </c>
      <c r="E63" s="279">
        <v>4277041.46</v>
      </c>
      <c r="F63" s="279">
        <v>4406643.608</v>
      </c>
      <c r="G63" s="279">
        <v>4784890.7690000003</v>
      </c>
      <c r="H63" s="279">
        <v>4872097.165</v>
      </c>
    </row>
    <row r="64" spans="2:8" ht="11.25" customHeight="1" x14ac:dyDescent="0.35">
      <c r="B64" s="244" t="s">
        <v>5310</v>
      </c>
      <c r="C64" s="245">
        <v>123802</v>
      </c>
      <c r="D64" s="279">
        <v>6146473.9230000004</v>
      </c>
      <c r="E64" s="279">
        <v>6523719.5360000003</v>
      </c>
      <c r="F64" s="279">
        <v>6701960.1160000004</v>
      </c>
      <c r="G64" s="279">
        <v>6599059.4180000005</v>
      </c>
      <c r="H64" s="279">
        <v>6981976.1880000001</v>
      </c>
    </row>
    <row r="65" spans="2:8" ht="11.25" customHeight="1" x14ac:dyDescent="0.35">
      <c r="B65" s="244" t="s">
        <v>5309</v>
      </c>
      <c r="C65" s="245">
        <v>123804</v>
      </c>
      <c r="D65" s="279">
        <v>3643843.7060000002</v>
      </c>
      <c r="E65" s="279">
        <v>3863830.818</v>
      </c>
      <c r="F65" s="279">
        <v>3930440.2519999999</v>
      </c>
      <c r="G65" s="279">
        <v>4305564.4280000003</v>
      </c>
      <c r="H65" s="279">
        <v>4664906.8289999999</v>
      </c>
    </row>
    <row r="66" spans="2:8" ht="11.25" customHeight="1" thickBot="1" x14ac:dyDescent="0.4">
      <c r="B66" s="249" t="s">
        <v>5308</v>
      </c>
      <c r="C66" s="250">
        <v>123803</v>
      </c>
      <c r="D66" s="280">
        <v>13526240.571</v>
      </c>
      <c r="E66" s="280">
        <v>14664591.813000001</v>
      </c>
      <c r="F66" s="280">
        <v>15039043.973999999</v>
      </c>
      <c r="G66" s="280">
        <v>15689514.618000001</v>
      </c>
      <c r="H66" s="280">
        <v>16518980.181</v>
      </c>
    </row>
    <row r="67" spans="2:8" ht="11.25" customHeight="1" x14ac:dyDescent="0.35">
      <c r="B67" s="237"/>
      <c r="C67" s="242"/>
    </row>
  </sheetData>
  <mergeCells count="1">
    <mergeCell ref="I1:J1"/>
  </mergeCells>
  <hyperlinks>
    <hyperlink ref="I1" location="Instructions!A1" display="Instructions" xr:uid="{00000000-0004-0000-0B00-000000000000}"/>
    <hyperlink ref="I1:J1" location="Instructions!A1" tooltip="Go back to Instructions tab." display="Instructions" xr:uid="{00000000-0004-0000-0B00-000001000000}"/>
  </hyperlinks>
  <pageMargins left="0.75" right="0.75" top="1" bottom="1" header="0.5" footer="0.5"/>
  <pageSetup scale="78" orientation="portrait" horizontalDpi="90" verticalDpi="9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rgb="FF525252"/>
  </sheetPr>
  <dimension ref="A1:AJ1344"/>
  <sheetViews>
    <sheetView showGridLines="0" zoomScaleNormal="100" workbookViewId="0">
      <pane xSplit="3" ySplit="9" topLeftCell="D10" activePane="bottomRight" state="frozen"/>
      <selection pane="topRight" activeCell="D1" sqref="D1"/>
      <selection pane="bottomLeft" activeCell="A10" sqref="A10"/>
      <selection pane="bottomRight"/>
    </sheetView>
  </sheetViews>
  <sheetFormatPr defaultColWidth="8.83984375" defaultRowHeight="11.25" customHeight="1" outlineLevelRow="1" outlineLevelCol="1" x14ac:dyDescent="0.35"/>
  <cols>
    <col min="1" max="1" width="2.578125" style="293" customWidth="1"/>
    <col min="2" max="2" width="54.15625" style="293" bestFit="1" customWidth="1"/>
    <col min="3" max="3" width="8.83984375" style="331" hidden="1" customWidth="1" outlineLevel="1"/>
    <col min="4" max="4" width="15.68359375" style="324" customWidth="1" collapsed="1"/>
    <col min="5" max="14" width="15.68359375" style="324" customWidth="1"/>
    <col min="15" max="20" width="8.83984375" style="293"/>
    <col min="21" max="21" width="44.26171875" style="293" hidden="1" customWidth="1" outlineLevel="1"/>
    <col min="22" max="22" width="8.83984375" style="293" hidden="1" customWidth="1" outlineLevel="1"/>
    <col min="23" max="23" width="12.83984375" style="293" hidden="1" customWidth="1" outlineLevel="1"/>
    <col min="24" max="24" width="28.83984375" style="293" hidden="1" customWidth="1" outlineLevel="1"/>
    <col min="25" max="35" width="12.83984375" style="293" hidden="1" customWidth="1" outlineLevel="1"/>
    <col min="36" max="36" width="8.83984375" style="293" collapsed="1"/>
    <col min="37" max="16384" width="8.83984375" style="293"/>
  </cols>
  <sheetData>
    <row r="1" spans="2:14" s="6" customFormat="1" ht="10.15" customHeight="1" x14ac:dyDescent="0.55000000000000004">
      <c r="C1" s="326"/>
      <c r="L1" s="359" t="s">
        <v>12</v>
      </c>
    </row>
    <row r="2" spans="2:14" s="6" customFormat="1" ht="15.75" customHeight="1" x14ac:dyDescent="0.55000000000000004">
      <c r="B2" s="282" t="str">
        <f>Entity_Name&amp;" vs Peers "</f>
        <v xml:space="preserve">Life Industry vs Peers </v>
      </c>
      <c r="C2" s="327"/>
      <c r="D2" s="283"/>
      <c r="E2" s="283"/>
      <c r="F2" s="283"/>
      <c r="G2" s="283"/>
      <c r="H2" s="283"/>
      <c r="I2" s="283"/>
      <c r="J2" s="283"/>
      <c r="K2" s="283"/>
      <c r="L2" s="283"/>
      <c r="M2" s="283"/>
      <c r="N2" s="283"/>
    </row>
    <row r="3" spans="2:14" s="6" customFormat="1" ht="11.25" customHeight="1" x14ac:dyDescent="0.55000000000000004">
      <c r="B3" s="277" t="s">
        <v>5363</v>
      </c>
      <c r="C3" s="326"/>
    </row>
    <row r="4" spans="2:14" s="6" customFormat="1" ht="11.25" customHeight="1" thickBot="1" x14ac:dyDescent="0.6">
      <c r="B4" s="284"/>
      <c r="C4" s="326"/>
    </row>
    <row r="5" spans="2:14" s="6" customFormat="1" ht="11.25" hidden="1" customHeight="1" outlineLevel="1" x14ac:dyDescent="0.55000000000000004">
      <c r="B5" s="254" t="str">
        <f ca="1">[1]!snltable(287,$D$5:$N$5,$C$11:$C$1341,$D$6:$N$6,"NA","Options:Curr=USD, Mag=Thousands, ConvMethod=SNLrecommended")</f>
        <v>SNLTable</v>
      </c>
      <c r="C5" s="328"/>
      <c r="D5" s="286" t="str">
        <f ca="1">IF(Entity_Code="","",Entity_Code)</f>
        <v>I36</v>
      </c>
      <c r="E5" s="286" t="str">
        <f ca="1">IF(Entity_C1="","",Entity_C1)</f>
        <v>C2874</v>
      </c>
      <c r="F5" s="286" t="str">
        <f ca="1">IF(Entity_C2="","",Entity_C2)</f>
        <v>C5004</v>
      </c>
      <c r="G5" s="286" t="str">
        <f ca="1">IF(Entity_C3="","",Entity_C3)</f>
        <v>C2093</v>
      </c>
      <c r="H5" s="286" t="str">
        <f ca="1">IF(Entity_C4="","",Entity_C4)</f>
        <v>C2623</v>
      </c>
      <c r="I5" s="286" t="str">
        <f ca="1">IF(Entity_C5="","",Entity_C5)</f>
        <v>C3048</v>
      </c>
      <c r="J5" s="286" t="str">
        <f ca="1">IF(Entity_C6="","",Entity_C6)</f>
        <v>C2409</v>
      </c>
      <c r="K5" s="286" t="str">
        <f ca="1">IF(Entity_C7="","",Entity_C7)</f>
        <v>C2921</v>
      </c>
      <c r="L5" s="286" t="str">
        <f ca="1">IF(Entity_C8="","",Entity_C8)</f>
        <v>C2284</v>
      </c>
      <c r="M5" s="286" t="str">
        <f ca="1">IF(Entity_C9="","",Entity_C9)</f>
        <v>C3613</v>
      </c>
      <c r="N5" s="298" t="str">
        <f ca="1">IF(Entity_C10="","",Entity_C10)</f>
        <v>C2253</v>
      </c>
    </row>
    <row r="6" spans="2:14" s="6" customFormat="1" ht="11.25" hidden="1" customHeight="1" outlineLevel="1" x14ac:dyDescent="0.55000000000000004">
      <c r="B6" s="285"/>
      <c r="C6" s="327"/>
      <c r="D6" s="287" t="str">
        <f t="shared" ref="D6:N6" si="0">Period</f>
        <v>2014Y</v>
      </c>
      <c r="E6" s="287" t="str">
        <f t="shared" si="0"/>
        <v>2014Y</v>
      </c>
      <c r="F6" s="287" t="str">
        <f t="shared" si="0"/>
        <v>2014Y</v>
      </c>
      <c r="G6" s="287" t="str">
        <f t="shared" si="0"/>
        <v>2014Y</v>
      </c>
      <c r="H6" s="287" t="str">
        <f t="shared" si="0"/>
        <v>2014Y</v>
      </c>
      <c r="I6" s="287" t="str">
        <f t="shared" si="0"/>
        <v>2014Y</v>
      </c>
      <c r="J6" s="287" t="str">
        <f t="shared" si="0"/>
        <v>2014Y</v>
      </c>
      <c r="K6" s="287" t="str">
        <f t="shared" si="0"/>
        <v>2014Y</v>
      </c>
      <c r="L6" s="287" t="str">
        <f t="shared" si="0"/>
        <v>2014Y</v>
      </c>
      <c r="M6" s="287" t="str">
        <f t="shared" si="0"/>
        <v>2014Y</v>
      </c>
      <c r="N6" s="299" t="str">
        <f t="shared" si="0"/>
        <v>2014Y</v>
      </c>
    </row>
    <row r="7" spans="2:14" s="6" customFormat="1" ht="11.25" hidden="1" customHeight="1" outlineLevel="1" thickBot="1" x14ac:dyDescent="0.6">
      <c r="B7" s="284"/>
      <c r="C7" s="326"/>
    </row>
    <row r="8" spans="2:14" s="6" customFormat="1" ht="21.3" collapsed="1" thickBot="1" x14ac:dyDescent="0.6">
      <c r="B8" s="333" t="s">
        <v>5353</v>
      </c>
      <c r="C8" s="465"/>
      <c r="D8" s="319" t="str">
        <f>IF(Entity_Name="","",Entity_Name)</f>
        <v>Life Industry</v>
      </c>
      <c r="E8" s="319" t="str">
        <f>IF(Entity_1="","",Entity_1)</f>
        <v>Union Fidelity Life Ins Co.</v>
      </c>
      <c r="F8" s="319" t="str">
        <f>IF(Entity_2="","",Entity_2)</f>
        <v>Wilton Reassurance Co.</v>
      </c>
      <c r="G8" s="319" t="str">
        <f>IF(Entity_3="","",Entity_3)</f>
        <v>Amer Family Life Assr Co</v>
      </c>
      <c r="H8" s="319" t="str">
        <f>IF(Entity_4="","",Entity_4)</f>
        <v>Mutual of Omaha Insurance Co.</v>
      </c>
      <c r="I8" s="319" t="str">
        <f>IF(Entity_5="","",Entity_5)</f>
        <v>Provident Life &amp; Accident Ins</v>
      </c>
      <c r="J8" s="319" t="str">
        <f>IF(Entity_6="","",Entity_6)</f>
        <v>Genworth Life Ins Co. of NY</v>
      </c>
      <c r="K8" s="319" t="str">
        <f>IF(Entity_7="","",Entity_7)</f>
        <v>Washington National Ins Co.</v>
      </c>
      <c r="L8" s="319" t="str">
        <f>IF(Entity_8="","",Entity_8)</f>
        <v>Continental General Ins Co.</v>
      </c>
      <c r="M8" s="319" t="str">
        <f>IF(Entity_9="","",Entity_9)</f>
        <v>Berkshire Life Ins Co. of Am</v>
      </c>
      <c r="N8" s="320" t="str">
        <f>IF(Entity_10="","",Entity_10)</f>
        <v>Colonial Life &amp; Accdt Ins Co.</v>
      </c>
    </row>
    <row r="9" spans="2:14" s="6" customFormat="1" ht="11.25" customHeight="1" thickBot="1" x14ac:dyDescent="0.6">
      <c r="B9" s="297"/>
      <c r="C9" s="466"/>
      <c r="D9" s="271" t="str">
        <f>D6</f>
        <v>2014Y</v>
      </c>
      <c r="E9" s="271" t="str">
        <f t="shared" ref="E9:N9" si="1">E6</f>
        <v>2014Y</v>
      </c>
      <c r="F9" s="271" t="str">
        <f t="shared" si="1"/>
        <v>2014Y</v>
      </c>
      <c r="G9" s="271" t="str">
        <f t="shared" si="1"/>
        <v>2014Y</v>
      </c>
      <c r="H9" s="271" t="str">
        <f t="shared" si="1"/>
        <v>2014Y</v>
      </c>
      <c r="I9" s="271" t="str">
        <f t="shared" si="1"/>
        <v>2014Y</v>
      </c>
      <c r="J9" s="271" t="str">
        <f t="shared" si="1"/>
        <v>2014Y</v>
      </c>
      <c r="K9" s="271" t="str">
        <f t="shared" si="1"/>
        <v>2014Y</v>
      </c>
      <c r="L9" s="271" t="str">
        <f t="shared" si="1"/>
        <v>2014Y</v>
      </c>
      <c r="M9" s="271" t="str">
        <f t="shared" si="1"/>
        <v>2014Y</v>
      </c>
      <c r="N9" s="271" t="str">
        <f t="shared" si="1"/>
        <v>2014Y</v>
      </c>
    </row>
    <row r="10" spans="2:14" s="6" customFormat="1" ht="11.25" customHeight="1" thickBot="1" x14ac:dyDescent="0.6">
      <c r="B10" s="253" t="s">
        <v>5364</v>
      </c>
      <c r="C10" s="253"/>
      <c r="D10" s="253"/>
      <c r="E10" s="253"/>
      <c r="F10" s="253"/>
      <c r="G10" s="253"/>
      <c r="H10" s="253"/>
      <c r="I10" s="253"/>
      <c r="J10" s="253"/>
      <c r="K10" s="253"/>
      <c r="L10" s="253"/>
      <c r="M10" s="253"/>
      <c r="N10" s="253"/>
    </row>
    <row r="11" spans="2:14" s="6" customFormat="1" ht="11.25" customHeight="1" x14ac:dyDescent="0.55000000000000004">
      <c r="B11" s="246" t="s">
        <v>4945</v>
      </c>
      <c r="C11" s="308">
        <v>202219</v>
      </c>
      <c r="D11" s="309">
        <v>42004</v>
      </c>
      <c r="E11" s="311">
        <v>42004</v>
      </c>
      <c r="F11" s="311">
        <v>42004</v>
      </c>
      <c r="G11" s="311">
        <v>42004</v>
      </c>
      <c r="H11" s="311">
        <v>42004</v>
      </c>
      <c r="I11" s="311">
        <v>42004</v>
      </c>
      <c r="J11" s="311">
        <v>42004</v>
      </c>
      <c r="K11" s="311">
        <v>42004</v>
      </c>
      <c r="L11" s="311">
        <v>42004</v>
      </c>
      <c r="M11" s="311">
        <v>42004</v>
      </c>
      <c r="N11" s="311">
        <v>42004</v>
      </c>
    </row>
    <row r="12" spans="2:14" s="6" customFormat="1" ht="11.25" customHeight="1" x14ac:dyDescent="0.55000000000000004">
      <c r="B12" s="246" t="s">
        <v>4947</v>
      </c>
      <c r="C12" s="247"/>
      <c r="D12" s="248"/>
      <c r="E12" s="248"/>
      <c r="F12" s="248"/>
      <c r="G12" s="248"/>
      <c r="H12" s="248"/>
      <c r="I12" s="321"/>
      <c r="J12" s="321"/>
      <c r="K12" s="321"/>
      <c r="L12" s="321"/>
      <c r="M12" s="321"/>
      <c r="N12" s="321"/>
    </row>
    <row r="13" spans="2:14" s="6" customFormat="1" ht="11.25" customHeight="1" x14ac:dyDescent="0.55000000000000004">
      <c r="B13" s="244" t="s">
        <v>4948</v>
      </c>
      <c r="C13" s="245">
        <v>122914</v>
      </c>
      <c r="D13" s="279">
        <v>3631569036.5766702</v>
      </c>
      <c r="E13" s="279">
        <v>19290691.015999999</v>
      </c>
      <c r="F13" s="279">
        <v>2644984.3250000002</v>
      </c>
      <c r="G13" s="279">
        <v>99200685.563999996</v>
      </c>
      <c r="H13" s="279">
        <v>5627871.3119999999</v>
      </c>
      <c r="I13" s="303">
        <v>7718054.3380000005</v>
      </c>
      <c r="J13" s="303">
        <v>7154927.9410000006</v>
      </c>
      <c r="K13" s="303">
        <v>4631192.1550000003</v>
      </c>
      <c r="L13" s="303">
        <v>231245.22500000001</v>
      </c>
      <c r="M13" s="303">
        <v>3250330.29</v>
      </c>
      <c r="N13" s="303">
        <v>2629939.2489999998</v>
      </c>
    </row>
    <row r="14" spans="2:14" s="6" customFormat="1" ht="11.25" customHeight="1" x14ac:dyDescent="0.55000000000000004">
      <c r="B14" s="244" t="s">
        <v>4949</v>
      </c>
      <c r="C14" s="245">
        <v>123429</v>
      </c>
      <c r="D14" s="279">
        <v>2423541834.993</v>
      </c>
      <c r="E14" s="279">
        <v>0</v>
      </c>
      <c r="F14" s="279">
        <v>0</v>
      </c>
      <c r="G14" s="279">
        <v>0</v>
      </c>
      <c r="H14" s="279">
        <v>0</v>
      </c>
      <c r="I14" s="303">
        <v>0</v>
      </c>
      <c r="J14" s="303">
        <v>1116740.2960000001</v>
      </c>
      <c r="K14" s="303">
        <v>5593.7740000000003</v>
      </c>
      <c r="L14" s="303">
        <v>0</v>
      </c>
      <c r="M14" s="303">
        <v>0</v>
      </c>
      <c r="N14" s="303">
        <v>0</v>
      </c>
    </row>
    <row r="15" spans="2:14" s="6" customFormat="1" ht="11.25" customHeight="1" x14ac:dyDescent="0.55000000000000004">
      <c r="B15" s="244" t="s">
        <v>4935</v>
      </c>
      <c r="C15" s="245">
        <v>122915</v>
      </c>
      <c r="D15" s="279">
        <v>6259520737.28267</v>
      </c>
      <c r="E15" s="279">
        <v>19673708.526000001</v>
      </c>
      <c r="F15" s="279">
        <v>3095513.352</v>
      </c>
      <c r="G15" s="279">
        <v>100966070.689</v>
      </c>
      <c r="H15" s="279">
        <v>6426766.074</v>
      </c>
      <c r="I15" s="303">
        <v>8297289.7930000005</v>
      </c>
      <c r="J15" s="303">
        <v>8474589.5010000002</v>
      </c>
      <c r="K15" s="303">
        <v>4775251.7680000002</v>
      </c>
      <c r="L15" s="303">
        <v>242413.932</v>
      </c>
      <c r="M15" s="303">
        <v>3377311.1350000002</v>
      </c>
      <c r="N15" s="303">
        <v>2921975.1140000001</v>
      </c>
    </row>
    <row r="16" spans="2:14" s="6" customFormat="1" ht="11.25" customHeight="1" x14ac:dyDescent="0.55000000000000004">
      <c r="B16" s="244" t="s">
        <v>4950</v>
      </c>
      <c r="C16" s="245">
        <v>122916</v>
      </c>
      <c r="D16" s="279">
        <v>155215057.23957503</v>
      </c>
      <c r="E16" s="279">
        <v>200462.26775999999</v>
      </c>
      <c r="F16" s="279">
        <v>856496.13600000006</v>
      </c>
      <c r="G16" s="279">
        <v>1062890.9440000001</v>
      </c>
      <c r="H16" s="279">
        <v>2343145.912</v>
      </c>
      <c r="I16" s="303">
        <v>0</v>
      </c>
      <c r="J16" s="303">
        <v>7273.2550000000001</v>
      </c>
      <c r="K16" s="303">
        <v>50858.78</v>
      </c>
      <c r="L16" s="303">
        <v>0</v>
      </c>
      <c r="M16" s="303">
        <v>0</v>
      </c>
      <c r="N16" s="303">
        <v>0</v>
      </c>
    </row>
    <row r="17" spans="2:14" s="6" customFormat="1" ht="11.25" customHeight="1" x14ac:dyDescent="0.55000000000000004">
      <c r="B17" s="244" t="s">
        <v>4946</v>
      </c>
      <c r="C17" s="247"/>
      <c r="D17" s="279"/>
      <c r="E17" s="279"/>
      <c r="F17" s="279"/>
      <c r="G17" s="279"/>
      <c r="H17" s="279"/>
      <c r="I17" s="303"/>
      <c r="J17" s="303"/>
      <c r="K17" s="303"/>
      <c r="L17" s="303"/>
      <c r="M17" s="303"/>
      <c r="N17" s="303"/>
    </row>
    <row r="18" spans="2:14" s="6" customFormat="1" ht="11.25" customHeight="1" x14ac:dyDescent="0.55000000000000004">
      <c r="B18" s="244" t="s">
        <v>4951</v>
      </c>
      <c r="C18" s="245">
        <v>123430</v>
      </c>
      <c r="D18" s="279">
        <v>2467613614.0929999</v>
      </c>
      <c r="E18" s="279">
        <v>10607998.463</v>
      </c>
      <c r="F18" s="279">
        <v>1922074.1070000001</v>
      </c>
      <c r="G18" s="279">
        <v>20323254.237</v>
      </c>
      <c r="H18" s="279">
        <v>0</v>
      </c>
      <c r="I18" s="303">
        <v>2069097.4410000001</v>
      </c>
      <c r="J18" s="303">
        <v>4021929.4240000001</v>
      </c>
      <c r="K18" s="303">
        <v>1039747.6340000001</v>
      </c>
      <c r="L18" s="303">
        <v>66093.953000000009</v>
      </c>
      <c r="M18" s="303">
        <v>41873.792999999998</v>
      </c>
      <c r="N18" s="303">
        <v>986070.52100000007</v>
      </c>
    </row>
    <row r="19" spans="2:14" s="6" customFormat="1" ht="11.25" customHeight="1" x14ac:dyDescent="0.55000000000000004">
      <c r="B19" s="244" t="s">
        <v>4952</v>
      </c>
      <c r="C19" s="245">
        <v>123431</v>
      </c>
      <c r="D19" s="279">
        <v>223486028.88100001</v>
      </c>
      <c r="E19" s="279">
        <v>5697091.9979999997</v>
      </c>
      <c r="F19" s="279">
        <v>2185.4450000000002</v>
      </c>
      <c r="G19" s="279">
        <v>48662739.354000002</v>
      </c>
      <c r="H19" s="279">
        <v>2304908.5210000002</v>
      </c>
      <c r="I19" s="303">
        <v>4970364.9029999999</v>
      </c>
      <c r="J19" s="303">
        <v>1953579.8740000001</v>
      </c>
      <c r="K19" s="303">
        <v>2311104.4930000002</v>
      </c>
      <c r="L19" s="303">
        <v>144540.057</v>
      </c>
      <c r="M19" s="303">
        <v>599151.81900000002</v>
      </c>
      <c r="N19" s="303">
        <v>1010475.566</v>
      </c>
    </row>
    <row r="20" spans="2:14" s="6" customFormat="1" ht="11.25" customHeight="1" x14ac:dyDescent="0.55000000000000004">
      <c r="B20" s="244" t="s">
        <v>4953</v>
      </c>
      <c r="C20" s="245">
        <v>123432</v>
      </c>
      <c r="D20" s="279">
        <v>2691099642.974</v>
      </c>
      <c r="E20" s="279">
        <v>16305090.461000001</v>
      </c>
      <c r="F20" s="279">
        <v>1924259.5520000001</v>
      </c>
      <c r="G20" s="279">
        <v>68985993.591000006</v>
      </c>
      <c r="H20" s="279">
        <v>2304908.5210000002</v>
      </c>
      <c r="I20" s="303">
        <v>7039462.3440000005</v>
      </c>
      <c r="J20" s="303">
        <v>5975509.2980000004</v>
      </c>
      <c r="K20" s="303">
        <v>3350852.1269999999</v>
      </c>
      <c r="L20" s="303">
        <v>210634.01</v>
      </c>
      <c r="M20" s="303">
        <v>641025.61199999996</v>
      </c>
      <c r="N20" s="303">
        <v>1996546.0870000001</v>
      </c>
    </row>
    <row r="21" spans="2:14" s="6" customFormat="1" ht="11.25" customHeight="1" x14ac:dyDescent="0.55000000000000004">
      <c r="B21" s="244" t="s">
        <v>4954</v>
      </c>
      <c r="C21" s="245">
        <v>123433</v>
      </c>
      <c r="D21" s="279">
        <v>26474272.517999999</v>
      </c>
      <c r="E21" s="279">
        <v>652782.04800000007</v>
      </c>
      <c r="F21" s="279">
        <v>93437.25</v>
      </c>
      <c r="G21" s="279">
        <v>1329129.746</v>
      </c>
      <c r="H21" s="279">
        <v>5473.7820000000002</v>
      </c>
      <c r="I21" s="303">
        <v>68223.425000000003</v>
      </c>
      <c r="J21" s="303">
        <v>33438.595999999998</v>
      </c>
      <c r="K21" s="303">
        <v>148926.364</v>
      </c>
      <c r="L21" s="303">
        <v>754.13400000000001</v>
      </c>
      <c r="M21" s="303">
        <v>35075.368000000002</v>
      </c>
      <c r="N21" s="303">
        <v>14593.892</v>
      </c>
    </row>
    <row r="22" spans="2:14" s="6" customFormat="1" ht="11.25" customHeight="1" x14ac:dyDescent="0.55000000000000004">
      <c r="B22" s="244" t="s">
        <v>4955</v>
      </c>
      <c r="C22" s="245">
        <v>123434</v>
      </c>
      <c r="D22" s="279">
        <v>51038494.180600002</v>
      </c>
      <c r="E22" s="279">
        <v>145445.18100000001</v>
      </c>
      <c r="F22" s="279">
        <v>13196.019</v>
      </c>
      <c r="G22" s="279">
        <v>319333.02</v>
      </c>
      <c r="H22" s="279">
        <v>83398.788</v>
      </c>
      <c r="I22" s="303">
        <v>81877.428</v>
      </c>
      <c r="J22" s="303">
        <v>50545.93</v>
      </c>
      <c r="K22" s="303">
        <v>44958.6</v>
      </c>
      <c r="L22" s="303">
        <v>931.28600000000006</v>
      </c>
      <c r="M22" s="303">
        <v>21701.559000000001</v>
      </c>
      <c r="N22" s="303">
        <v>29140.848000000002</v>
      </c>
    </row>
    <row r="23" spans="2:14" s="6" customFormat="1" ht="11.25" customHeight="1" x14ac:dyDescent="0.55000000000000004">
      <c r="B23" s="244" t="s">
        <v>4956</v>
      </c>
      <c r="C23" s="245">
        <v>122921</v>
      </c>
      <c r="D23" s="279">
        <v>5905552181.6070004</v>
      </c>
      <c r="E23" s="279">
        <v>19155280.168000001</v>
      </c>
      <c r="F23" s="279">
        <v>2252915.557</v>
      </c>
      <c r="G23" s="279">
        <v>90126951.437000006</v>
      </c>
      <c r="H23" s="279">
        <v>3631108.8560000001</v>
      </c>
      <c r="I23" s="303">
        <v>7577330.75</v>
      </c>
      <c r="J23" s="303">
        <v>7993468.6919999998</v>
      </c>
      <c r="K23" s="303">
        <v>4448263.3959999997</v>
      </c>
      <c r="L23" s="303">
        <v>220913.79699999999</v>
      </c>
      <c r="M23" s="303">
        <v>3107848.6329999999</v>
      </c>
      <c r="N23" s="303">
        <v>2354916.7680000002</v>
      </c>
    </row>
    <row r="24" spans="2:14" s="6" customFormat="1" ht="11.25" customHeight="1" x14ac:dyDescent="0.55000000000000004">
      <c r="B24" s="244" t="s">
        <v>4946</v>
      </c>
      <c r="C24" s="247"/>
      <c r="D24" s="279"/>
      <c r="E24" s="279"/>
      <c r="F24" s="279"/>
      <c r="G24" s="279"/>
      <c r="H24" s="279"/>
      <c r="I24" s="303"/>
      <c r="J24" s="303"/>
      <c r="K24" s="303"/>
      <c r="L24" s="303"/>
      <c r="M24" s="303"/>
      <c r="N24" s="303"/>
    </row>
    <row r="25" spans="2:14" s="6" customFormat="1" ht="11.25" customHeight="1" x14ac:dyDescent="0.55000000000000004">
      <c r="B25" s="244" t="s">
        <v>4957</v>
      </c>
      <c r="C25" s="245">
        <v>122922</v>
      </c>
      <c r="D25" s="279">
        <v>30678880.892999999</v>
      </c>
      <c r="E25" s="279">
        <v>0</v>
      </c>
      <c r="F25" s="279">
        <v>0</v>
      </c>
      <c r="G25" s="279">
        <v>0</v>
      </c>
      <c r="H25" s="279">
        <v>719367.59</v>
      </c>
      <c r="I25" s="303">
        <v>0</v>
      </c>
      <c r="J25" s="303">
        <v>0</v>
      </c>
      <c r="K25" s="303">
        <v>0</v>
      </c>
      <c r="L25" s="303">
        <v>0</v>
      </c>
      <c r="M25" s="303">
        <v>0</v>
      </c>
      <c r="N25" s="303">
        <v>0</v>
      </c>
    </row>
    <row r="26" spans="2:14" s="6" customFormat="1" ht="11.25" customHeight="1" x14ac:dyDescent="0.55000000000000004">
      <c r="B26" s="244" t="s">
        <v>4958</v>
      </c>
      <c r="C26" s="245">
        <v>122923</v>
      </c>
      <c r="D26" s="279">
        <v>353968596.65167499</v>
      </c>
      <c r="E26" s="279">
        <v>518428.35700000002</v>
      </c>
      <c r="F26" s="279">
        <v>842597.81700000004</v>
      </c>
      <c r="G26" s="279">
        <v>10839119.252</v>
      </c>
      <c r="H26" s="279">
        <v>2795657.2179999999</v>
      </c>
      <c r="I26" s="303">
        <v>719959.04300000006</v>
      </c>
      <c r="J26" s="303">
        <v>481120.80900000001</v>
      </c>
      <c r="K26" s="303">
        <v>326988.37200000003</v>
      </c>
      <c r="L26" s="303">
        <v>21500.135000000002</v>
      </c>
      <c r="M26" s="303">
        <v>269462.50199999998</v>
      </c>
      <c r="N26" s="303">
        <v>567058.34700000007</v>
      </c>
    </row>
    <row r="27" spans="2:14" s="6" customFormat="1" ht="11.25" customHeight="1" x14ac:dyDescent="0.55000000000000004">
      <c r="B27" s="244" t="s">
        <v>4946</v>
      </c>
      <c r="C27" s="247"/>
      <c r="D27" s="279"/>
      <c r="E27" s="279"/>
      <c r="F27" s="279"/>
      <c r="G27" s="279"/>
      <c r="H27" s="279"/>
      <c r="I27" s="303"/>
      <c r="J27" s="303"/>
      <c r="K27" s="303"/>
      <c r="L27" s="303"/>
      <c r="M27" s="303"/>
      <c r="N27" s="303"/>
    </row>
    <row r="28" spans="2:14" s="6" customFormat="1" ht="11.25" customHeight="1" x14ac:dyDescent="0.55000000000000004">
      <c r="B28" s="244" t="s">
        <v>4959</v>
      </c>
      <c r="C28" s="245">
        <v>122924</v>
      </c>
      <c r="D28" s="278">
        <v>9.2275950000000009</v>
      </c>
      <c r="E28" s="278">
        <v>2.6351328999999999</v>
      </c>
      <c r="F28" s="278">
        <v>27.219970400000001</v>
      </c>
      <c r="G28" s="278">
        <v>10.7354076</v>
      </c>
      <c r="H28" s="278">
        <v>43.500217499999998</v>
      </c>
      <c r="I28" s="306">
        <v>8.6770387000000007</v>
      </c>
      <c r="J28" s="306">
        <v>6.5388783999999998</v>
      </c>
      <c r="K28" s="306">
        <v>6.8555937</v>
      </c>
      <c r="L28" s="306">
        <v>8.8691829000000002</v>
      </c>
      <c r="M28" s="306">
        <v>7.9786105000000003</v>
      </c>
      <c r="N28" s="306">
        <v>19.4066796</v>
      </c>
    </row>
    <row r="29" spans="2:14" s="6" customFormat="1" ht="11.25" customHeight="1" x14ac:dyDescent="0.55000000000000004">
      <c r="B29" s="244" t="s">
        <v>4960</v>
      </c>
      <c r="C29" s="245">
        <v>123435</v>
      </c>
      <c r="D29" s="278">
        <v>835.89058360000001</v>
      </c>
      <c r="E29" s="278">
        <v>3488.7029806</v>
      </c>
      <c r="F29" s="278">
        <v>229.97270109999999</v>
      </c>
      <c r="G29" s="278">
        <v>638.4130073</v>
      </c>
      <c r="H29" s="278">
        <v>82.446034699999998</v>
      </c>
      <c r="I29" s="306">
        <v>979.20523920000005</v>
      </c>
      <c r="J29" s="306">
        <v>1267.509742</v>
      </c>
      <c r="K29" s="306">
        <v>1241.3462672000001</v>
      </c>
      <c r="L29" s="306">
        <v>983.13302680000004</v>
      </c>
      <c r="M29" s="306">
        <v>237.89046980000001</v>
      </c>
      <c r="N29" s="306">
        <v>352.08829880000002</v>
      </c>
    </row>
    <row r="30" spans="2:14" s="6" customFormat="1" ht="11.25" customHeight="1" x14ac:dyDescent="0.55000000000000004">
      <c r="B30" s="244" t="s">
        <v>4946</v>
      </c>
      <c r="C30" s="247"/>
      <c r="D30" s="279"/>
      <c r="E30" s="279"/>
      <c r="F30" s="279"/>
      <c r="G30" s="279"/>
      <c r="H30" s="279"/>
      <c r="I30" s="303"/>
      <c r="J30" s="303"/>
      <c r="K30" s="303"/>
      <c r="L30" s="303"/>
      <c r="M30" s="303"/>
      <c r="N30" s="303"/>
    </row>
    <row r="31" spans="2:14" s="6" customFormat="1" ht="11.25" customHeight="1" x14ac:dyDescent="0.55000000000000004">
      <c r="B31" s="246" t="s">
        <v>4961</v>
      </c>
      <c r="C31" s="247"/>
      <c r="D31" s="279"/>
      <c r="E31" s="279"/>
      <c r="F31" s="279"/>
      <c r="G31" s="279"/>
      <c r="H31" s="279"/>
      <c r="I31" s="303"/>
      <c r="J31" s="303"/>
      <c r="K31" s="303"/>
      <c r="L31" s="303"/>
      <c r="M31" s="303"/>
      <c r="N31" s="303"/>
    </row>
    <row r="32" spans="2:14" s="6" customFormat="1" ht="11.25" customHeight="1" x14ac:dyDescent="0.55000000000000004">
      <c r="B32" s="244" t="s">
        <v>4936</v>
      </c>
      <c r="C32" s="245">
        <v>123436</v>
      </c>
      <c r="D32" s="279">
        <v>647273909.29062998</v>
      </c>
      <c r="E32" s="279">
        <v>285855.30900000001</v>
      </c>
      <c r="F32" s="279">
        <v>610258.63500000001</v>
      </c>
      <c r="G32" s="279">
        <v>19362853.251000002</v>
      </c>
      <c r="H32" s="279">
        <v>2186269.1350000002</v>
      </c>
      <c r="I32" s="303">
        <v>889814.93799999997</v>
      </c>
      <c r="J32" s="303">
        <v>532098.125</v>
      </c>
      <c r="K32" s="303">
        <v>610783.09299999999</v>
      </c>
      <c r="L32" s="303">
        <v>14330.841</v>
      </c>
      <c r="M32" s="303">
        <v>114013.413</v>
      </c>
      <c r="N32" s="303">
        <v>1277471.2150000001</v>
      </c>
    </row>
    <row r="33" spans="2:14" s="6" customFormat="1" ht="11.25" customHeight="1" x14ac:dyDescent="0.55000000000000004">
      <c r="B33" s="244" t="s">
        <v>4962</v>
      </c>
      <c r="C33" s="245">
        <v>122934</v>
      </c>
      <c r="D33" s="279">
        <v>171733049.15720999</v>
      </c>
      <c r="E33" s="279">
        <v>1078495.423</v>
      </c>
      <c r="F33" s="279">
        <v>453532.03200000001</v>
      </c>
      <c r="G33" s="279">
        <v>3240657.966</v>
      </c>
      <c r="H33" s="279">
        <v>146862.307</v>
      </c>
      <c r="I33" s="303">
        <v>465331.17</v>
      </c>
      <c r="J33" s="303">
        <v>331303.12800000003</v>
      </c>
      <c r="K33" s="303">
        <v>270163.70699999999</v>
      </c>
      <c r="L33" s="303">
        <v>15163.477000000001</v>
      </c>
      <c r="M33" s="303">
        <v>192986.84599999999</v>
      </c>
      <c r="N33" s="303">
        <v>149431.16899999999</v>
      </c>
    </row>
    <row r="34" spans="2:14" s="6" customFormat="1" ht="11.25" customHeight="1" x14ac:dyDescent="0.55000000000000004">
      <c r="B34" s="244" t="s">
        <v>4963</v>
      </c>
      <c r="C34" s="245">
        <v>123437</v>
      </c>
      <c r="D34" s="279">
        <v>34270975.314999998</v>
      </c>
      <c r="E34" s="279">
        <v>0</v>
      </c>
      <c r="F34" s="279">
        <v>0</v>
      </c>
      <c r="G34" s="279">
        <v>6173.1750000000002</v>
      </c>
      <c r="H34" s="279">
        <v>0</v>
      </c>
      <c r="I34" s="303">
        <v>0</v>
      </c>
      <c r="J34" s="303">
        <v>19412.155999999999</v>
      </c>
      <c r="K34" s="303">
        <v>73.168000000000006</v>
      </c>
      <c r="L34" s="303">
        <v>0</v>
      </c>
      <c r="M34" s="303">
        <v>0</v>
      </c>
      <c r="N34" s="303">
        <v>0</v>
      </c>
    </row>
    <row r="35" spans="2:14" s="6" customFormat="1" ht="11.25" customHeight="1" x14ac:dyDescent="0.55000000000000004">
      <c r="B35" s="244" t="s">
        <v>4933</v>
      </c>
      <c r="C35" s="245">
        <v>123438</v>
      </c>
      <c r="D35" s="279">
        <v>877991644.98000002</v>
      </c>
      <c r="E35" s="279">
        <v>1457085.777</v>
      </c>
      <c r="F35" s="279">
        <v>251320.16099999999</v>
      </c>
      <c r="G35" s="279">
        <v>22930615.962000001</v>
      </c>
      <c r="H35" s="279">
        <v>2388638.3020000001</v>
      </c>
      <c r="I35" s="303">
        <v>1325136.148</v>
      </c>
      <c r="J35" s="303">
        <v>904353.28500000003</v>
      </c>
      <c r="K35" s="303">
        <v>884035.20000000007</v>
      </c>
      <c r="L35" s="303">
        <v>36607.788</v>
      </c>
      <c r="M35" s="303">
        <v>530261.85199999996</v>
      </c>
      <c r="N35" s="303">
        <v>1430333.2550000001</v>
      </c>
    </row>
    <row r="36" spans="2:14" s="6" customFormat="1" ht="11.25" customHeight="1" x14ac:dyDescent="0.55000000000000004">
      <c r="B36" s="244" t="s">
        <v>4946</v>
      </c>
      <c r="C36" s="247"/>
      <c r="D36" s="279"/>
      <c r="E36" s="279"/>
      <c r="F36" s="279"/>
      <c r="G36" s="279"/>
      <c r="H36" s="279"/>
      <c r="I36" s="303"/>
      <c r="J36" s="303"/>
      <c r="K36" s="303"/>
      <c r="L36" s="303"/>
      <c r="M36" s="303"/>
      <c r="N36" s="303"/>
    </row>
    <row r="37" spans="2:14" s="6" customFormat="1" ht="11.25" customHeight="1" x14ac:dyDescent="0.55000000000000004">
      <c r="B37" s="244" t="s">
        <v>4964</v>
      </c>
      <c r="C37" s="245">
        <v>123439</v>
      </c>
      <c r="D37" s="279">
        <v>251752086.87799999</v>
      </c>
      <c r="E37" s="279">
        <v>1243755.9210000001</v>
      </c>
      <c r="F37" s="279">
        <v>269206.038</v>
      </c>
      <c r="G37" s="279">
        <v>7850724.7860000003</v>
      </c>
      <c r="H37" s="279">
        <v>1436911.6230000001</v>
      </c>
      <c r="I37" s="303">
        <v>393583.17</v>
      </c>
      <c r="J37" s="303">
        <v>271583.12900000002</v>
      </c>
      <c r="K37" s="303">
        <v>459216.02500000002</v>
      </c>
      <c r="L37" s="303">
        <v>15612.585000000001</v>
      </c>
      <c r="M37" s="303">
        <v>55786.74</v>
      </c>
      <c r="N37" s="303">
        <v>544538.723</v>
      </c>
    </row>
    <row r="38" spans="2:14" s="6" customFormat="1" ht="11.25" customHeight="1" x14ac:dyDescent="0.55000000000000004">
      <c r="B38" s="244" t="s">
        <v>4965</v>
      </c>
      <c r="C38" s="245">
        <v>123440</v>
      </c>
      <c r="D38" s="279">
        <v>281532892.41500002</v>
      </c>
      <c r="E38" s="279">
        <v>377539.72200000001</v>
      </c>
      <c r="F38" s="279">
        <v>60097.296999999999</v>
      </c>
      <c r="G38" s="279">
        <v>544371.06700000004</v>
      </c>
      <c r="H38" s="279">
        <v>0</v>
      </c>
      <c r="I38" s="303">
        <v>69353.441999999995</v>
      </c>
      <c r="J38" s="303">
        <v>462329.70500000002</v>
      </c>
      <c r="K38" s="303">
        <v>73682.384000000005</v>
      </c>
      <c r="L38" s="303">
        <v>4033.145</v>
      </c>
      <c r="M38" s="303">
        <v>32.506</v>
      </c>
      <c r="N38" s="303">
        <v>36967.762000000002</v>
      </c>
    </row>
    <row r="39" spans="2:14" s="6" customFormat="1" ht="11.25" customHeight="1" x14ac:dyDescent="0.55000000000000004">
      <c r="B39" s="244" t="s">
        <v>4966</v>
      </c>
      <c r="C39" s="245">
        <v>123441</v>
      </c>
      <c r="D39" s="279">
        <v>108734428.991</v>
      </c>
      <c r="E39" s="279">
        <v>435383.03200000001</v>
      </c>
      <c r="F39" s="279">
        <v>-627980.34700000007</v>
      </c>
      <c r="G39" s="279">
        <v>5769677.1000000006</v>
      </c>
      <c r="H39" s="279">
        <v>178343.046</v>
      </c>
      <c r="I39" s="303">
        <v>-22201.506000000001</v>
      </c>
      <c r="J39" s="303">
        <v>263949.88300000003</v>
      </c>
      <c r="K39" s="303">
        <v>-9982.8320000000003</v>
      </c>
      <c r="L39" s="303">
        <v>4937.2790000000005</v>
      </c>
      <c r="M39" s="303">
        <v>45405.826000000001</v>
      </c>
      <c r="N39" s="303">
        <v>113866.675</v>
      </c>
    </row>
    <row r="40" spans="2:14" s="6" customFormat="1" ht="11.25" customHeight="1" x14ac:dyDescent="0.55000000000000004">
      <c r="B40" s="244" t="s">
        <v>4967</v>
      </c>
      <c r="C40" s="245">
        <v>123442</v>
      </c>
      <c r="D40" s="279">
        <v>52063513.546999998</v>
      </c>
      <c r="E40" s="279">
        <v>54422.762999999999</v>
      </c>
      <c r="F40" s="279">
        <v>7902.2669999999998</v>
      </c>
      <c r="G40" s="279">
        <v>2427178.023</v>
      </c>
      <c r="H40" s="279">
        <v>428341.46299999999</v>
      </c>
      <c r="I40" s="303">
        <v>167217.05600000001</v>
      </c>
      <c r="J40" s="303">
        <v>51770.22</v>
      </c>
      <c r="K40" s="303">
        <v>125392.47600000001</v>
      </c>
      <c r="L40" s="303">
        <v>3920.482</v>
      </c>
      <c r="M40" s="303">
        <v>129191.124</v>
      </c>
      <c r="N40" s="303">
        <v>256254.42199999999</v>
      </c>
    </row>
    <row r="41" spans="2:14" s="6" customFormat="1" ht="11.25" customHeight="1" x14ac:dyDescent="0.55000000000000004">
      <c r="B41" s="244" t="s">
        <v>4968</v>
      </c>
      <c r="C41" s="245">
        <v>123443</v>
      </c>
      <c r="D41" s="279">
        <v>58950535.903999999</v>
      </c>
      <c r="E41" s="279">
        <v>41934.04</v>
      </c>
      <c r="F41" s="279">
        <v>42842.67</v>
      </c>
      <c r="G41" s="279">
        <v>2625885.3909999998</v>
      </c>
      <c r="H41" s="279">
        <v>193681.16500000001</v>
      </c>
      <c r="I41" s="303">
        <v>204754.829</v>
      </c>
      <c r="J41" s="303">
        <v>44256.476000000002</v>
      </c>
      <c r="K41" s="303">
        <v>128111.755</v>
      </c>
      <c r="L41" s="303">
        <v>4540.4949999999999</v>
      </c>
      <c r="M41" s="303">
        <v>116798.92600000001</v>
      </c>
      <c r="N41" s="303">
        <v>202806.86000000002</v>
      </c>
    </row>
    <row r="42" spans="2:14" s="6" customFormat="1" ht="11.25" customHeight="1" x14ac:dyDescent="0.55000000000000004">
      <c r="B42" s="244" t="s">
        <v>4969</v>
      </c>
      <c r="C42" s="245">
        <v>123444</v>
      </c>
      <c r="D42" s="279">
        <v>-16464688.812000001</v>
      </c>
      <c r="E42" s="279">
        <v>-341766.05900000001</v>
      </c>
      <c r="F42" s="279">
        <v>0</v>
      </c>
      <c r="G42" s="279">
        <v>0</v>
      </c>
      <c r="H42" s="279">
        <v>0</v>
      </c>
      <c r="I42" s="303">
        <v>0</v>
      </c>
      <c r="J42" s="303">
        <v>-108127.44100000001</v>
      </c>
      <c r="K42" s="303">
        <v>-5269.0789999999997</v>
      </c>
      <c r="L42" s="303">
        <v>0</v>
      </c>
      <c r="M42" s="303">
        <v>0</v>
      </c>
      <c r="N42" s="303">
        <v>0</v>
      </c>
    </row>
    <row r="43" spans="2:14" s="6" customFormat="1" ht="11.25" customHeight="1" x14ac:dyDescent="0.55000000000000004">
      <c r="B43" s="244" t="s">
        <v>4970</v>
      </c>
      <c r="C43" s="245">
        <v>122932</v>
      </c>
      <c r="D43" s="279">
        <v>16430514.796</v>
      </c>
      <c r="E43" s="279">
        <v>0</v>
      </c>
      <c r="F43" s="279">
        <v>0</v>
      </c>
      <c r="G43" s="279">
        <v>1.0070000000000001</v>
      </c>
      <c r="H43" s="279">
        <v>29.916</v>
      </c>
      <c r="I43" s="303">
        <v>0</v>
      </c>
      <c r="J43" s="303">
        <v>15.992000000000001</v>
      </c>
      <c r="K43" s="303">
        <v>587.60199999999998</v>
      </c>
      <c r="L43" s="303">
        <v>15.282999999999999</v>
      </c>
      <c r="M43" s="303">
        <v>450.10500000000002</v>
      </c>
      <c r="N43" s="303">
        <v>0</v>
      </c>
    </row>
    <row r="44" spans="2:14" s="6" customFormat="1" ht="11.25" customHeight="1" x14ac:dyDescent="0.55000000000000004">
      <c r="B44" s="244" t="s">
        <v>4971</v>
      </c>
      <c r="C44" s="245">
        <v>122936</v>
      </c>
      <c r="D44" s="279">
        <v>10106056.346000001</v>
      </c>
      <c r="E44" s="279">
        <v>-66654.271999999997</v>
      </c>
      <c r="F44" s="279">
        <v>46717.838000000003</v>
      </c>
      <c r="G44" s="279">
        <v>1084470.193</v>
      </c>
      <c r="H44" s="279">
        <v>18396.965</v>
      </c>
      <c r="I44" s="303">
        <v>60599.224000000002</v>
      </c>
      <c r="J44" s="303">
        <v>-260.35700000000003</v>
      </c>
      <c r="K44" s="303">
        <v>15923.550999999999</v>
      </c>
      <c r="L44" s="303">
        <v>-839.57900000000006</v>
      </c>
      <c r="M44" s="303">
        <v>6477.2240000000002</v>
      </c>
      <c r="N44" s="303">
        <v>83142.600999999995</v>
      </c>
    </row>
    <row r="45" spans="2:14" s="6" customFormat="1" ht="11.25" customHeight="1" x14ac:dyDescent="0.55000000000000004">
      <c r="B45" s="244" t="s">
        <v>4972</v>
      </c>
      <c r="C45" s="245">
        <v>122935</v>
      </c>
      <c r="D45" s="279">
        <v>-1306441.395</v>
      </c>
      <c r="E45" s="279">
        <v>7392.576</v>
      </c>
      <c r="F45" s="279">
        <v>1510.4470000000001</v>
      </c>
      <c r="G45" s="279">
        <v>-22100.554</v>
      </c>
      <c r="H45" s="279">
        <v>-11101.789000000001</v>
      </c>
      <c r="I45" s="303">
        <v>188.21899999999999</v>
      </c>
      <c r="J45" s="303">
        <v>2211.4870000000001</v>
      </c>
      <c r="K45" s="303">
        <v>-11006.232</v>
      </c>
      <c r="L45" s="303">
        <v>-1496.5029999999999</v>
      </c>
      <c r="M45" s="303">
        <v>-1136.4760000000001</v>
      </c>
      <c r="N45" s="303">
        <v>1598.886</v>
      </c>
    </row>
    <row r="46" spans="2:14" s="6" customFormat="1" ht="11.25" customHeight="1" x14ac:dyDescent="0.55000000000000004">
      <c r="B46" s="244" t="s">
        <v>4934</v>
      </c>
      <c r="C46" s="245">
        <v>122937</v>
      </c>
      <c r="D46" s="279">
        <v>37605615.140000001</v>
      </c>
      <c r="E46" s="279">
        <v>-280805.75599999999</v>
      </c>
      <c r="F46" s="279">
        <v>450625.71</v>
      </c>
      <c r="G46" s="279">
        <v>2392617.642</v>
      </c>
      <c r="H46" s="279">
        <v>30360.861000000001</v>
      </c>
      <c r="I46" s="303">
        <v>187050.09599999999</v>
      </c>
      <c r="J46" s="303">
        <v>-93289.838000000003</v>
      </c>
      <c r="K46" s="303">
        <v>50789.993000000002</v>
      </c>
      <c r="L46" s="303">
        <v>1944.174</v>
      </c>
      <c r="M46" s="303">
        <v>16943.156999999999</v>
      </c>
      <c r="N46" s="303">
        <v>160939.11000000002</v>
      </c>
    </row>
    <row r="47" spans="2:14" s="6" customFormat="1" ht="11.25" customHeight="1" x14ac:dyDescent="0.55000000000000004">
      <c r="B47" s="244" t="s">
        <v>4946</v>
      </c>
      <c r="C47" s="247"/>
      <c r="D47" s="279"/>
      <c r="E47" s="279"/>
      <c r="F47" s="279"/>
      <c r="G47" s="279"/>
      <c r="H47" s="279"/>
      <c r="I47" s="303"/>
      <c r="J47" s="303"/>
      <c r="K47" s="303"/>
      <c r="L47" s="303"/>
      <c r="M47" s="303"/>
      <c r="N47" s="303"/>
    </row>
    <row r="48" spans="2:14" s="6" customFormat="1" ht="11.25" customHeight="1" x14ac:dyDescent="0.55000000000000004">
      <c r="B48" s="244" t="s">
        <v>4973</v>
      </c>
      <c r="C48" s="245">
        <v>123445</v>
      </c>
      <c r="D48" s="279">
        <v>49012242.648000002</v>
      </c>
      <c r="E48" s="279">
        <v>-354852.60399999999</v>
      </c>
      <c r="F48" s="279">
        <v>495833.10100000002</v>
      </c>
      <c r="G48" s="279">
        <v>3499188.389</v>
      </c>
      <c r="H48" s="279">
        <v>59859.614999999998</v>
      </c>
      <c r="I48" s="303">
        <v>247461.101</v>
      </c>
      <c r="J48" s="303">
        <v>-95761.682000000001</v>
      </c>
      <c r="K48" s="303">
        <v>77719.775999999998</v>
      </c>
      <c r="L48" s="303">
        <v>2601.098</v>
      </c>
      <c r="M48" s="303">
        <v>24556.858</v>
      </c>
      <c r="N48" s="303">
        <v>242482.82500000001</v>
      </c>
    </row>
    <row r="49" spans="2:14" s="6" customFormat="1" ht="11.25" customHeight="1" x14ac:dyDescent="0.55000000000000004">
      <c r="B49" s="244" t="s">
        <v>4946</v>
      </c>
      <c r="C49" s="247"/>
      <c r="D49" s="248"/>
      <c r="E49" s="248"/>
      <c r="F49" s="248"/>
      <c r="G49" s="248"/>
      <c r="H49" s="248"/>
      <c r="I49" s="321"/>
      <c r="J49" s="321"/>
      <c r="K49" s="321"/>
      <c r="L49" s="321"/>
      <c r="M49" s="321"/>
      <c r="N49" s="321"/>
    </row>
    <row r="50" spans="2:14" s="6" customFormat="1" ht="11.25" customHeight="1" x14ac:dyDescent="0.55000000000000004">
      <c r="B50" s="246" t="s">
        <v>4974</v>
      </c>
      <c r="C50" s="247"/>
      <c r="D50" s="248"/>
      <c r="E50" s="248"/>
      <c r="F50" s="248"/>
      <c r="G50" s="248"/>
      <c r="H50" s="248"/>
      <c r="I50" s="321"/>
      <c r="J50" s="321"/>
      <c r="K50" s="321"/>
      <c r="L50" s="321"/>
      <c r="M50" s="321"/>
      <c r="N50" s="321"/>
    </row>
    <row r="51" spans="2:14" s="6" customFormat="1" ht="11.25" customHeight="1" x14ac:dyDescent="0.55000000000000004">
      <c r="B51" s="244" t="s">
        <v>4908</v>
      </c>
      <c r="C51" s="245"/>
      <c r="D51" s="278">
        <f>IF(LEFT(D$6,4)&gt;"2018",D67,D70)</f>
        <v>20.686921600000002</v>
      </c>
      <c r="E51" s="278">
        <f>IF(LEFT(E$6,4)&gt;"2018",E67,E70)</f>
        <v>5.7512841000000003</v>
      </c>
      <c r="F51" s="278">
        <f>IF(LEFT(F$6,4)&gt;"2018",F67,F70)</f>
        <v>99.173962200000005</v>
      </c>
      <c r="G51" s="278">
        <f>IF(LEFT(G$6,4)&gt;"2018",G67,G70)</f>
        <v>24.635034900000001</v>
      </c>
      <c r="H51" s="278">
        <f>IF(LEFT(H$6,4)&gt;"2018",H67,H70)</f>
        <v>0</v>
      </c>
      <c r="I51" s="278">
        <f>IF(LEFT(I$6,4)&gt;"2018",I67,I70)</f>
        <v>31.449392499999998</v>
      </c>
      <c r="J51" s="278">
        <f>IF(LEFT(J$6,4)&gt;"2018",J67,J70)</f>
        <v>8.6412593999999991</v>
      </c>
      <c r="K51" s="278">
        <f>IF(LEFT(K$6,4)&gt;"2018",K67,K70)</f>
        <v>4.4192318999999998</v>
      </c>
      <c r="L51" s="278">
        <f>IF(LEFT(L$6,4)&gt;"2018",L67,L70)</f>
        <v>35.880183199999998</v>
      </c>
      <c r="M51" s="278">
        <f>IF(LEFT(M$6,4)&gt;"2018",M67,M70)</f>
        <v>1.2152816</v>
      </c>
      <c r="N51" s="278">
        <f>IF(LEFT(N$6,4)&gt;"2018",N67,N70)</f>
        <v>20.793620700000002</v>
      </c>
    </row>
    <row r="52" spans="2:14" s="6" customFormat="1" ht="11.25" customHeight="1" x14ac:dyDescent="0.55000000000000004">
      <c r="B52" s="244" t="s">
        <v>4975</v>
      </c>
      <c r="C52" s="245"/>
      <c r="D52" s="278">
        <f>IF(LEFT(D$6,4)&gt;"2018",D68,D71)</f>
        <v>54.5091757</v>
      </c>
      <c r="E52" s="278">
        <f>IF(LEFT(E$6,4)&gt;"2018",E68,E71)</f>
        <v>6.1406821999999996</v>
      </c>
      <c r="F52" s="278">
        <f>IF(LEFT(F$6,4)&gt;"2018",F68,F71)</f>
        <v>3.1687100000000003E-2</v>
      </c>
      <c r="G52" s="278">
        <f>IF(LEFT(G$6,4)&gt;"2018",G68,G71)</f>
        <v>4.0200212999999998</v>
      </c>
      <c r="H52" s="278">
        <f>IF(LEFT(H$6,4)&gt;"2018",H68,H71)</f>
        <v>0</v>
      </c>
      <c r="I52" s="278">
        <f>IF(LEFT(I$6,4)&gt;"2018",I68,I71)</f>
        <v>0</v>
      </c>
      <c r="J52" s="278">
        <f>IF(LEFT(J$6,4)&gt;"2018",J68,J71)</f>
        <v>55.664485599999999</v>
      </c>
      <c r="K52" s="278">
        <f>IF(LEFT(K$6,4)&gt;"2018",K68,K71)</f>
        <v>0.41787489999999999</v>
      </c>
      <c r="L52" s="278">
        <f>IF(LEFT(L$6,4)&gt;"2018",L68,L71)</f>
        <v>1.1570919</v>
      </c>
      <c r="M52" s="278">
        <f>IF(LEFT(M$6,4)&gt;"2018",M68,M71)</f>
        <v>0</v>
      </c>
      <c r="N52" s="278">
        <f>IF(LEFT(N$6,4)&gt;"2018",N68,N71)</f>
        <v>0</v>
      </c>
    </row>
    <row r="53" spans="2:14" s="6" customFormat="1" ht="11.25" customHeight="1" x14ac:dyDescent="0.55000000000000004">
      <c r="B53" s="244" t="s">
        <v>4976</v>
      </c>
      <c r="C53" s="245"/>
      <c r="D53" s="278">
        <f>IF(LEFT(D$6,4)&gt;"2018",D63,D72)</f>
        <v>24.194672499999999</v>
      </c>
      <c r="E53" s="278">
        <f>IF(LEFT(E$6,4)&gt;"2018",E63,E72)</f>
        <v>88.108059600000004</v>
      </c>
      <c r="F53" s="278">
        <f>IF(LEFT(F$6,4)&gt;"2018",F63,F72)</f>
        <v>9.4148300000000004E-2</v>
      </c>
      <c r="G53" s="278">
        <f>IF(LEFT(G$6,4)&gt;"2018",G63,G72)</f>
        <v>71.344943700000002</v>
      </c>
      <c r="H53" s="278">
        <f>IF(LEFT(H$6,4)&gt;"2018",H63,H72)</f>
        <v>100</v>
      </c>
      <c r="I53" s="278">
        <f>IF(LEFT(I$6,4)&gt;"2018",I63,I72)</f>
        <v>68.550127700000004</v>
      </c>
      <c r="J53" s="278">
        <f>IF(LEFT(J$6,4)&gt;"2018",J63,J72)</f>
        <v>33.744054800000001</v>
      </c>
      <c r="K53" s="278">
        <f>IF(LEFT(K$6,4)&gt;"2018",K63,K72)</f>
        <v>95.039833400000006</v>
      </c>
      <c r="L53" s="278">
        <f>IF(LEFT(L$6,4)&gt;"2018",L63,L72)</f>
        <v>62.962724899999998</v>
      </c>
      <c r="M53" s="278">
        <f>IF(LEFT(M$6,4)&gt;"2018",M63,M72)</f>
        <v>98.784718400000003</v>
      </c>
      <c r="N53" s="278">
        <f>IF(LEFT(N$6,4)&gt;"2018",N63,N72)</f>
        <v>79.206379299999995</v>
      </c>
    </row>
    <row r="54" spans="2:14" s="6" customFormat="1" ht="11.25" customHeight="1" x14ac:dyDescent="0.55000000000000004">
      <c r="B54" s="292" t="s">
        <v>5385</v>
      </c>
      <c r="C54" s="245"/>
      <c r="D54" s="278">
        <f>IF(LEFT(D$6,4)&gt;"2018","NA",D73)</f>
        <v>0.2145292</v>
      </c>
      <c r="E54" s="278">
        <f>IF(LEFT(E$6,4)&gt;"2018","NA",E73)</f>
        <v>-2.5899999999999999E-5</v>
      </c>
      <c r="F54" s="278">
        <f>IF(LEFT(F$6,4)&gt;"2018","NA",F73)</f>
        <v>0</v>
      </c>
      <c r="G54" s="278">
        <f>IF(LEFT(G$6,4)&gt;"2018","NA",G73)</f>
        <v>0</v>
      </c>
      <c r="H54" s="278">
        <f>IF(LEFT(H$6,4)&gt;"2018","NA",H73)</f>
        <v>0</v>
      </c>
      <c r="I54" s="278">
        <f>IF(LEFT(I$6,4)&gt;"2018","NA",I73)</f>
        <v>4.8000000000000001E-4</v>
      </c>
      <c r="J54" s="278">
        <f>IF(LEFT(J$6,4)&gt;"2018","NA",J73)</f>
        <v>0</v>
      </c>
      <c r="K54" s="278">
        <f>IF(LEFT(K$6,4)&gt;"2018","NA",K73)</f>
        <v>0</v>
      </c>
      <c r="L54" s="278">
        <f>IF(LEFT(L$6,4)&gt;"2018","NA",L73)</f>
        <v>0</v>
      </c>
      <c r="M54" s="278">
        <f>IF(LEFT(M$6,4)&gt;"2018","NA",M73)</f>
        <v>0</v>
      </c>
      <c r="N54" s="278">
        <f>IF(LEFT(N$6,4)&gt;"2018","NA",N73)</f>
        <v>0</v>
      </c>
    </row>
    <row r="55" spans="2:14" s="6" customFormat="1" ht="11.25" customHeight="1" x14ac:dyDescent="0.55000000000000004">
      <c r="B55" s="244" t="s">
        <v>4977</v>
      </c>
      <c r="C55" s="245"/>
      <c r="D55" s="278">
        <f>IF(LEFT(D$6,4)&gt;"2018",IF(COUNT(D64:D66)=0,"NA",SUM(D64:D66)),D74)</f>
        <v>0.39470110000000003</v>
      </c>
      <c r="E55" s="278">
        <f>IF(LEFT(E$6,4)&gt;"2018",IF(COUNT(E64:E66)=0,"NA",SUM(E64:E66)),E74)</f>
        <v>0</v>
      </c>
      <c r="F55" s="278">
        <f>IF(LEFT(F$6,4)&gt;"2018",IF(COUNT(F64:F66)=0,"NA",SUM(F64:F66)),F74)</f>
        <v>0.70020249999999995</v>
      </c>
      <c r="G55" s="278">
        <f>IF(LEFT(G$6,4)&gt;"2018",IF(COUNT(G64:G66)=0,"NA",SUM(G64:G66)),G74)</f>
        <v>0</v>
      </c>
      <c r="H55" s="278">
        <f>IF(LEFT(H$6,4)&gt;"2018",IF(COUNT(H64:H66)=0,"NA",SUM(H64:H66)),H74)</f>
        <v>0</v>
      </c>
      <c r="I55" s="278">
        <f>IF(LEFT(I$6,4)&gt;"2018",IF(COUNT(I64:I66)=0,"NA",SUM(I64:I66)),I74)</f>
        <v>0</v>
      </c>
      <c r="J55" s="278">
        <f>IF(LEFT(J$6,4)&gt;"2018",IF(COUNT(J64:J66)=0,"NA",SUM(J64:J66)),J74)</f>
        <v>1.9502003000000001</v>
      </c>
      <c r="K55" s="278">
        <f>IF(LEFT(K$6,4)&gt;"2018",IF(COUNT(K64:K66)=0,"NA",SUM(K64:K66)),K74)</f>
        <v>0.1230599</v>
      </c>
      <c r="L55" s="278">
        <f>IF(LEFT(L$6,4)&gt;"2018",IF(COUNT(L64:L66)=0,"NA",SUM(L64:L66)),L74)</f>
        <v>0</v>
      </c>
      <c r="M55" s="278">
        <f>IF(LEFT(M$6,4)&gt;"2018",IF(COUNT(M64:M66)=0,"NA",SUM(M64:M66)),M74)</f>
        <v>0</v>
      </c>
      <c r="N55" s="278">
        <f>IF(LEFT(N$6,4)&gt;"2018",IF(COUNT(N64:N66)=0,"NA",SUM(N64:N66)),N74)</f>
        <v>0</v>
      </c>
    </row>
    <row r="56" spans="2:14" s="6" customFormat="1" ht="11.25" customHeight="1" x14ac:dyDescent="0.55000000000000004">
      <c r="B56" s="244"/>
      <c r="C56" s="245"/>
      <c r="D56" s="278"/>
      <c r="E56" s="278"/>
      <c r="F56" s="278"/>
      <c r="G56" s="278"/>
      <c r="H56" s="278"/>
      <c r="I56" s="306"/>
      <c r="J56" s="306"/>
      <c r="K56" s="306"/>
      <c r="L56" s="306"/>
      <c r="M56" s="306"/>
      <c r="N56" s="306"/>
    </row>
    <row r="57" spans="2:14" s="6" customFormat="1" ht="11.25" customHeight="1" x14ac:dyDescent="0.55000000000000004">
      <c r="B57" s="246" t="s">
        <v>5509</v>
      </c>
      <c r="C57" s="245"/>
      <c r="D57" s="278"/>
      <c r="E57" s="278"/>
      <c r="F57" s="278"/>
      <c r="G57" s="278"/>
      <c r="H57" s="278"/>
      <c r="I57" s="306"/>
      <c r="J57" s="306"/>
      <c r="K57" s="306"/>
      <c r="L57" s="306"/>
      <c r="M57" s="306"/>
      <c r="N57" s="306"/>
    </row>
    <row r="58" spans="2:14" s="6" customFormat="1" ht="11.25" customHeight="1" x14ac:dyDescent="0.55000000000000004">
      <c r="B58" s="292" t="s">
        <v>5365</v>
      </c>
      <c r="C58" s="245"/>
      <c r="D58" s="278" t="str">
        <f>IFERROR(100*SUM(D77,D90)/SUM(D$77,D$90),"NA")</f>
        <v>NA</v>
      </c>
      <c r="E58" s="278" t="str">
        <f>IFERROR(100*SUM(E77,E90)/SUM(E$77,E$90),"NA")</f>
        <v>NA</v>
      </c>
      <c r="F58" s="278" t="str">
        <f>IFERROR(100*SUM(F77,F90)/SUM(F$77,F$90),"NA")</f>
        <v>NA</v>
      </c>
      <c r="G58" s="278" t="str">
        <f>IFERROR(100*SUM(G77,G90)/SUM(G$77,G$90),"NA")</f>
        <v>NA</v>
      </c>
      <c r="H58" s="278" t="str">
        <f>IFERROR(100*SUM(H77,H90)/SUM(H$77,H$90),"NA")</f>
        <v>NA</v>
      </c>
      <c r="I58" s="278" t="str">
        <f>IFERROR(100*SUM(I77,I90)/SUM(I$77,I$90),"NA")</f>
        <v>NA</v>
      </c>
      <c r="J58" s="278" t="str">
        <f>IFERROR(100*SUM(J77,J90)/SUM(J$77,J$90),"NA")</f>
        <v>NA</v>
      </c>
      <c r="K58" s="278" t="str">
        <f>IFERROR(100*SUM(K77,K90)/SUM(K$77,K$90),"NA")</f>
        <v>NA</v>
      </c>
      <c r="L58" s="278" t="str">
        <f>IFERROR(100*SUM(L77,L90)/SUM(L$77,L$90),"NA")</f>
        <v>NA</v>
      </c>
      <c r="M58" s="278" t="str">
        <f>IFERROR(100*SUM(M77,M90)/SUM(M$77,M$90),"NA")</f>
        <v>NA</v>
      </c>
      <c r="N58" s="278" t="str">
        <f>IFERROR(100*SUM(N77,N90)/SUM(N$77,N$90),"NA")</f>
        <v>NA</v>
      </c>
    </row>
    <row r="59" spans="2:14" s="6" customFormat="1" ht="11.25" customHeight="1" x14ac:dyDescent="0.55000000000000004">
      <c r="B59" s="244" t="s">
        <v>5366</v>
      </c>
      <c r="C59" s="245"/>
      <c r="D59" s="278" t="str">
        <f>IFERROR(100*SUM(D78,D91)/SUM(D$77,D$90),"NA")</f>
        <v>NA</v>
      </c>
      <c r="E59" s="278" t="str">
        <f>IFERROR(100*SUM(E78,E91)/SUM(E$77,E$90),"NA")</f>
        <v>NA</v>
      </c>
      <c r="F59" s="278" t="str">
        <f>IFERROR(100*SUM(F78,F91)/SUM(F$77,F$90),"NA")</f>
        <v>NA</v>
      </c>
      <c r="G59" s="278" t="str">
        <f>IFERROR(100*SUM(G78,G91)/SUM(G$77,G$90),"NA")</f>
        <v>NA</v>
      </c>
      <c r="H59" s="278" t="str">
        <f>IFERROR(100*SUM(H78,H91)/SUM(H$77,H$90),"NA")</f>
        <v>NA</v>
      </c>
      <c r="I59" s="278" t="str">
        <f>IFERROR(100*SUM(I78,I91)/SUM(I$77,I$90),"NA")</f>
        <v>NA</v>
      </c>
      <c r="J59" s="278" t="str">
        <f>IFERROR(100*SUM(J78,J91)/SUM(J$77,J$90),"NA")</f>
        <v>NA</v>
      </c>
      <c r="K59" s="278" t="str">
        <f>IFERROR(100*SUM(K78,K91)/SUM(K$77,K$90),"NA")</f>
        <v>NA</v>
      </c>
      <c r="L59" s="278" t="str">
        <f>IFERROR(100*SUM(L78,L91)/SUM(L$77,L$90),"NA")</f>
        <v>NA</v>
      </c>
      <c r="M59" s="278" t="str">
        <f>IFERROR(100*SUM(M78,M91)/SUM(M$77,M$90),"NA")</f>
        <v>NA</v>
      </c>
      <c r="N59" s="278" t="str">
        <f>IFERROR(100*SUM(N78,N91)/SUM(N$77,N$90),"NA")</f>
        <v>NA</v>
      </c>
    </row>
    <row r="60" spans="2:14" s="6" customFormat="1" ht="11.25" customHeight="1" x14ac:dyDescent="0.55000000000000004">
      <c r="B60" s="244" t="s">
        <v>5122</v>
      </c>
      <c r="C60" s="245"/>
      <c r="D60" s="278" t="str">
        <f>IFERROR(100*SUM(D79,D92)/SUM(D$77,D$90),"NA")</f>
        <v>NA</v>
      </c>
      <c r="E60" s="278" t="str">
        <f>IFERROR(100*SUM(E79,E92)/SUM(E$77,E$90),"NA")</f>
        <v>NA</v>
      </c>
      <c r="F60" s="278" t="str">
        <f>IFERROR(100*SUM(F79,F92)/SUM(F$77,F$90),"NA")</f>
        <v>NA</v>
      </c>
      <c r="G60" s="278" t="str">
        <f>IFERROR(100*SUM(G79,G92)/SUM(G$77,G$90),"NA")</f>
        <v>NA</v>
      </c>
      <c r="H60" s="278" t="str">
        <f>IFERROR(100*SUM(H79,H92)/SUM(H$77,H$90),"NA")</f>
        <v>NA</v>
      </c>
      <c r="I60" s="278" t="str">
        <f>IFERROR(100*SUM(I79,I92)/SUM(I$77,I$90),"NA")</f>
        <v>NA</v>
      </c>
      <c r="J60" s="278" t="str">
        <f>IFERROR(100*SUM(J79,J92)/SUM(J$77,J$90),"NA")</f>
        <v>NA</v>
      </c>
      <c r="K60" s="278" t="str">
        <f>IFERROR(100*SUM(K79,K92)/SUM(K$77,K$90),"NA")</f>
        <v>NA</v>
      </c>
      <c r="L60" s="278" t="str">
        <f>IFERROR(100*SUM(L79,L92)/SUM(L$77,L$90),"NA")</f>
        <v>NA</v>
      </c>
      <c r="M60" s="278" t="str">
        <f>IFERROR(100*SUM(M79,M92)/SUM(M$77,M$90),"NA")</f>
        <v>NA</v>
      </c>
      <c r="N60" s="278" t="str">
        <f>IFERROR(100*SUM(N79,N92)/SUM(N$77,N$90),"NA")</f>
        <v>NA</v>
      </c>
    </row>
    <row r="61" spans="2:14" s="6" customFormat="1" ht="11.25" customHeight="1" x14ac:dyDescent="0.55000000000000004">
      <c r="B61" s="244" t="s">
        <v>5124</v>
      </c>
      <c r="C61" s="245"/>
      <c r="D61" s="278" t="str">
        <f>IFERROR(100*SUM(D80,D93)/SUM(D$77,D$90),"NA")</f>
        <v>NA</v>
      </c>
      <c r="E61" s="278" t="str">
        <f>IFERROR(100*SUM(E80,E93)/SUM(E$77,E$90),"NA")</f>
        <v>NA</v>
      </c>
      <c r="F61" s="278" t="str">
        <f>IFERROR(100*SUM(F80,F93)/SUM(F$77,F$90),"NA")</f>
        <v>NA</v>
      </c>
      <c r="G61" s="278" t="str">
        <f>IFERROR(100*SUM(G80,G93)/SUM(G$77,G$90),"NA")</f>
        <v>NA</v>
      </c>
      <c r="H61" s="278" t="str">
        <f>IFERROR(100*SUM(H80,H93)/SUM(H$77,H$90),"NA")</f>
        <v>NA</v>
      </c>
      <c r="I61" s="278" t="str">
        <f>IFERROR(100*SUM(I80,I93)/SUM(I$77,I$90),"NA")</f>
        <v>NA</v>
      </c>
      <c r="J61" s="278" t="str">
        <f>IFERROR(100*SUM(J80,J93)/SUM(J$77,J$90),"NA")</f>
        <v>NA</v>
      </c>
      <c r="K61" s="278" t="str">
        <f>IFERROR(100*SUM(K80,K93)/SUM(K$77,K$90),"NA")</f>
        <v>NA</v>
      </c>
      <c r="L61" s="278" t="str">
        <f>IFERROR(100*SUM(L80,L93)/SUM(L$77,L$90),"NA")</f>
        <v>NA</v>
      </c>
      <c r="M61" s="278" t="str">
        <f>IFERROR(100*SUM(M80,M93)/SUM(M$77,M$90),"NA")</f>
        <v>NA</v>
      </c>
      <c r="N61" s="278" t="str">
        <f>IFERROR(100*SUM(N80,N93)/SUM(N$77,N$90),"NA")</f>
        <v>NA</v>
      </c>
    </row>
    <row r="62" spans="2:14" s="6" customFormat="1" ht="11.25" customHeight="1" x14ac:dyDescent="0.55000000000000004">
      <c r="B62" s="244" t="s">
        <v>5121</v>
      </c>
      <c r="C62" s="245"/>
      <c r="D62" s="278" t="str">
        <f>IFERROR(100*SUM(D81,D94)/SUM(D$77,D$90),"NA")</f>
        <v>NA</v>
      </c>
      <c r="E62" s="278" t="str">
        <f>IFERROR(100*SUM(E81,E94)/SUM(E$77,E$90),"NA")</f>
        <v>NA</v>
      </c>
      <c r="F62" s="278" t="str">
        <f>IFERROR(100*SUM(F81,F94)/SUM(F$77,F$90),"NA")</f>
        <v>NA</v>
      </c>
      <c r="G62" s="278" t="str">
        <f>IFERROR(100*SUM(G81,G94)/SUM(G$77,G$90),"NA")</f>
        <v>NA</v>
      </c>
      <c r="H62" s="278" t="str">
        <f>IFERROR(100*SUM(H81,H94)/SUM(H$77,H$90),"NA")</f>
        <v>NA</v>
      </c>
      <c r="I62" s="278" t="str">
        <f>IFERROR(100*SUM(I81,I94)/SUM(I$77,I$90),"NA")</f>
        <v>NA</v>
      </c>
      <c r="J62" s="278" t="str">
        <f>IFERROR(100*SUM(J81,J94)/SUM(J$77,J$90),"NA")</f>
        <v>NA</v>
      </c>
      <c r="K62" s="278" t="str">
        <f>IFERROR(100*SUM(K81,K94)/SUM(K$77,K$90),"NA")</f>
        <v>NA</v>
      </c>
      <c r="L62" s="278" t="str">
        <f>IFERROR(100*SUM(L81,L94)/SUM(L$77,L$90),"NA")</f>
        <v>NA</v>
      </c>
      <c r="M62" s="278" t="str">
        <f>IFERROR(100*SUM(M81,M94)/SUM(M$77,M$90),"NA")</f>
        <v>NA</v>
      </c>
      <c r="N62" s="278" t="str">
        <f>IFERROR(100*SUM(N81,N94)/SUM(N$77,N$90),"NA")</f>
        <v>NA</v>
      </c>
    </row>
    <row r="63" spans="2:14" s="6" customFormat="1" ht="11.25" customHeight="1" x14ac:dyDescent="0.55000000000000004">
      <c r="B63" s="244" t="s">
        <v>5367</v>
      </c>
      <c r="C63" s="245"/>
      <c r="D63" s="278" t="str">
        <f>IFERROR(100*SUM(D82,D95)/SUM(D$77,D$90),"NA")</f>
        <v>NA</v>
      </c>
      <c r="E63" s="278" t="str">
        <f>IFERROR(100*SUM(E82,E95)/SUM(E$77,E$90),"NA")</f>
        <v>NA</v>
      </c>
      <c r="F63" s="278" t="str">
        <f>IFERROR(100*SUM(F82,F95)/SUM(F$77,F$90),"NA")</f>
        <v>NA</v>
      </c>
      <c r="G63" s="278" t="str">
        <f>IFERROR(100*SUM(G82,G95)/SUM(G$77,G$90),"NA")</f>
        <v>NA</v>
      </c>
      <c r="H63" s="278" t="str">
        <f>IFERROR(100*SUM(H82,H95)/SUM(H$77,H$90),"NA")</f>
        <v>NA</v>
      </c>
      <c r="I63" s="278" t="str">
        <f>IFERROR(100*SUM(I82,I95)/SUM(I$77,I$90),"NA")</f>
        <v>NA</v>
      </c>
      <c r="J63" s="278" t="str">
        <f>IFERROR(100*SUM(J82,J95)/SUM(J$77,J$90),"NA")</f>
        <v>NA</v>
      </c>
      <c r="K63" s="278" t="str">
        <f>IFERROR(100*SUM(K82,K95)/SUM(K$77,K$90),"NA")</f>
        <v>NA</v>
      </c>
      <c r="L63" s="278" t="str">
        <f>IFERROR(100*SUM(L82,L95)/SUM(L$77,L$90),"NA")</f>
        <v>NA</v>
      </c>
      <c r="M63" s="278" t="str">
        <f>IFERROR(100*SUM(M82,M95)/SUM(M$77,M$90),"NA")</f>
        <v>NA</v>
      </c>
      <c r="N63" s="278" t="str">
        <f>IFERROR(100*SUM(N82,N95)/SUM(N$77,N$90),"NA")</f>
        <v>NA</v>
      </c>
    </row>
    <row r="64" spans="2:14" s="6" customFormat="1" ht="11.25" customHeight="1" x14ac:dyDescent="0.55000000000000004">
      <c r="B64" s="244" t="s">
        <v>5368</v>
      </c>
      <c r="C64" s="245"/>
      <c r="D64" s="278" t="str">
        <f>IFERROR(100*SUM(D83,D96)/SUM(D$77,D$90),"NA")</f>
        <v>NA</v>
      </c>
      <c r="E64" s="278" t="str">
        <f>IFERROR(100*SUM(E83,E96)/SUM(E$77,E$90),"NA")</f>
        <v>NA</v>
      </c>
      <c r="F64" s="278" t="str">
        <f>IFERROR(100*SUM(F83,F96)/SUM(F$77,F$90),"NA")</f>
        <v>NA</v>
      </c>
      <c r="G64" s="278" t="str">
        <f>IFERROR(100*SUM(G83,G96)/SUM(G$77,G$90),"NA")</f>
        <v>NA</v>
      </c>
      <c r="H64" s="278" t="str">
        <f>IFERROR(100*SUM(H83,H96)/SUM(H$77,H$90),"NA")</f>
        <v>NA</v>
      </c>
      <c r="I64" s="278" t="str">
        <f>IFERROR(100*SUM(I83,I96)/SUM(I$77,I$90),"NA")</f>
        <v>NA</v>
      </c>
      <c r="J64" s="278" t="str">
        <f>IFERROR(100*SUM(J83,J96)/SUM(J$77,J$90),"NA")</f>
        <v>NA</v>
      </c>
      <c r="K64" s="278" t="str">
        <f>IFERROR(100*SUM(K83,K96)/SUM(K$77,K$90),"NA")</f>
        <v>NA</v>
      </c>
      <c r="L64" s="278" t="str">
        <f>IFERROR(100*SUM(L83,L96)/SUM(L$77,L$90),"NA")</f>
        <v>NA</v>
      </c>
      <c r="M64" s="278" t="str">
        <f>IFERROR(100*SUM(M83,M96)/SUM(M$77,M$90),"NA")</f>
        <v>NA</v>
      </c>
      <c r="N64" s="278" t="str">
        <f>IFERROR(100*SUM(N83,N96)/SUM(N$77,N$90),"NA")</f>
        <v>NA</v>
      </c>
    </row>
    <row r="65" spans="2:35" s="6" customFormat="1" ht="11.25" customHeight="1" x14ac:dyDescent="0.55000000000000004">
      <c r="B65" s="244" t="s">
        <v>5369</v>
      </c>
      <c r="C65" s="245"/>
      <c r="D65" s="278" t="str">
        <f>IFERROR(100*SUM(D84,D97)/SUM(D$77,D$90),"NA")</f>
        <v>NA</v>
      </c>
      <c r="E65" s="278" t="str">
        <f>IFERROR(100*SUM(E84,E97)/SUM(E$77,E$90),"NA")</f>
        <v>NA</v>
      </c>
      <c r="F65" s="278" t="str">
        <f>IFERROR(100*SUM(F84,F97)/SUM(F$77,F$90),"NA")</f>
        <v>NA</v>
      </c>
      <c r="G65" s="278" t="str">
        <f>IFERROR(100*SUM(G84,G97)/SUM(G$77,G$90),"NA")</f>
        <v>NA</v>
      </c>
      <c r="H65" s="278" t="str">
        <f>IFERROR(100*SUM(H84,H97)/SUM(H$77,H$90),"NA")</f>
        <v>NA</v>
      </c>
      <c r="I65" s="278" t="str">
        <f>IFERROR(100*SUM(I84,I97)/SUM(I$77,I$90),"NA")</f>
        <v>NA</v>
      </c>
      <c r="J65" s="278" t="str">
        <f>IFERROR(100*SUM(J84,J97)/SUM(J$77,J$90),"NA")</f>
        <v>NA</v>
      </c>
      <c r="K65" s="278" t="str">
        <f>IFERROR(100*SUM(K84,K97)/SUM(K$77,K$90),"NA")</f>
        <v>NA</v>
      </c>
      <c r="L65" s="278" t="str">
        <f>IFERROR(100*SUM(L84,L97)/SUM(L$77,L$90),"NA")</f>
        <v>NA</v>
      </c>
      <c r="M65" s="278" t="str">
        <f>IFERROR(100*SUM(M84,M97)/SUM(M$77,M$90),"NA")</f>
        <v>NA</v>
      </c>
      <c r="N65" s="278" t="str">
        <f>IFERROR(100*SUM(N84,N97)/SUM(N$77,N$90),"NA")</f>
        <v>NA</v>
      </c>
    </row>
    <row r="66" spans="2:35" s="6" customFormat="1" ht="11.25" customHeight="1" x14ac:dyDescent="0.55000000000000004">
      <c r="B66" s="244" t="s">
        <v>5370</v>
      </c>
      <c r="C66" s="245"/>
      <c r="D66" s="278" t="str">
        <f>IFERROR(100*SUM(D85,D98)/SUM(D$77,D$90),"NA")</f>
        <v>NA</v>
      </c>
      <c r="E66" s="278" t="str">
        <f>IFERROR(100*SUM(E85,E98)/SUM(E$77,E$90),"NA")</f>
        <v>NA</v>
      </c>
      <c r="F66" s="278" t="str">
        <f>IFERROR(100*SUM(F85,F98)/SUM(F$77,F$90),"NA")</f>
        <v>NA</v>
      </c>
      <c r="G66" s="278" t="str">
        <f>IFERROR(100*SUM(G85,G98)/SUM(G$77,G$90),"NA")</f>
        <v>NA</v>
      </c>
      <c r="H66" s="278" t="str">
        <f>IFERROR(100*SUM(H85,H98)/SUM(H$77,H$90),"NA")</f>
        <v>NA</v>
      </c>
      <c r="I66" s="278" t="str">
        <f>IFERROR(100*SUM(I85,I98)/SUM(I$77,I$90),"NA")</f>
        <v>NA</v>
      </c>
      <c r="J66" s="278" t="str">
        <f>IFERROR(100*SUM(J85,J98)/SUM(J$77,J$90),"NA")</f>
        <v>NA</v>
      </c>
      <c r="K66" s="278" t="str">
        <f>IFERROR(100*SUM(K85,K98)/SUM(K$77,K$90),"NA")</f>
        <v>NA</v>
      </c>
      <c r="L66" s="278" t="str">
        <f>IFERROR(100*SUM(L85,L98)/SUM(L$77,L$90),"NA")</f>
        <v>NA</v>
      </c>
      <c r="M66" s="278" t="str">
        <f>IFERROR(100*SUM(M85,M98)/SUM(M$77,M$90),"NA")</f>
        <v>NA</v>
      </c>
      <c r="N66" s="278" t="str">
        <f>IFERROR(100*SUM(N85,N98)/SUM(N$77,N$90),"NA")</f>
        <v>NA</v>
      </c>
    </row>
    <row r="67" spans="2:35" s="6" customFormat="1" ht="11.25" customHeight="1" x14ac:dyDescent="0.55000000000000004">
      <c r="B67" s="244" t="s">
        <v>5371</v>
      </c>
      <c r="C67" s="245"/>
      <c r="D67" s="278" t="str">
        <f>IFERROR(100*SUM(D86,D99)/SUM(D$77,D$90),"NA")</f>
        <v>NA</v>
      </c>
      <c r="E67" s="278" t="str">
        <f>IFERROR(100*SUM(E86,E99)/SUM(E$77,E$90),"NA")</f>
        <v>NA</v>
      </c>
      <c r="F67" s="278" t="str">
        <f>IFERROR(100*SUM(F86,F99)/SUM(F$77,F$90),"NA")</f>
        <v>NA</v>
      </c>
      <c r="G67" s="278" t="str">
        <f>IFERROR(100*SUM(G86,G99)/SUM(G$77,G$90),"NA")</f>
        <v>NA</v>
      </c>
      <c r="H67" s="278" t="str">
        <f>IFERROR(100*SUM(H86,H99)/SUM(H$77,H$90),"NA")</f>
        <v>NA</v>
      </c>
      <c r="I67" s="278" t="str">
        <f>IFERROR(100*SUM(I86,I99)/SUM(I$77,I$90),"NA")</f>
        <v>NA</v>
      </c>
      <c r="J67" s="278" t="str">
        <f>IFERROR(100*SUM(J86,J99)/SUM(J$77,J$90),"NA")</f>
        <v>NA</v>
      </c>
      <c r="K67" s="278" t="str">
        <f>IFERROR(100*SUM(K86,K99)/SUM(K$77,K$90),"NA")</f>
        <v>NA</v>
      </c>
      <c r="L67" s="278" t="str">
        <f>IFERROR(100*SUM(L86,L99)/SUM(L$77,L$90),"NA")</f>
        <v>NA</v>
      </c>
      <c r="M67" s="278" t="str">
        <f>IFERROR(100*SUM(M86,M99)/SUM(M$77,M$90),"NA")</f>
        <v>NA</v>
      </c>
      <c r="N67" s="278" t="str">
        <f>IFERROR(100*SUM(N86,N99)/SUM(N$77,N$90),"NA")</f>
        <v>NA</v>
      </c>
    </row>
    <row r="68" spans="2:35" s="6" customFormat="1" ht="11.25" customHeight="1" x14ac:dyDescent="0.55000000000000004">
      <c r="B68" s="244" t="s">
        <v>5372</v>
      </c>
      <c r="C68" s="245"/>
      <c r="D68" s="278" t="str">
        <f>IFERROR(100*SUM(D87,D100)/SUM(D$77,D$90),"NA")</f>
        <v>NA</v>
      </c>
      <c r="E68" s="278" t="str">
        <f>IFERROR(100*SUM(E87,E100)/SUM(E$77,E$90),"NA")</f>
        <v>NA</v>
      </c>
      <c r="F68" s="278" t="str">
        <f>IFERROR(100*SUM(F87,F100)/SUM(F$77,F$90),"NA")</f>
        <v>NA</v>
      </c>
      <c r="G68" s="278" t="str">
        <f>IFERROR(100*SUM(G87,G100)/SUM(G$77,G$90),"NA")</f>
        <v>NA</v>
      </c>
      <c r="H68" s="278" t="str">
        <f>IFERROR(100*SUM(H87,H100)/SUM(H$77,H$90),"NA")</f>
        <v>NA</v>
      </c>
      <c r="I68" s="278" t="str">
        <f>IFERROR(100*SUM(I87,I100)/SUM(I$77,I$90),"NA")</f>
        <v>NA</v>
      </c>
      <c r="J68" s="278" t="str">
        <f>IFERROR(100*SUM(J87,J100)/SUM(J$77,J$90),"NA")</f>
        <v>NA</v>
      </c>
      <c r="K68" s="278" t="str">
        <f>IFERROR(100*SUM(K87,K100)/SUM(K$77,K$90),"NA")</f>
        <v>NA</v>
      </c>
      <c r="L68" s="278" t="str">
        <f>IFERROR(100*SUM(L87,L100)/SUM(L$77,L$90),"NA")</f>
        <v>NA</v>
      </c>
      <c r="M68" s="278" t="str">
        <f>IFERROR(100*SUM(M87,M100)/SUM(M$77,M$90),"NA")</f>
        <v>NA</v>
      </c>
      <c r="N68" s="278" t="str">
        <f>IFERROR(100*SUM(N87,N100)/SUM(N$77,N$90),"NA")</f>
        <v>NA</v>
      </c>
    </row>
    <row r="69" spans="2:35" s="6" customFormat="1" ht="11.25" customHeight="1" x14ac:dyDescent="0.55000000000000004">
      <c r="B69" s="244"/>
      <c r="C69" s="245"/>
      <c r="D69" s="278"/>
      <c r="E69" s="278"/>
      <c r="F69" s="278"/>
      <c r="G69" s="278"/>
      <c r="H69" s="278"/>
      <c r="I69" s="278"/>
      <c r="J69" s="278"/>
      <c r="K69" s="278"/>
      <c r="L69" s="278"/>
      <c r="M69" s="278"/>
      <c r="N69" s="278"/>
    </row>
    <row r="70" spans="2:35" s="6" customFormat="1" ht="11.25" hidden="1" customHeight="1" outlineLevel="1" x14ac:dyDescent="0.55000000000000004">
      <c r="B70" s="244" t="s">
        <v>4908</v>
      </c>
      <c r="C70" s="245">
        <v>123446</v>
      </c>
      <c r="D70" s="278">
        <v>20.686921600000002</v>
      </c>
      <c r="E70" s="278">
        <v>5.7512841000000003</v>
      </c>
      <c r="F70" s="278">
        <v>99.173962200000005</v>
      </c>
      <c r="G70" s="278">
        <v>24.635034900000001</v>
      </c>
      <c r="H70" s="278">
        <v>0</v>
      </c>
      <c r="I70" s="306">
        <v>31.449392499999998</v>
      </c>
      <c r="J70" s="306">
        <v>8.6412593999999991</v>
      </c>
      <c r="K70" s="306">
        <v>4.4192318999999998</v>
      </c>
      <c r="L70" s="306">
        <v>35.880183199999998</v>
      </c>
      <c r="M70" s="306">
        <v>1.2152816</v>
      </c>
      <c r="N70" s="306">
        <v>20.793620700000002</v>
      </c>
    </row>
    <row r="71" spans="2:35" s="6" customFormat="1" ht="11.25" hidden="1" customHeight="1" outlineLevel="1" x14ac:dyDescent="0.55000000000000004">
      <c r="B71" s="244" t="s">
        <v>4975</v>
      </c>
      <c r="C71" s="245">
        <v>123447</v>
      </c>
      <c r="D71" s="278">
        <v>54.5091757</v>
      </c>
      <c r="E71" s="278">
        <v>6.1406821999999996</v>
      </c>
      <c r="F71" s="278">
        <v>3.1687100000000003E-2</v>
      </c>
      <c r="G71" s="278">
        <v>4.0200212999999998</v>
      </c>
      <c r="H71" s="278">
        <v>0</v>
      </c>
      <c r="I71" s="306">
        <v>0</v>
      </c>
      <c r="J71" s="306">
        <v>55.664485599999999</v>
      </c>
      <c r="K71" s="306">
        <v>0.41787489999999999</v>
      </c>
      <c r="L71" s="306">
        <v>1.1570919</v>
      </c>
      <c r="M71" s="306">
        <v>0</v>
      </c>
      <c r="N71" s="306">
        <v>0</v>
      </c>
    </row>
    <row r="72" spans="2:35" s="6" customFormat="1" ht="11.25" hidden="1" customHeight="1" outlineLevel="1" x14ac:dyDescent="0.55000000000000004">
      <c r="B72" s="244" t="s">
        <v>4976</v>
      </c>
      <c r="C72" s="245">
        <v>123448</v>
      </c>
      <c r="D72" s="278">
        <v>24.194672499999999</v>
      </c>
      <c r="E72" s="278">
        <v>88.108059600000004</v>
      </c>
      <c r="F72" s="278">
        <v>9.4148300000000004E-2</v>
      </c>
      <c r="G72" s="278">
        <v>71.344943700000002</v>
      </c>
      <c r="H72" s="278">
        <v>100</v>
      </c>
      <c r="I72" s="306">
        <v>68.550127700000004</v>
      </c>
      <c r="J72" s="306">
        <v>33.744054800000001</v>
      </c>
      <c r="K72" s="306">
        <v>95.039833400000006</v>
      </c>
      <c r="L72" s="306">
        <v>62.962724899999998</v>
      </c>
      <c r="M72" s="306">
        <v>98.784718400000003</v>
      </c>
      <c r="N72" s="306">
        <v>79.206379299999995</v>
      </c>
    </row>
    <row r="73" spans="2:35" s="6" customFormat="1" ht="11.25" hidden="1" customHeight="1" outlineLevel="1" x14ac:dyDescent="0.55000000000000004">
      <c r="B73" s="244" t="s">
        <v>5385</v>
      </c>
      <c r="C73" s="245">
        <v>123449</v>
      </c>
      <c r="D73" s="278">
        <v>0.2145292</v>
      </c>
      <c r="E73" s="278">
        <v>-2.5899999999999999E-5</v>
      </c>
      <c r="F73" s="278">
        <v>0</v>
      </c>
      <c r="G73" s="278">
        <v>0</v>
      </c>
      <c r="H73" s="278">
        <v>0</v>
      </c>
      <c r="I73" s="306">
        <v>4.8000000000000001E-4</v>
      </c>
      <c r="J73" s="306">
        <v>0</v>
      </c>
      <c r="K73" s="306">
        <v>0</v>
      </c>
      <c r="L73" s="306">
        <v>0</v>
      </c>
      <c r="M73" s="306">
        <v>0</v>
      </c>
      <c r="N73" s="306">
        <v>0</v>
      </c>
    </row>
    <row r="74" spans="2:35" s="6" customFormat="1" ht="11.25" hidden="1" customHeight="1" outlineLevel="1" x14ac:dyDescent="0.55000000000000004">
      <c r="B74" s="244" t="s">
        <v>4977</v>
      </c>
      <c r="C74" s="245">
        <v>123450</v>
      </c>
      <c r="D74" s="278">
        <v>0.39470110000000003</v>
      </c>
      <c r="E74" s="278">
        <v>0</v>
      </c>
      <c r="F74" s="278">
        <v>0.70020249999999995</v>
      </c>
      <c r="G74" s="278">
        <v>0</v>
      </c>
      <c r="H74" s="278">
        <v>0</v>
      </c>
      <c r="I74" s="306">
        <v>0</v>
      </c>
      <c r="J74" s="306">
        <v>1.9502003000000001</v>
      </c>
      <c r="K74" s="306">
        <v>0.1230599</v>
      </c>
      <c r="L74" s="306">
        <v>0</v>
      </c>
      <c r="M74" s="306">
        <v>0</v>
      </c>
      <c r="N74" s="306">
        <v>0</v>
      </c>
    </row>
    <row r="75" spans="2:35" s="6" customFormat="1" ht="11.25" hidden="1" customHeight="1" outlineLevel="1" x14ac:dyDescent="0.55000000000000004">
      <c r="B75" s="244"/>
      <c r="C75" s="245"/>
      <c r="D75" s="278"/>
      <c r="E75" s="278"/>
      <c r="F75" s="278"/>
      <c r="G75" s="278"/>
      <c r="H75" s="278"/>
      <c r="I75" s="306"/>
      <c r="J75" s="306"/>
      <c r="K75" s="306"/>
      <c r="L75" s="306"/>
      <c r="M75" s="306"/>
      <c r="N75" s="306"/>
      <c r="U75" s="396" t="str">
        <f ca="1">[1]!snltable(287,$Y$75:$AI$75,$V$77:$V$100,$W$77:$W$100,,"Options:Curr=USD, Mag=Thousands, ConvMethod=SNLrecommended")</f>
        <v>SNLTable</v>
      </c>
      <c r="V75" s="397"/>
      <c r="W75" s="397"/>
      <c r="X75" s="397"/>
      <c r="Y75" s="298" t="str">
        <f ca="1">IF(Entity_Code="","",Entity_Code)</f>
        <v>I36</v>
      </c>
      <c r="Z75" s="298" t="str">
        <f ca="1">IF(Entity_C1="","",Entity_C1)</f>
        <v>C2874</v>
      </c>
      <c r="AA75" s="298" t="str">
        <f ca="1">IF(Entity_C2="","",Entity_C2)</f>
        <v>C5004</v>
      </c>
      <c r="AB75" s="298" t="str">
        <f ca="1">IF(Entity_C3="","",Entity_C3)</f>
        <v>C2093</v>
      </c>
      <c r="AC75" s="298" t="str">
        <f ca="1">IF(Entity_C4="","",Entity_C4)</f>
        <v>C2623</v>
      </c>
      <c r="AD75" s="298" t="str">
        <f ca="1">IF(Entity_C5="","",Entity_C5)</f>
        <v>C3048</v>
      </c>
      <c r="AE75" s="298" t="str">
        <f ca="1">IF(Entity_C6="","",Entity_C6)</f>
        <v>C2409</v>
      </c>
      <c r="AF75" s="298" t="str">
        <f ca="1">IF(Entity_C7="","",Entity_C7)</f>
        <v>C2921</v>
      </c>
      <c r="AG75" s="298" t="str">
        <f ca="1">IF(Entity_C8="","",Entity_C8)</f>
        <v>C2284</v>
      </c>
      <c r="AH75" s="298" t="str">
        <f ca="1">IF(Entity_C9="","",Entity_C9)</f>
        <v>C3613</v>
      </c>
      <c r="AI75" s="298" t="str">
        <f ca="1">IF(Entity_C10="","",Entity_C10)</f>
        <v>C2253</v>
      </c>
    </row>
    <row r="76" spans="2:35" s="6" customFormat="1" ht="11.25" hidden="1" customHeight="1" outlineLevel="1" x14ac:dyDescent="0.55000000000000004">
      <c r="B76" s="246" t="s">
        <v>5458</v>
      </c>
      <c r="C76" s="245"/>
      <c r="D76" s="278"/>
      <c r="E76" s="278"/>
      <c r="F76" s="278"/>
      <c r="G76" s="278"/>
      <c r="H76" s="278"/>
      <c r="I76" s="306"/>
      <c r="J76" s="306"/>
      <c r="K76" s="306"/>
      <c r="L76" s="306"/>
      <c r="M76" s="306"/>
      <c r="N76" s="306"/>
      <c r="U76" s="403"/>
      <c r="V76" s="400"/>
      <c r="W76" s="400"/>
      <c r="X76" s="400"/>
      <c r="Y76" s="402"/>
      <c r="Z76" s="402"/>
      <c r="AA76" s="402"/>
      <c r="AB76" s="402"/>
      <c r="AC76" s="402"/>
      <c r="AD76" s="402"/>
      <c r="AE76" s="402"/>
      <c r="AF76" s="402"/>
      <c r="AG76" s="402"/>
      <c r="AH76" s="402"/>
      <c r="AI76" s="402"/>
    </row>
    <row r="77" spans="2:35" s="6" customFormat="1" ht="11.25" hidden="1" customHeight="1" outlineLevel="1" x14ac:dyDescent="0.55000000000000004">
      <c r="B77" s="244" t="s">
        <v>5365</v>
      </c>
      <c r="C77" s="245"/>
      <c r="D77" s="279" t="str">
        <f>IF(Y77="","",Y77)</f>
        <v>NA</v>
      </c>
      <c r="E77" s="279" t="str">
        <f>IF(Z77="","",Z77)</f>
        <v>NA</v>
      </c>
      <c r="F77" s="279" t="str">
        <f>IF(AA77="","",AA77)</f>
        <v>NA</v>
      </c>
      <c r="G77" s="279" t="str">
        <f>IF(AB77="","",AB77)</f>
        <v>NA</v>
      </c>
      <c r="H77" s="279" t="str">
        <f>IF(AC77="","",AC77)</f>
        <v>NA</v>
      </c>
      <c r="I77" s="279" t="str">
        <f>IF(AD77="","",AD77)</f>
        <v>NA</v>
      </c>
      <c r="J77" s="279" t="str">
        <f>IF(AE77="","",AE77)</f>
        <v>NA</v>
      </c>
      <c r="K77" s="279" t="str">
        <f>IF(AF77="","",AF77)</f>
        <v>NA</v>
      </c>
      <c r="L77" s="279" t="str">
        <f>IF(AG77="","",AG77)</f>
        <v>NA</v>
      </c>
      <c r="M77" s="279" t="str">
        <f>IF(AH77="","",AH77)</f>
        <v>NA</v>
      </c>
      <c r="N77" s="279" t="str">
        <f>IF(AI77="","",AI77)</f>
        <v>NA</v>
      </c>
      <c r="U77" s="384" t="s">
        <v>5458</v>
      </c>
      <c r="V77" s="385">
        <v>324661</v>
      </c>
      <c r="W77" s="385" t="str">
        <f t="shared" ref="W77:W87" si="2">Period</f>
        <v>2014Y</v>
      </c>
      <c r="X77" s="386" t="str">
        <f>[1]!SNLLabel(287,324661,,"&lt;&gt;360","Options:Curr=Reported currency,Mag=MIstandard,ConvMethod=MIrecommended")</f>
        <v>AR: Analysis of Operations All Lines</v>
      </c>
      <c r="Y77" s="387" t="s">
        <v>29</v>
      </c>
      <c r="Z77" s="387" t="s">
        <v>29</v>
      </c>
      <c r="AA77" s="387" t="s">
        <v>29</v>
      </c>
      <c r="AB77" s="387" t="s">
        <v>29</v>
      </c>
      <c r="AC77" s="387" t="s">
        <v>29</v>
      </c>
      <c r="AD77" s="387" t="s">
        <v>29</v>
      </c>
      <c r="AE77" s="387" t="s">
        <v>29</v>
      </c>
      <c r="AF77" s="387" t="s">
        <v>29</v>
      </c>
      <c r="AG77" s="387" t="s">
        <v>29</v>
      </c>
      <c r="AH77" s="387" t="s">
        <v>29</v>
      </c>
      <c r="AI77" s="387" t="s">
        <v>29</v>
      </c>
    </row>
    <row r="78" spans="2:35" s="6" customFormat="1" ht="11.25" hidden="1" customHeight="1" outlineLevel="1" x14ac:dyDescent="0.55000000000000004">
      <c r="B78" s="244" t="s">
        <v>5366</v>
      </c>
      <c r="C78" s="245"/>
      <c r="D78" s="279" t="str">
        <f>IF(Y78="","",Y78)</f>
        <v>NA</v>
      </c>
      <c r="E78" s="279" t="str">
        <f>IF(Z78="","",Z78)</f>
        <v>NA</v>
      </c>
      <c r="F78" s="279" t="str">
        <f>IF(AA78="","",AA78)</f>
        <v>NA</v>
      </c>
      <c r="G78" s="279" t="str">
        <f>IF(AB78="","",AB78)</f>
        <v>NA</v>
      </c>
      <c r="H78" s="279" t="str">
        <f>IF(AC78="","",AC78)</f>
        <v>NA</v>
      </c>
      <c r="I78" s="279" t="str">
        <f>IF(AD78="","",AD78)</f>
        <v>NA</v>
      </c>
      <c r="J78" s="279" t="str">
        <f>IF(AE78="","",AE78)</f>
        <v>NA</v>
      </c>
      <c r="K78" s="279" t="str">
        <f>IF(AF78="","",AF78)</f>
        <v>NA</v>
      </c>
      <c r="L78" s="279" t="str">
        <f>IF(AG78="","",AG78)</f>
        <v>NA</v>
      </c>
      <c r="M78" s="279" t="str">
        <f>IF(AH78="","",AH78)</f>
        <v>NA</v>
      </c>
      <c r="N78" s="279" t="str">
        <f>IF(AI78="","",AI78)</f>
        <v>NA</v>
      </c>
      <c r="U78" s="388" t="s">
        <v>5458</v>
      </c>
      <c r="V78" s="389">
        <v>324661</v>
      </c>
      <c r="W78" s="389" t="str">
        <f t="shared" si="2"/>
        <v>2014Y</v>
      </c>
      <c r="X78" s="390" t="str">
        <f>[1]!SNLLabel(287,324661,,"&lt;&gt;361","Options:Curr=Reported currency,Mag=MIstandard,ConvMethod=MIrecommended")</f>
        <v>AR: Individual Life</v>
      </c>
      <c r="Y78" s="391" t="s">
        <v>29</v>
      </c>
      <c r="Z78" s="391" t="s">
        <v>29</v>
      </c>
      <c r="AA78" s="391" t="s">
        <v>29</v>
      </c>
      <c r="AB78" s="391" t="s">
        <v>29</v>
      </c>
      <c r="AC78" s="391" t="s">
        <v>29</v>
      </c>
      <c r="AD78" s="391" t="s">
        <v>29</v>
      </c>
      <c r="AE78" s="391" t="s">
        <v>29</v>
      </c>
      <c r="AF78" s="391" t="s">
        <v>29</v>
      </c>
      <c r="AG78" s="391" t="s">
        <v>29</v>
      </c>
      <c r="AH78" s="391" t="s">
        <v>29</v>
      </c>
      <c r="AI78" s="391" t="s">
        <v>29</v>
      </c>
    </row>
    <row r="79" spans="2:35" s="6" customFormat="1" ht="11.25" hidden="1" customHeight="1" outlineLevel="1" x14ac:dyDescent="0.55000000000000004">
      <c r="B79" s="244" t="s">
        <v>5122</v>
      </c>
      <c r="C79" s="245"/>
      <c r="D79" s="279" t="str">
        <f>IF(Y79="","",Y79)</f>
        <v>NA</v>
      </c>
      <c r="E79" s="279" t="str">
        <f>IF(Z79="","",Z79)</f>
        <v>NA</v>
      </c>
      <c r="F79" s="279" t="str">
        <f>IF(AA79="","",AA79)</f>
        <v>NA</v>
      </c>
      <c r="G79" s="279" t="str">
        <f>IF(AB79="","",AB79)</f>
        <v>NA</v>
      </c>
      <c r="H79" s="279" t="str">
        <f>IF(AC79="","",AC79)</f>
        <v>NA</v>
      </c>
      <c r="I79" s="279" t="str">
        <f>IF(AD79="","",AD79)</f>
        <v>NA</v>
      </c>
      <c r="J79" s="279" t="str">
        <f>IF(AE79="","",AE79)</f>
        <v>NA</v>
      </c>
      <c r="K79" s="279" t="str">
        <f>IF(AF79="","",AF79)</f>
        <v>NA</v>
      </c>
      <c r="L79" s="279" t="str">
        <f>IF(AG79="","",AG79)</f>
        <v>NA</v>
      </c>
      <c r="M79" s="279" t="str">
        <f>IF(AH79="","",AH79)</f>
        <v>NA</v>
      </c>
      <c r="N79" s="279" t="str">
        <f>IF(AI79="","",AI79)</f>
        <v>NA</v>
      </c>
      <c r="U79" s="388" t="s">
        <v>5458</v>
      </c>
      <c r="V79" s="389">
        <v>324661</v>
      </c>
      <c r="W79" s="389" t="str">
        <f t="shared" si="2"/>
        <v>2014Y</v>
      </c>
      <c r="X79" s="390" t="str">
        <f>[1]!SNLLabel(287,324661,,"&lt;&gt;362","Options:Curr=Reported currency,Mag=MIstandard,ConvMethod=MIrecommended")</f>
        <v>AR: Group Life</v>
      </c>
      <c r="Y79" s="391" t="s">
        <v>29</v>
      </c>
      <c r="Z79" s="391" t="s">
        <v>29</v>
      </c>
      <c r="AA79" s="391" t="s">
        <v>29</v>
      </c>
      <c r="AB79" s="391" t="s">
        <v>29</v>
      </c>
      <c r="AC79" s="391" t="s">
        <v>29</v>
      </c>
      <c r="AD79" s="391" t="s">
        <v>29</v>
      </c>
      <c r="AE79" s="391" t="s">
        <v>29</v>
      </c>
      <c r="AF79" s="391" t="s">
        <v>29</v>
      </c>
      <c r="AG79" s="391" t="s">
        <v>29</v>
      </c>
      <c r="AH79" s="391" t="s">
        <v>29</v>
      </c>
      <c r="AI79" s="391" t="s">
        <v>29</v>
      </c>
    </row>
    <row r="80" spans="2:35" s="6" customFormat="1" ht="11.25" hidden="1" customHeight="1" outlineLevel="1" x14ac:dyDescent="0.55000000000000004">
      <c r="B80" s="244" t="s">
        <v>5124</v>
      </c>
      <c r="C80" s="245"/>
      <c r="D80" s="279" t="str">
        <f>IF(Y80="","",Y80)</f>
        <v>NA</v>
      </c>
      <c r="E80" s="279" t="str">
        <f>IF(Z80="","",Z80)</f>
        <v>NA</v>
      </c>
      <c r="F80" s="279" t="str">
        <f>IF(AA80="","",AA80)</f>
        <v>NA</v>
      </c>
      <c r="G80" s="279" t="str">
        <f>IF(AB80="","",AB80)</f>
        <v>NA</v>
      </c>
      <c r="H80" s="279" t="str">
        <f>IF(AC80="","",AC80)</f>
        <v>NA</v>
      </c>
      <c r="I80" s="279" t="str">
        <f>IF(AD80="","",AD80)</f>
        <v>NA</v>
      </c>
      <c r="J80" s="279" t="str">
        <f>IF(AE80="","",AE80)</f>
        <v>NA</v>
      </c>
      <c r="K80" s="279" t="str">
        <f>IF(AF80="","",AF80)</f>
        <v>NA</v>
      </c>
      <c r="L80" s="279" t="str">
        <f>IF(AG80="","",AG80)</f>
        <v>NA</v>
      </c>
      <c r="M80" s="279" t="str">
        <f>IF(AH80="","",AH80)</f>
        <v>NA</v>
      </c>
      <c r="N80" s="279" t="str">
        <f>IF(AI80="","",AI80)</f>
        <v>NA</v>
      </c>
      <c r="U80" s="388" t="s">
        <v>5458</v>
      </c>
      <c r="V80" s="389">
        <v>324661</v>
      </c>
      <c r="W80" s="389" t="str">
        <f t="shared" si="2"/>
        <v>2014Y</v>
      </c>
      <c r="X80" s="390" t="str">
        <f>[1]!SNLLabel(287,324661,,"&lt;&gt;363","Options:Curr=Reported currency,Mag=MIstandard,ConvMethod=MIrecommended")</f>
        <v>AR: Individual Annuities</v>
      </c>
      <c r="Y80" s="391" t="s">
        <v>29</v>
      </c>
      <c r="Z80" s="391" t="s">
        <v>29</v>
      </c>
      <c r="AA80" s="391" t="s">
        <v>29</v>
      </c>
      <c r="AB80" s="391" t="s">
        <v>29</v>
      </c>
      <c r="AC80" s="391" t="s">
        <v>29</v>
      </c>
      <c r="AD80" s="391" t="s">
        <v>29</v>
      </c>
      <c r="AE80" s="391" t="s">
        <v>29</v>
      </c>
      <c r="AF80" s="391" t="s">
        <v>29</v>
      </c>
      <c r="AG80" s="391" t="s">
        <v>29</v>
      </c>
      <c r="AH80" s="391" t="s">
        <v>29</v>
      </c>
      <c r="AI80" s="391" t="s">
        <v>29</v>
      </c>
    </row>
    <row r="81" spans="2:35" s="6" customFormat="1" ht="11.25" hidden="1" customHeight="1" outlineLevel="1" x14ac:dyDescent="0.55000000000000004">
      <c r="B81" s="244" t="s">
        <v>5121</v>
      </c>
      <c r="C81" s="245"/>
      <c r="D81" s="279" t="str">
        <f>IF(Y81="","",Y81)</f>
        <v>NA</v>
      </c>
      <c r="E81" s="279" t="str">
        <f>IF(Z81="","",Z81)</f>
        <v>NA</v>
      </c>
      <c r="F81" s="279" t="str">
        <f>IF(AA81="","",AA81)</f>
        <v>NA</v>
      </c>
      <c r="G81" s="279" t="str">
        <f>IF(AB81="","",AB81)</f>
        <v>NA</v>
      </c>
      <c r="H81" s="279" t="str">
        <f>IF(AC81="","",AC81)</f>
        <v>NA</v>
      </c>
      <c r="I81" s="279" t="str">
        <f>IF(AD81="","",AD81)</f>
        <v>NA</v>
      </c>
      <c r="J81" s="279" t="str">
        <f>IF(AE81="","",AE81)</f>
        <v>NA</v>
      </c>
      <c r="K81" s="279" t="str">
        <f>IF(AF81="","",AF81)</f>
        <v>NA</v>
      </c>
      <c r="L81" s="279" t="str">
        <f>IF(AG81="","",AG81)</f>
        <v>NA</v>
      </c>
      <c r="M81" s="279" t="str">
        <f>IF(AH81="","",AH81)</f>
        <v>NA</v>
      </c>
      <c r="N81" s="279" t="str">
        <f>IF(AI81="","",AI81)</f>
        <v>NA</v>
      </c>
      <c r="U81" s="388" t="s">
        <v>5458</v>
      </c>
      <c r="V81" s="389">
        <v>324661</v>
      </c>
      <c r="W81" s="389" t="str">
        <f t="shared" si="2"/>
        <v>2014Y</v>
      </c>
      <c r="X81" s="390" t="str">
        <f>[1]!SNLLabel(287,324661,,"&lt;&gt;364","Options:Curr=Reported currency,Mag=MIstandard,ConvMethod=MIrecommended")</f>
        <v>AR: Group Annuities</v>
      </c>
      <c r="Y81" s="391" t="s">
        <v>29</v>
      </c>
      <c r="Z81" s="391" t="s">
        <v>29</v>
      </c>
      <c r="AA81" s="391" t="s">
        <v>29</v>
      </c>
      <c r="AB81" s="391" t="s">
        <v>29</v>
      </c>
      <c r="AC81" s="391" t="s">
        <v>29</v>
      </c>
      <c r="AD81" s="391" t="s">
        <v>29</v>
      </c>
      <c r="AE81" s="391" t="s">
        <v>29</v>
      </c>
      <c r="AF81" s="391" t="s">
        <v>29</v>
      </c>
      <c r="AG81" s="391" t="s">
        <v>29</v>
      </c>
      <c r="AH81" s="391" t="s">
        <v>29</v>
      </c>
      <c r="AI81" s="391" t="s">
        <v>29</v>
      </c>
    </row>
    <row r="82" spans="2:35" s="6" customFormat="1" ht="11.25" hidden="1" customHeight="1" outlineLevel="1" x14ac:dyDescent="0.55000000000000004">
      <c r="B82" s="244" t="s">
        <v>5367</v>
      </c>
      <c r="C82" s="245"/>
      <c r="D82" s="279" t="str">
        <f>IF(Y82="","",Y82)</f>
        <v>NA</v>
      </c>
      <c r="E82" s="279" t="str">
        <f>IF(Z82="","",Z82)</f>
        <v>NA</v>
      </c>
      <c r="F82" s="279" t="str">
        <f>IF(AA82="","",AA82)</f>
        <v>NA</v>
      </c>
      <c r="G82" s="279" t="str">
        <f>IF(AB82="","",AB82)</f>
        <v>NA</v>
      </c>
      <c r="H82" s="279" t="str">
        <f>IF(AC82="","",AC82)</f>
        <v>NA</v>
      </c>
      <c r="I82" s="279" t="str">
        <f>IF(AD82="","",AD82)</f>
        <v>NA</v>
      </c>
      <c r="J82" s="279" t="str">
        <f>IF(AE82="","",AE82)</f>
        <v>NA</v>
      </c>
      <c r="K82" s="279" t="str">
        <f>IF(AF82="","",AF82)</f>
        <v>NA</v>
      </c>
      <c r="L82" s="279" t="str">
        <f>IF(AG82="","",AG82)</f>
        <v>NA</v>
      </c>
      <c r="M82" s="279" t="str">
        <f>IF(AH82="","",AH82)</f>
        <v>NA</v>
      </c>
      <c r="N82" s="279" t="str">
        <f>IF(AI82="","",AI82)</f>
        <v>NA</v>
      </c>
      <c r="U82" s="388" t="s">
        <v>5458</v>
      </c>
      <c r="V82" s="389">
        <v>324661</v>
      </c>
      <c r="W82" s="389" t="str">
        <f t="shared" si="2"/>
        <v>2014Y</v>
      </c>
      <c r="X82" s="390" t="str">
        <f>[1]!SNLLabel(287,324661,,"&lt;&gt;365","Options:Curr=Reported currency,Mag=MIstandard,ConvMethod=MIrecommended")</f>
        <v>AR: Accident and Health</v>
      </c>
      <c r="Y82" s="391" t="s">
        <v>29</v>
      </c>
      <c r="Z82" s="391" t="s">
        <v>29</v>
      </c>
      <c r="AA82" s="391" t="s">
        <v>29</v>
      </c>
      <c r="AB82" s="391" t="s">
        <v>29</v>
      </c>
      <c r="AC82" s="391" t="s">
        <v>29</v>
      </c>
      <c r="AD82" s="391" t="s">
        <v>29</v>
      </c>
      <c r="AE82" s="391" t="s">
        <v>29</v>
      </c>
      <c r="AF82" s="391" t="s">
        <v>29</v>
      </c>
      <c r="AG82" s="391" t="s">
        <v>29</v>
      </c>
      <c r="AH82" s="391" t="s">
        <v>29</v>
      </c>
      <c r="AI82" s="391" t="s">
        <v>29</v>
      </c>
    </row>
    <row r="83" spans="2:35" s="6" customFormat="1" ht="11.25" hidden="1" customHeight="1" outlineLevel="1" x14ac:dyDescent="0.55000000000000004">
      <c r="B83" s="244" t="s">
        <v>5368</v>
      </c>
      <c r="C83" s="245"/>
      <c r="D83" s="279" t="str">
        <f>IF(Y83="","",Y83)</f>
        <v>NA</v>
      </c>
      <c r="E83" s="279" t="str">
        <f>IF(Z83="","",Z83)</f>
        <v>NA</v>
      </c>
      <c r="F83" s="279" t="str">
        <f>IF(AA83="","",AA83)</f>
        <v>NA</v>
      </c>
      <c r="G83" s="279" t="str">
        <f>IF(AB83="","",AB83)</f>
        <v>NA</v>
      </c>
      <c r="H83" s="279" t="str">
        <f>IF(AC83="","",AC83)</f>
        <v>NA</v>
      </c>
      <c r="I83" s="279" t="str">
        <f>IF(AD83="","",AD83)</f>
        <v>NA</v>
      </c>
      <c r="J83" s="279" t="str">
        <f>IF(AE83="","",AE83)</f>
        <v>NA</v>
      </c>
      <c r="K83" s="279" t="str">
        <f>IF(AF83="","",AF83)</f>
        <v>NA</v>
      </c>
      <c r="L83" s="279" t="str">
        <f>IF(AG83="","",AG83)</f>
        <v>NA</v>
      </c>
      <c r="M83" s="279" t="str">
        <f>IF(AH83="","",AH83)</f>
        <v>NA</v>
      </c>
      <c r="N83" s="279" t="str">
        <f>IF(AI83="","",AI83)</f>
        <v>NA</v>
      </c>
      <c r="U83" s="388" t="s">
        <v>5458</v>
      </c>
      <c r="V83" s="389">
        <v>324661</v>
      </c>
      <c r="W83" s="389" t="str">
        <f t="shared" si="2"/>
        <v>2014Y</v>
      </c>
      <c r="X83" s="390" t="str">
        <f>[1]!SNLLabel(287,324661,,"&lt;&gt;366","Options:Curr=Reported currency,Mag=MIstandard,ConvMethod=MIrecommended")</f>
        <v>AR: Fraternal</v>
      </c>
      <c r="Y83" s="391" t="s">
        <v>29</v>
      </c>
      <c r="Z83" s="391" t="s">
        <v>29</v>
      </c>
      <c r="AA83" s="391" t="s">
        <v>29</v>
      </c>
      <c r="AB83" s="391" t="s">
        <v>29</v>
      </c>
      <c r="AC83" s="391" t="s">
        <v>29</v>
      </c>
      <c r="AD83" s="391" t="s">
        <v>29</v>
      </c>
      <c r="AE83" s="391" t="s">
        <v>29</v>
      </c>
      <c r="AF83" s="391" t="s">
        <v>29</v>
      </c>
      <c r="AG83" s="391" t="s">
        <v>29</v>
      </c>
      <c r="AH83" s="391" t="s">
        <v>29</v>
      </c>
      <c r="AI83" s="391" t="s">
        <v>29</v>
      </c>
    </row>
    <row r="84" spans="2:35" s="6" customFormat="1" ht="11.25" hidden="1" customHeight="1" outlineLevel="1" x14ac:dyDescent="0.55000000000000004">
      <c r="B84" s="244" t="s">
        <v>5369</v>
      </c>
      <c r="C84" s="245"/>
      <c r="D84" s="279" t="str">
        <f>IF(Y84="","",Y84)</f>
        <v>NA</v>
      </c>
      <c r="E84" s="279" t="str">
        <f>IF(Z84="","",Z84)</f>
        <v>NA</v>
      </c>
      <c r="F84" s="279" t="str">
        <f>IF(AA84="","",AA84)</f>
        <v>NA</v>
      </c>
      <c r="G84" s="279" t="str">
        <f>IF(AB84="","",AB84)</f>
        <v>NA</v>
      </c>
      <c r="H84" s="279" t="str">
        <f>IF(AC84="","",AC84)</f>
        <v>NA</v>
      </c>
      <c r="I84" s="279" t="str">
        <f>IF(AD84="","",AD84)</f>
        <v>NA</v>
      </c>
      <c r="J84" s="279" t="str">
        <f>IF(AE84="","",AE84)</f>
        <v>NA</v>
      </c>
      <c r="K84" s="279" t="str">
        <f>IF(AF84="","",AF84)</f>
        <v>NA</v>
      </c>
      <c r="L84" s="279" t="str">
        <f>IF(AG84="","",AG84)</f>
        <v>NA</v>
      </c>
      <c r="M84" s="279" t="str">
        <f>IF(AH84="","",AH84)</f>
        <v>NA</v>
      </c>
      <c r="N84" s="279" t="str">
        <f>IF(AI84="","",AI84)</f>
        <v>NA</v>
      </c>
      <c r="U84" s="388" t="s">
        <v>5458</v>
      </c>
      <c r="V84" s="389">
        <v>324661</v>
      </c>
      <c r="W84" s="389" t="str">
        <f t="shared" si="2"/>
        <v>2014Y</v>
      </c>
      <c r="X84" s="390" t="str">
        <f>[1]!SNLLabel(287,324661,,"&lt;&gt;367","Options:Curr=Reported currency,Mag=MIstandard,ConvMethod=MIrecommended")</f>
        <v>AR: Other Lines of Business</v>
      </c>
      <c r="Y84" s="391" t="s">
        <v>29</v>
      </c>
      <c r="Z84" s="391" t="s">
        <v>29</v>
      </c>
      <c r="AA84" s="391" t="s">
        <v>29</v>
      </c>
      <c r="AB84" s="391" t="s">
        <v>29</v>
      </c>
      <c r="AC84" s="391" t="s">
        <v>29</v>
      </c>
      <c r="AD84" s="391" t="s">
        <v>29</v>
      </c>
      <c r="AE84" s="391" t="s">
        <v>29</v>
      </c>
      <c r="AF84" s="391" t="s">
        <v>29</v>
      </c>
      <c r="AG84" s="391" t="s">
        <v>29</v>
      </c>
      <c r="AH84" s="391" t="s">
        <v>29</v>
      </c>
      <c r="AI84" s="391" t="s">
        <v>29</v>
      </c>
    </row>
    <row r="85" spans="2:35" s="6" customFormat="1" ht="11.25" hidden="1" customHeight="1" outlineLevel="1" x14ac:dyDescent="0.55000000000000004">
      <c r="B85" s="244" t="s">
        <v>5370</v>
      </c>
      <c r="C85" s="245"/>
      <c r="D85" s="279" t="str">
        <f>IF(Y85="","",Y85)</f>
        <v>NA</v>
      </c>
      <c r="E85" s="279" t="str">
        <f>IF(Z85="","",Z85)</f>
        <v>NA</v>
      </c>
      <c r="F85" s="279" t="str">
        <f>IF(AA85="","",AA85)</f>
        <v>NA</v>
      </c>
      <c r="G85" s="279" t="str">
        <f>IF(AB85="","",AB85)</f>
        <v>NA</v>
      </c>
      <c r="H85" s="279" t="str">
        <f>IF(AC85="","",AC85)</f>
        <v>NA</v>
      </c>
      <c r="I85" s="279" t="str">
        <f>IF(AD85="","",AD85)</f>
        <v>NA</v>
      </c>
      <c r="J85" s="279" t="str">
        <f>IF(AE85="","",AE85)</f>
        <v>NA</v>
      </c>
      <c r="K85" s="279" t="str">
        <f>IF(AF85="","",AF85)</f>
        <v>NA</v>
      </c>
      <c r="L85" s="279" t="str">
        <f>IF(AG85="","",AG85)</f>
        <v>NA</v>
      </c>
      <c r="M85" s="279" t="str">
        <f>IF(AH85="","",AH85)</f>
        <v>NA</v>
      </c>
      <c r="N85" s="279" t="str">
        <f>IF(AI85="","",AI85)</f>
        <v>NA</v>
      </c>
      <c r="U85" s="388" t="s">
        <v>5458</v>
      </c>
      <c r="V85" s="389">
        <v>324661</v>
      </c>
      <c r="W85" s="389" t="str">
        <f t="shared" si="2"/>
        <v>2014Y</v>
      </c>
      <c r="X85" s="390" t="str">
        <f>[1]!SNLLabel(287,324661,,"&lt;&gt;368","Options:Curr=Reported currency,Mag=MIstandard,ConvMethod=MIrecommended")</f>
        <v>AR: YRT Mortality Risk Only</v>
      </c>
      <c r="Y85" s="391" t="s">
        <v>29</v>
      </c>
      <c r="Z85" s="391" t="s">
        <v>29</v>
      </c>
      <c r="AA85" s="391" t="s">
        <v>29</v>
      </c>
      <c r="AB85" s="391" t="s">
        <v>29</v>
      </c>
      <c r="AC85" s="391" t="s">
        <v>29</v>
      </c>
      <c r="AD85" s="391" t="s">
        <v>29</v>
      </c>
      <c r="AE85" s="391" t="s">
        <v>29</v>
      </c>
      <c r="AF85" s="391" t="s">
        <v>29</v>
      </c>
      <c r="AG85" s="391" t="s">
        <v>29</v>
      </c>
      <c r="AH85" s="391" t="s">
        <v>29</v>
      </c>
      <c r="AI85" s="391" t="s">
        <v>29</v>
      </c>
    </row>
    <row r="86" spans="2:35" s="6" customFormat="1" ht="11.25" hidden="1" customHeight="1" outlineLevel="1" x14ac:dyDescent="0.55000000000000004">
      <c r="B86" s="244" t="s">
        <v>5371</v>
      </c>
      <c r="C86" s="245"/>
      <c r="D86" s="279" t="str">
        <f>IF(Y86="","",Y86)</f>
        <v>NA</v>
      </c>
      <c r="E86" s="279" t="str">
        <f>IF(Z86="","",Z86)</f>
        <v>NA</v>
      </c>
      <c r="F86" s="279" t="str">
        <f>IF(AA86="","",AA86)</f>
        <v>NA</v>
      </c>
      <c r="G86" s="279" t="str">
        <f>IF(AB86="","",AB86)</f>
        <v>NA</v>
      </c>
      <c r="H86" s="279" t="str">
        <f>IF(AC86="","",AC86)</f>
        <v>NA</v>
      </c>
      <c r="I86" s="279" t="str">
        <f>IF(AD86="","",AD86)</f>
        <v>NA</v>
      </c>
      <c r="J86" s="279" t="str">
        <f>IF(AE86="","",AE86)</f>
        <v>NA</v>
      </c>
      <c r="K86" s="279" t="str">
        <f>IF(AF86="","",AF86)</f>
        <v>NA</v>
      </c>
      <c r="L86" s="279" t="str">
        <f>IF(AG86="","",AG86)</f>
        <v>NA</v>
      </c>
      <c r="M86" s="279" t="str">
        <f>IF(AH86="","",AH86)</f>
        <v>NA</v>
      </c>
      <c r="N86" s="279" t="str">
        <f>IF(AI86="","",AI86)</f>
        <v>NA</v>
      </c>
      <c r="U86" s="388" t="s">
        <v>5458</v>
      </c>
      <c r="V86" s="389">
        <v>324661</v>
      </c>
      <c r="W86" s="389" t="str">
        <f t="shared" si="2"/>
        <v>2014Y</v>
      </c>
      <c r="X86" s="390" t="str">
        <f>[1]!SNLLabel(287,324661,,"&lt;&gt;369","Options:Curr=Reported currency,Mag=MIstandard,ConvMethod=MIrecommended")</f>
        <v>AR: Individual and Group Life</v>
      </c>
      <c r="Y86" s="391" t="s">
        <v>29</v>
      </c>
      <c r="Z86" s="391" t="s">
        <v>29</v>
      </c>
      <c r="AA86" s="391" t="s">
        <v>29</v>
      </c>
      <c r="AB86" s="391" t="s">
        <v>29</v>
      </c>
      <c r="AC86" s="391" t="s">
        <v>29</v>
      </c>
      <c r="AD86" s="391" t="s">
        <v>29</v>
      </c>
      <c r="AE86" s="391" t="s">
        <v>29</v>
      </c>
      <c r="AF86" s="391" t="s">
        <v>29</v>
      </c>
      <c r="AG86" s="391" t="s">
        <v>29</v>
      </c>
      <c r="AH86" s="391" t="s">
        <v>29</v>
      </c>
      <c r="AI86" s="391" t="s">
        <v>29</v>
      </c>
    </row>
    <row r="87" spans="2:35" s="6" customFormat="1" ht="11.25" hidden="1" customHeight="1" outlineLevel="1" x14ac:dyDescent="0.55000000000000004">
      <c r="B87" s="244" t="s">
        <v>5372</v>
      </c>
      <c r="C87" s="245"/>
      <c r="D87" s="279" t="str">
        <f>IF(Y87="","",Y87)</f>
        <v>NA</v>
      </c>
      <c r="E87" s="279" t="str">
        <f>IF(Z87="","",Z87)</f>
        <v>NA</v>
      </c>
      <c r="F87" s="279" t="str">
        <f>IF(AA87="","",AA87)</f>
        <v>NA</v>
      </c>
      <c r="G87" s="279" t="str">
        <f>IF(AB87="","",AB87)</f>
        <v>NA</v>
      </c>
      <c r="H87" s="279" t="str">
        <f>IF(AC87="","",AC87)</f>
        <v>NA</v>
      </c>
      <c r="I87" s="279" t="str">
        <f>IF(AD87="","",AD87)</f>
        <v>NA</v>
      </c>
      <c r="J87" s="279" t="str">
        <f>IF(AE87="","",AE87)</f>
        <v>NA</v>
      </c>
      <c r="K87" s="279" t="str">
        <f>IF(AF87="","",AF87)</f>
        <v>NA</v>
      </c>
      <c r="L87" s="279" t="str">
        <f>IF(AG87="","",AG87)</f>
        <v>NA</v>
      </c>
      <c r="M87" s="279" t="str">
        <f>IF(AH87="","",AH87)</f>
        <v>NA</v>
      </c>
      <c r="N87" s="279" t="str">
        <f>IF(AI87="","",AI87)</f>
        <v>NA</v>
      </c>
      <c r="U87" s="367" t="s">
        <v>5458</v>
      </c>
      <c r="V87" s="368">
        <v>324661</v>
      </c>
      <c r="W87" s="368" t="str">
        <f t="shared" si="2"/>
        <v>2014Y</v>
      </c>
      <c r="X87" s="369" t="str">
        <f>[1]!SNLLabel(287,324661,,"&lt;&gt;370","Options:Curr=Reported currency,Mag=MIstandard,ConvMethod=MIrecommended")</f>
        <v>AR: Individual and Group Annuities</v>
      </c>
      <c r="Y87" s="371" t="s">
        <v>29</v>
      </c>
      <c r="Z87" s="371" t="s">
        <v>29</v>
      </c>
      <c r="AA87" s="371" t="s">
        <v>29</v>
      </c>
      <c r="AB87" s="371" t="s">
        <v>29</v>
      </c>
      <c r="AC87" s="371" t="s">
        <v>29</v>
      </c>
      <c r="AD87" s="371" t="s">
        <v>29</v>
      </c>
      <c r="AE87" s="371" t="s">
        <v>29</v>
      </c>
      <c r="AF87" s="371" t="s">
        <v>29</v>
      </c>
      <c r="AG87" s="371" t="s">
        <v>29</v>
      </c>
      <c r="AH87" s="371" t="s">
        <v>29</v>
      </c>
      <c r="AI87" s="371" t="s">
        <v>29</v>
      </c>
    </row>
    <row r="88" spans="2:35" s="6" customFormat="1" ht="11.25" hidden="1" customHeight="1" outlineLevel="1" x14ac:dyDescent="0.55000000000000004">
      <c r="B88" s="244"/>
      <c r="C88" s="245"/>
      <c r="D88" s="279"/>
      <c r="E88" s="279"/>
      <c r="F88" s="279"/>
      <c r="G88" s="279"/>
      <c r="H88" s="279"/>
      <c r="I88" s="303"/>
      <c r="J88" s="303"/>
      <c r="K88" s="303"/>
      <c r="L88" s="303"/>
      <c r="M88" s="303"/>
      <c r="N88" s="303"/>
      <c r="U88" s="398"/>
      <c r="V88" s="289"/>
      <c r="W88" s="289"/>
      <c r="X88" s="289"/>
      <c r="Y88" s="289"/>
      <c r="Z88" s="289"/>
      <c r="AA88" s="289"/>
      <c r="AB88" s="289"/>
      <c r="AC88" s="289"/>
      <c r="AD88" s="289"/>
      <c r="AE88" s="289"/>
      <c r="AF88" s="289"/>
      <c r="AG88" s="289"/>
      <c r="AH88" s="289"/>
      <c r="AI88" s="399"/>
    </row>
    <row r="89" spans="2:35" s="6" customFormat="1" ht="11.25" hidden="1" customHeight="1" outlineLevel="1" x14ac:dyDescent="0.55000000000000004">
      <c r="B89" s="246" t="s">
        <v>5459</v>
      </c>
      <c r="C89" s="245"/>
      <c r="D89" s="279"/>
      <c r="E89" s="279"/>
      <c r="F89" s="279"/>
      <c r="G89" s="279"/>
      <c r="H89" s="279"/>
      <c r="I89" s="303"/>
      <c r="J89" s="303"/>
      <c r="K89" s="303"/>
      <c r="L89" s="303"/>
      <c r="M89" s="303"/>
      <c r="N89" s="303"/>
      <c r="U89" s="398"/>
      <c r="V89" s="289"/>
      <c r="W89" s="289"/>
      <c r="X89" s="289"/>
      <c r="Y89" s="289"/>
      <c r="Z89" s="289"/>
      <c r="AA89" s="289"/>
      <c r="AB89" s="289"/>
      <c r="AC89" s="289"/>
      <c r="AD89" s="289"/>
      <c r="AE89" s="289"/>
      <c r="AF89" s="289"/>
      <c r="AG89" s="289"/>
      <c r="AH89" s="289"/>
      <c r="AI89" s="399"/>
    </row>
    <row r="90" spans="2:35" s="6" customFormat="1" ht="11.25" hidden="1" customHeight="1" outlineLevel="1" x14ac:dyDescent="0.55000000000000004">
      <c r="B90" s="244" t="s">
        <v>5365</v>
      </c>
      <c r="C90" s="245"/>
      <c r="D90" s="279" t="str">
        <f>IF(Y90="","",Y90)</f>
        <v>NA</v>
      </c>
      <c r="E90" s="279" t="str">
        <f>IF(Z90="","",Z90)</f>
        <v>NA</v>
      </c>
      <c r="F90" s="279" t="str">
        <f>IF(AA90="","",AA90)</f>
        <v>NA</v>
      </c>
      <c r="G90" s="279" t="str">
        <f>IF(AB90="","",AB90)</f>
        <v>NA</v>
      </c>
      <c r="H90" s="279" t="str">
        <f>IF(AC90="","",AC90)</f>
        <v>NA</v>
      </c>
      <c r="I90" s="279" t="str">
        <f>IF(AD90="","",AD90)</f>
        <v>NA</v>
      </c>
      <c r="J90" s="279" t="str">
        <f>IF(AE90="","",AE90)</f>
        <v>NA</v>
      </c>
      <c r="K90" s="279" t="str">
        <f>IF(AF90="","",AF90)</f>
        <v>NA</v>
      </c>
      <c r="L90" s="279" t="str">
        <f>IF(AG90="","",AG90)</f>
        <v>NA</v>
      </c>
      <c r="M90" s="279" t="str">
        <f>IF(AH90="","",AH90)</f>
        <v>NA</v>
      </c>
      <c r="N90" s="279" t="str">
        <f>IF(AI90="","",AI90)</f>
        <v>NA</v>
      </c>
      <c r="U90" s="384" t="s">
        <v>5459</v>
      </c>
      <c r="V90" s="385">
        <v>324662</v>
      </c>
      <c r="W90" s="385" t="str">
        <f t="shared" ref="W90:W100" si="3">Period</f>
        <v>2014Y</v>
      </c>
      <c r="X90" s="386" t="str">
        <f>[1]!SNLLabel(287,324662,,"&lt;&gt;360","Options:Curr=Reported currency,Mag=MIstandard,ConvMethod=MIrecommended")</f>
        <v>AR: Analysis of Operations All Lines</v>
      </c>
      <c r="Y90" s="387" t="s">
        <v>29</v>
      </c>
      <c r="Z90" s="387" t="s">
        <v>29</v>
      </c>
      <c r="AA90" s="387" t="s">
        <v>29</v>
      </c>
      <c r="AB90" s="387" t="s">
        <v>29</v>
      </c>
      <c r="AC90" s="387" t="s">
        <v>29</v>
      </c>
      <c r="AD90" s="387" t="s">
        <v>29</v>
      </c>
      <c r="AE90" s="387" t="s">
        <v>29</v>
      </c>
      <c r="AF90" s="387" t="s">
        <v>29</v>
      </c>
      <c r="AG90" s="387" t="s">
        <v>29</v>
      </c>
      <c r="AH90" s="387" t="s">
        <v>29</v>
      </c>
      <c r="AI90" s="387" t="s">
        <v>29</v>
      </c>
    </row>
    <row r="91" spans="2:35" s="6" customFormat="1" ht="11.25" hidden="1" customHeight="1" outlineLevel="1" x14ac:dyDescent="0.55000000000000004">
      <c r="B91" s="244" t="s">
        <v>5366</v>
      </c>
      <c r="C91" s="245"/>
      <c r="D91" s="279" t="str">
        <f>IF(Y91="","",Y91)</f>
        <v>NA</v>
      </c>
      <c r="E91" s="279" t="str">
        <f>IF(Z91="","",Z91)</f>
        <v>NA</v>
      </c>
      <c r="F91" s="279" t="str">
        <f>IF(AA91="","",AA91)</f>
        <v>NA</v>
      </c>
      <c r="G91" s="279" t="str">
        <f>IF(AB91="","",AB91)</f>
        <v>NA</v>
      </c>
      <c r="H91" s="279" t="str">
        <f>IF(AC91="","",AC91)</f>
        <v>NA</v>
      </c>
      <c r="I91" s="279" t="str">
        <f>IF(AD91="","",AD91)</f>
        <v>NA</v>
      </c>
      <c r="J91" s="279" t="str">
        <f>IF(AE91="","",AE91)</f>
        <v>NA</v>
      </c>
      <c r="K91" s="279" t="str">
        <f>IF(AF91="","",AF91)</f>
        <v>NA</v>
      </c>
      <c r="L91" s="279" t="str">
        <f>IF(AG91="","",AG91)</f>
        <v>NA</v>
      </c>
      <c r="M91" s="279" t="str">
        <f>IF(AH91="","",AH91)</f>
        <v>NA</v>
      </c>
      <c r="N91" s="279" t="str">
        <f>IF(AI91="","",AI91)</f>
        <v>NA</v>
      </c>
      <c r="U91" s="388" t="s">
        <v>5459</v>
      </c>
      <c r="V91" s="389">
        <v>324662</v>
      </c>
      <c r="W91" s="389" t="str">
        <f t="shared" si="3"/>
        <v>2014Y</v>
      </c>
      <c r="X91" s="390" t="str">
        <f>[1]!SNLLabel(287,324662,,"&lt;&gt;361","Options:Curr=Reported currency,Mag=MIstandard,ConvMethod=MIrecommended")</f>
        <v>AR: Individual Life</v>
      </c>
      <c r="Y91" s="391" t="s">
        <v>29</v>
      </c>
      <c r="Z91" s="391" t="s">
        <v>29</v>
      </c>
      <c r="AA91" s="391" t="s">
        <v>29</v>
      </c>
      <c r="AB91" s="391" t="s">
        <v>29</v>
      </c>
      <c r="AC91" s="391" t="s">
        <v>29</v>
      </c>
      <c r="AD91" s="391" t="s">
        <v>29</v>
      </c>
      <c r="AE91" s="391" t="s">
        <v>29</v>
      </c>
      <c r="AF91" s="391" t="s">
        <v>29</v>
      </c>
      <c r="AG91" s="391" t="s">
        <v>29</v>
      </c>
      <c r="AH91" s="391" t="s">
        <v>29</v>
      </c>
      <c r="AI91" s="391" t="s">
        <v>29</v>
      </c>
    </row>
    <row r="92" spans="2:35" s="6" customFormat="1" ht="11.25" hidden="1" customHeight="1" outlineLevel="1" x14ac:dyDescent="0.55000000000000004">
      <c r="B92" s="244" t="s">
        <v>5122</v>
      </c>
      <c r="C92" s="245"/>
      <c r="D92" s="279" t="str">
        <f>IF(Y92="","",Y92)</f>
        <v>NA</v>
      </c>
      <c r="E92" s="279" t="str">
        <f>IF(Z92="","",Z92)</f>
        <v>NA</v>
      </c>
      <c r="F92" s="279" t="str">
        <f>IF(AA92="","",AA92)</f>
        <v>NA</v>
      </c>
      <c r="G92" s="279" t="str">
        <f>IF(AB92="","",AB92)</f>
        <v>NA</v>
      </c>
      <c r="H92" s="279" t="str">
        <f>IF(AC92="","",AC92)</f>
        <v>NA</v>
      </c>
      <c r="I92" s="279" t="str">
        <f>IF(AD92="","",AD92)</f>
        <v>NA</v>
      </c>
      <c r="J92" s="279" t="str">
        <f>IF(AE92="","",AE92)</f>
        <v>NA</v>
      </c>
      <c r="K92" s="279" t="str">
        <f>IF(AF92="","",AF92)</f>
        <v>NA</v>
      </c>
      <c r="L92" s="279" t="str">
        <f>IF(AG92="","",AG92)</f>
        <v>NA</v>
      </c>
      <c r="M92" s="279" t="str">
        <f>IF(AH92="","",AH92)</f>
        <v>NA</v>
      </c>
      <c r="N92" s="279" t="str">
        <f>IF(AI92="","",AI92)</f>
        <v>NA</v>
      </c>
      <c r="U92" s="388" t="s">
        <v>5459</v>
      </c>
      <c r="V92" s="389">
        <v>324662</v>
      </c>
      <c r="W92" s="389" t="str">
        <f t="shared" si="3"/>
        <v>2014Y</v>
      </c>
      <c r="X92" s="390" t="str">
        <f>[1]!SNLLabel(287,324662,,"&lt;&gt;362","Options:Curr=Reported currency,Mag=MIstandard,ConvMethod=MIrecommended")</f>
        <v>AR: Group Life</v>
      </c>
      <c r="Y92" s="391" t="s">
        <v>29</v>
      </c>
      <c r="Z92" s="391" t="s">
        <v>29</v>
      </c>
      <c r="AA92" s="391" t="s">
        <v>29</v>
      </c>
      <c r="AB92" s="391" t="s">
        <v>29</v>
      </c>
      <c r="AC92" s="391" t="s">
        <v>29</v>
      </c>
      <c r="AD92" s="391" t="s">
        <v>29</v>
      </c>
      <c r="AE92" s="391" t="s">
        <v>29</v>
      </c>
      <c r="AF92" s="391" t="s">
        <v>29</v>
      </c>
      <c r="AG92" s="391" t="s">
        <v>29</v>
      </c>
      <c r="AH92" s="391" t="s">
        <v>29</v>
      </c>
      <c r="AI92" s="391" t="s">
        <v>29</v>
      </c>
    </row>
    <row r="93" spans="2:35" s="6" customFormat="1" ht="11.25" hidden="1" customHeight="1" outlineLevel="1" x14ac:dyDescent="0.55000000000000004">
      <c r="B93" s="244" t="s">
        <v>5124</v>
      </c>
      <c r="C93" s="245"/>
      <c r="D93" s="279" t="str">
        <f>IF(Y93="","",Y93)</f>
        <v>NA</v>
      </c>
      <c r="E93" s="279" t="str">
        <f>IF(Z93="","",Z93)</f>
        <v>NA</v>
      </c>
      <c r="F93" s="279" t="str">
        <f>IF(AA93="","",AA93)</f>
        <v>NA</v>
      </c>
      <c r="G93" s="279" t="str">
        <f>IF(AB93="","",AB93)</f>
        <v>NA</v>
      </c>
      <c r="H93" s="279" t="str">
        <f>IF(AC93="","",AC93)</f>
        <v>NA</v>
      </c>
      <c r="I93" s="279" t="str">
        <f>IF(AD93="","",AD93)</f>
        <v>NA</v>
      </c>
      <c r="J93" s="279" t="str">
        <f>IF(AE93="","",AE93)</f>
        <v>NA</v>
      </c>
      <c r="K93" s="279" t="str">
        <f>IF(AF93="","",AF93)</f>
        <v>NA</v>
      </c>
      <c r="L93" s="279" t="str">
        <f>IF(AG93="","",AG93)</f>
        <v>NA</v>
      </c>
      <c r="M93" s="279" t="str">
        <f>IF(AH93="","",AH93)</f>
        <v>NA</v>
      </c>
      <c r="N93" s="279" t="str">
        <f>IF(AI93="","",AI93)</f>
        <v>NA</v>
      </c>
      <c r="U93" s="388" t="s">
        <v>5459</v>
      </c>
      <c r="V93" s="389">
        <v>324662</v>
      </c>
      <c r="W93" s="389" t="str">
        <f t="shared" si="3"/>
        <v>2014Y</v>
      </c>
      <c r="X93" s="390" t="str">
        <f>[1]!SNLLabel(287,324662,,"&lt;&gt;363","Options:Curr=Reported currency,Mag=MIstandard,ConvMethod=MIrecommended")</f>
        <v>AR: Individual Annuities</v>
      </c>
      <c r="Y93" s="391" t="s">
        <v>29</v>
      </c>
      <c r="Z93" s="391" t="s">
        <v>29</v>
      </c>
      <c r="AA93" s="391" t="s">
        <v>29</v>
      </c>
      <c r="AB93" s="391" t="s">
        <v>29</v>
      </c>
      <c r="AC93" s="391" t="s">
        <v>29</v>
      </c>
      <c r="AD93" s="391" t="s">
        <v>29</v>
      </c>
      <c r="AE93" s="391" t="s">
        <v>29</v>
      </c>
      <c r="AF93" s="391" t="s">
        <v>29</v>
      </c>
      <c r="AG93" s="391" t="s">
        <v>29</v>
      </c>
      <c r="AH93" s="391" t="s">
        <v>29</v>
      </c>
      <c r="AI93" s="391" t="s">
        <v>29</v>
      </c>
    </row>
    <row r="94" spans="2:35" s="6" customFormat="1" ht="11.25" hidden="1" customHeight="1" outlineLevel="1" x14ac:dyDescent="0.55000000000000004">
      <c r="B94" s="244" t="s">
        <v>5121</v>
      </c>
      <c r="C94" s="245"/>
      <c r="D94" s="279" t="str">
        <f>IF(Y94="","",Y94)</f>
        <v>NA</v>
      </c>
      <c r="E94" s="279" t="str">
        <f>IF(Z94="","",Z94)</f>
        <v>NA</v>
      </c>
      <c r="F94" s="279" t="str">
        <f>IF(AA94="","",AA94)</f>
        <v>NA</v>
      </c>
      <c r="G94" s="279" t="str">
        <f>IF(AB94="","",AB94)</f>
        <v>NA</v>
      </c>
      <c r="H94" s="279" t="str">
        <f>IF(AC94="","",AC94)</f>
        <v>NA</v>
      </c>
      <c r="I94" s="279" t="str">
        <f>IF(AD94="","",AD94)</f>
        <v>NA</v>
      </c>
      <c r="J94" s="279" t="str">
        <f>IF(AE94="","",AE94)</f>
        <v>NA</v>
      </c>
      <c r="K94" s="279" t="str">
        <f>IF(AF94="","",AF94)</f>
        <v>NA</v>
      </c>
      <c r="L94" s="279" t="str">
        <f>IF(AG94="","",AG94)</f>
        <v>NA</v>
      </c>
      <c r="M94" s="279" t="str">
        <f>IF(AH94="","",AH94)</f>
        <v>NA</v>
      </c>
      <c r="N94" s="279" t="str">
        <f>IF(AI94="","",AI94)</f>
        <v>NA</v>
      </c>
      <c r="U94" s="388" t="s">
        <v>5459</v>
      </c>
      <c r="V94" s="389">
        <v>324662</v>
      </c>
      <c r="W94" s="389" t="str">
        <f t="shared" si="3"/>
        <v>2014Y</v>
      </c>
      <c r="X94" s="390" t="str">
        <f>[1]!SNLLabel(287,324662,,"&lt;&gt;364","Options:Curr=Reported currency,Mag=MIstandard,ConvMethod=MIrecommended")</f>
        <v>AR: Group Annuities</v>
      </c>
      <c r="Y94" s="391" t="s">
        <v>29</v>
      </c>
      <c r="Z94" s="391" t="s">
        <v>29</v>
      </c>
      <c r="AA94" s="391" t="s">
        <v>29</v>
      </c>
      <c r="AB94" s="391" t="s">
        <v>29</v>
      </c>
      <c r="AC94" s="391" t="s">
        <v>29</v>
      </c>
      <c r="AD94" s="391" t="s">
        <v>29</v>
      </c>
      <c r="AE94" s="391" t="s">
        <v>29</v>
      </c>
      <c r="AF94" s="391" t="s">
        <v>29</v>
      </c>
      <c r="AG94" s="391" t="s">
        <v>29</v>
      </c>
      <c r="AH94" s="391" t="s">
        <v>29</v>
      </c>
      <c r="AI94" s="391" t="s">
        <v>29</v>
      </c>
    </row>
    <row r="95" spans="2:35" s="6" customFormat="1" ht="11.25" hidden="1" customHeight="1" outlineLevel="1" x14ac:dyDescent="0.55000000000000004">
      <c r="B95" s="244" t="s">
        <v>5367</v>
      </c>
      <c r="C95" s="245"/>
      <c r="D95" s="279" t="str">
        <f>IF(Y95="","",Y95)</f>
        <v>NA</v>
      </c>
      <c r="E95" s="279" t="str">
        <f>IF(Z95="","",Z95)</f>
        <v>NA</v>
      </c>
      <c r="F95" s="279" t="str">
        <f>IF(AA95="","",AA95)</f>
        <v>NA</v>
      </c>
      <c r="G95" s="279" t="str">
        <f>IF(AB95="","",AB95)</f>
        <v>NA</v>
      </c>
      <c r="H95" s="279" t="str">
        <f>IF(AC95="","",AC95)</f>
        <v>NA</v>
      </c>
      <c r="I95" s="279" t="str">
        <f>IF(AD95="","",AD95)</f>
        <v>NA</v>
      </c>
      <c r="J95" s="279" t="str">
        <f>IF(AE95="","",AE95)</f>
        <v>NA</v>
      </c>
      <c r="K95" s="279" t="str">
        <f>IF(AF95="","",AF95)</f>
        <v>NA</v>
      </c>
      <c r="L95" s="279" t="str">
        <f>IF(AG95="","",AG95)</f>
        <v>NA</v>
      </c>
      <c r="M95" s="279" t="str">
        <f>IF(AH95="","",AH95)</f>
        <v>NA</v>
      </c>
      <c r="N95" s="279" t="str">
        <f>IF(AI95="","",AI95)</f>
        <v>NA</v>
      </c>
      <c r="U95" s="388" t="s">
        <v>5459</v>
      </c>
      <c r="V95" s="389">
        <v>324662</v>
      </c>
      <c r="W95" s="389" t="str">
        <f t="shared" si="3"/>
        <v>2014Y</v>
      </c>
      <c r="X95" s="390" t="str">
        <f>[1]!SNLLabel(287,324662,,"&lt;&gt;365","Options:Curr=Reported currency,Mag=MIstandard,ConvMethod=MIrecommended")</f>
        <v>AR: Accident and Health</v>
      </c>
      <c r="Y95" s="391" t="s">
        <v>29</v>
      </c>
      <c r="Z95" s="391" t="s">
        <v>29</v>
      </c>
      <c r="AA95" s="391" t="s">
        <v>29</v>
      </c>
      <c r="AB95" s="391" t="s">
        <v>29</v>
      </c>
      <c r="AC95" s="391" t="s">
        <v>29</v>
      </c>
      <c r="AD95" s="391" t="s">
        <v>29</v>
      </c>
      <c r="AE95" s="391" t="s">
        <v>29</v>
      </c>
      <c r="AF95" s="391" t="s">
        <v>29</v>
      </c>
      <c r="AG95" s="391" t="s">
        <v>29</v>
      </c>
      <c r="AH95" s="391" t="s">
        <v>29</v>
      </c>
      <c r="AI95" s="391" t="s">
        <v>29</v>
      </c>
    </row>
    <row r="96" spans="2:35" s="6" customFormat="1" ht="11.25" hidden="1" customHeight="1" outlineLevel="1" x14ac:dyDescent="0.55000000000000004">
      <c r="B96" s="244" t="s">
        <v>5368</v>
      </c>
      <c r="C96" s="245"/>
      <c r="D96" s="279" t="str">
        <f>IF(Y96="","",Y96)</f>
        <v>NA</v>
      </c>
      <c r="E96" s="279" t="str">
        <f>IF(Z96="","",Z96)</f>
        <v>NA</v>
      </c>
      <c r="F96" s="279" t="str">
        <f>IF(AA96="","",AA96)</f>
        <v>NA</v>
      </c>
      <c r="G96" s="279" t="str">
        <f>IF(AB96="","",AB96)</f>
        <v>NA</v>
      </c>
      <c r="H96" s="279" t="str">
        <f>IF(AC96="","",AC96)</f>
        <v>NA</v>
      </c>
      <c r="I96" s="279" t="str">
        <f>IF(AD96="","",AD96)</f>
        <v>NA</v>
      </c>
      <c r="J96" s="279" t="str">
        <f>IF(AE96="","",AE96)</f>
        <v>NA</v>
      </c>
      <c r="K96" s="279" t="str">
        <f>IF(AF96="","",AF96)</f>
        <v>NA</v>
      </c>
      <c r="L96" s="279" t="str">
        <f>IF(AG96="","",AG96)</f>
        <v>NA</v>
      </c>
      <c r="M96" s="279" t="str">
        <f>IF(AH96="","",AH96)</f>
        <v>NA</v>
      </c>
      <c r="N96" s="279" t="str">
        <f>IF(AI96="","",AI96)</f>
        <v>NA</v>
      </c>
      <c r="U96" s="388" t="s">
        <v>5459</v>
      </c>
      <c r="V96" s="389">
        <v>324662</v>
      </c>
      <c r="W96" s="389" t="str">
        <f t="shared" si="3"/>
        <v>2014Y</v>
      </c>
      <c r="X96" s="390" t="str">
        <f>[1]!SNLLabel(287,324662,,"&lt;&gt;366","Options:Curr=Reported currency,Mag=MIstandard,ConvMethod=MIrecommended")</f>
        <v>AR: Fraternal</v>
      </c>
      <c r="Y96" s="391" t="s">
        <v>29</v>
      </c>
      <c r="Z96" s="391" t="s">
        <v>29</v>
      </c>
      <c r="AA96" s="391" t="s">
        <v>29</v>
      </c>
      <c r="AB96" s="391" t="s">
        <v>29</v>
      </c>
      <c r="AC96" s="391" t="s">
        <v>29</v>
      </c>
      <c r="AD96" s="391" t="s">
        <v>29</v>
      </c>
      <c r="AE96" s="391" t="s">
        <v>29</v>
      </c>
      <c r="AF96" s="391" t="s">
        <v>29</v>
      </c>
      <c r="AG96" s="391" t="s">
        <v>29</v>
      </c>
      <c r="AH96" s="391" t="s">
        <v>29</v>
      </c>
      <c r="AI96" s="391" t="s">
        <v>29</v>
      </c>
    </row>
    <row r="97" spans="1:35" s="6" customFormat="1" ht="11.25" hidden="1" customHeight="1" outlineLevel="1" x14ac:dyDescent="0.55000000000000004">
      <c r="B97" s="244" t="s">
        <v>5369</v>
      </c>
      <c r="C97" s="245"/>
      <c r="D97" s="279" t="str">
        <f>IF(Y97="","",Y97)</f>
        <v>NA</v>
      </c>
      <c r="E97" s="279" t="str">
        <f>IF(Z97="","",Z97)</f>
        <v>NA</v>
      </c>
      <c r="F97" s="279" t="str">
        <f>IF(AA97="","",AA97)</f>
        <v>NA</v>
      </c>
      <c r="G97" s="279" t="str">
        <f>IF(AB97="","",AB97)</f>
        <v>NA</v>
      </c>
      <c r="H97" s="279" t="str">
        <f>IF(AC97="","",AC97)</f>
        <v>NA</v>
      </c>
      <c r="I97" s="279" t="str">
        <f>IF(AD97="","",AD97)</f>
        <v>NA</v>
      </c>
      <c r="J97" s="279" t="str">
        <f>IF(AE97="","",AE97)</f>
        <v>NA</v>
      </c>
      <c r="K97" s="279" t="str">
        <f>IF(AF97="","",AF97)</f>
        <v>NA</v>
      </c>
      <c r="L97" s="279" t="str">
        <f>IF(AG97="","",AG97)</f>
        <v>NA</v>
      </c>
      <c r="M97" s="279" t="str">
        <f>IF(AH97="","",AH97)</f>
        <v>NA</v>
      </c>
      <c r="N97" s="279" t="str">
        <f>IF(AI97="","",AI97)</f>
        <v>NA</v>
      </c>
      <c r="U97" s="388" t="s">
        <v>5459</v>
      </c>
      <c r="V97" s="389">
        <v>324662</v>
      </c>
      <c r="W97" s="389" t="str">
        <f t="shared" si="3"/>
        <v>2014Y</v>
      </c>
      <c r="X97" s="390" t="str">
        <f>[1]!SNLLabel(287,324662,,"&lt;&gt;367","Options:Curr=Reported currency,Mag=MIstandard,ConvMethod=MIrecommended")</f>
        <v>AR: Other Lines of Business</v>
      </c>
      <c r="Y97" s="391" t="s">
        <v>29</v>
      </c>
      <c r="Z97" s="391" t="s">
        <v>29</v>
      </c>
      <c r="AA97" s="391" t="s">
        <v>29</v>
      </c>
      <c r="AB97" s="391" t="s">
        <v>29</v>
      </c>
      <c r="AC97" s="391" t="s">
        <v>29</v>
      </c>
      <c r="AD97" s="391" t="s">
        <v>29</v>
      </c>
      <c r="AE97" s="391" t="s">
        <v>29</v>
      </c>
      <c r="AF97" s="391" t="s">
        <v>29</v>
      </c>
      <c r="AG97" s="391" t="s">
        <v>29</v>
      </c>
      <c r="AH97" s="391" t="s">
        <v>29</v>
      </c>
      <c r="AI97" s="391" t="s">
        <v>29</v>
      </c>
    </row>
    <row r="98" spans="1:35" s="6" customFormat="1" ht="11.25" hidden="1" customHeight="1" outlineLevel="1" x14ac:dyDescent="0.55000000000000004">
      <c r="B98" s="244" t="s">
        <v>5370</v>
      </c>
      <c r="C98" s="245"/>
      <c r="D98" s="279" t="str">
        <f>IF(Y98="","",Y98)</f>
        <v>NA</v>
      </c>
      <c r="E98" s="279" t="str">
        <f>IF(Z98="","",Z98)</f>
        <v>NA</v>
      </c>
      <c r="F98" s="279" t="str">
        <f>IF(AA98="","",AA98)</f>
        <v>NA</v>
      </c>
      <c r="G98" s="279" t="str">
        <f>IF(AB98="","",AB98)</f>
        <v>NA</v>
      </c>
      <c r="H98" s="279" t="str">
        <f>IF(AC98="","",AC98)</f>
        <v>NA</v>
      </c>
      <c r="I98" s="279" t="str">
        <f>IF(AD98="","",AD98)</f>
        <v>NA</v>
      </c>
      <c r="J98" s="279" t="str">
        <f>IF(AE98="","",AE98)</f>
        <v>NA</v>
      </c>
      <c r="K98" s="279" t="str">
        <f>IF(AF98="","",AF98)</f>
        <v>NA</v>
      </c>
      <c r="L98" s="279" t="str">
        <f>IF(AG98="","",AG98)</f>
        <v>NA</v>
      </c>
      <c r="M98" s="279" t="str">
        <f>IF(AH98="","",AH98)</f>
        <v>NA</v>
      </c>
      <c r="N98" s="279" t="str">
        <f>IF(AI98="","",AI98)</f>
        <v>NA</v>
      </c>
      <c r="U98" s="388" t="s">
        <v>5459</v>
      </c>
      <c r="V98" s="389">
        <v>324662</v>
      </c>
      <c r="W98" s="389" t="str">
        <f t="shared" si="3"/>
        <v>2014Y</v>
      </c>
      <c r="X98" s="390" t="str">
        <f>[1]!SNLLabel(287,324662,,"&lt;&gt;368","Options:Curr=Reported currency,Mag=MIstandard,ConvMethod=MIrecommended")</f>
        <v>AR: YRT Mortality Risk Only</v>
      </c>
      <c r="Y98" s="391" t="s">
        <v>29</v>
      </c>
      <c r="Z98" s="391" t="s">
        <v>29</v>
      </c>
      <c r="AA98" s="391" t="s">
        <v>29</v>
      </c>
      <c r="AB98" s="391" t="s">
        <v>29</v>
      </c>
      <c r="AC98" s="391" t="s">
        <v>29</v>
      </c>
      <c r="AD98" s="391" t="s">
        <v>29</v>
      </c>
      <c r="AE98" s="391" t="s">
        <v>29</v>
      </c>
      <c r="AF98" s="391" t="s">
        <v>29</v>
      </c>
      <c r="AG98" s="391" t="s">
        <v>29</v>
      </c>
      <c r="AH98" s="391" t="s">
        <v>29</v>
      </c>
      <c r="AI98" s="391" t="s">
        <v>29</v>
      </c>
    </row>
    <row r="99" spans="1:35" s="6" customFormat="1" ht="11.25" hidden="1" customHeight="1" outlineLevel="1" x14ac:dyDescent="0.55000000000000004">
      <c r="B99" s="244" t="s">
        <v>5371</v>
      </c>
      <c r="C99" s="245"/>
      <c r="D99" s="279" t="str">
        <f>IF(Y99="","",Y99)</f>
        <v>NA</v>
      </c>
      <c r="E99" s="279" t="str">
        <f>IF(Z99="","",Z99)</f>
        <v>NA</v>
      </c>
      <c r="F99" s="279" t="str">
        <f>IF(AA99="","",AA99)</f>
        <v>NA</v>
      </c>
      <c r="G99" s="279" t="str">
        <f>IF(AB99="","",AB99)</f>
        <v>NA</v>
      </c>
      <c r="H99" s="279" t="str">
        <f>IF(AC99="","",AC99)</f>
        <v>NA</v>
      </c>
      <c r="I99" s="279" t="str">
        <f>IF(AD99="","",AD99)</f>
        <v>NA</v>
      </c>
      <c r="J99" s="279" t="str">
        <f>IF(AE99="","",AE99)</f>
        <v>NA</v>
      </c>
      <c r="K99" s="279" t="str">
        <f>IF(AF99="","",AF99)</f>
        <v>NA</v>
      </c>
      <c r="L99" s="279" t="str">
        <f>IF(AG99="","",AG99)</f>
        <v>NA</v>
      </c>
      <c r="M99" s="279" t="str">
        <f>IF(AH99="","",AH99)</f>
        <v>NA</v>
      </c>
      <c r="N99" s="279" t="str">
        <f>IF(AI99="","",AI99)</f>
        <v>NA</v>
      </c>
      <c r="U99" s="388" t="s">
        <v>5459</v>
      </c>
      <c r="V99" s="389">
        <v>324662</v>
      </c>
      <c r="W99" s="389" t="str">
        <f t="shared" si="3"/>
        <v>2014Y</v>
      </c>
      <c r="X99" s="390" t="str">
        <f>[1]!SNLLabel(287,324662,,"&lt;&gt;369","Options:Curr=Reported currency,Mag=MIstandard,ConvMethod=MIrecommended")</f>
        <v>AR: Individual and Group Life</v>
      </c>
      <c r="Y99" s="391" t="s">
        <v>29</v>
      </c>
      <c r="Z99" s="391" t="s">
        <v>29</v>
      </c>
      <c r="AA99" s="391" t="s">
        <v>29</v>
      </c>
      <c r="AB99" s="391" t="s">
        <v>29</v>
      </c>
      <c r="AC99" s="391" t="s">
        <v>29</v>
      </c>
      <c r="AD99" s="391" t="s">
        <v>29</v>
      </c>
      <c r="AE99" s="391" t="s">
        <v>29</v>
      </c>
      <c r="AF99" s="391" t="s">
        <v>29</v>
      </c>
      <c r="AG99" s="391" t="s">
        <v>29</v>
      </c>
      <c r="AH99" s="391" t="s">
        <v>29</v>
      </c>
      <c r="AI99" s="391" t="s">
        <v>29</v>
      </c>
    </row>
    <row r="100" spans="1:35" s="6" customFormat="1" ht="11.25" hidden="1" customHeight="1" outlineLevel="1" x14ac:dyDescent="0.55000000000000004">
      <c r="B100" s="244" t="s">
        <v>5372</v>
      </c>
      <c r="C100" s="245"/>
      <c r="D100" s="279" t="str">
        <f>IF(Y100="","",Y100)</f>
        <v>NA</v>
      </c>
      <c r="E100" s="279" t="str">
        <f>IF(Z100="","",Z100)</f>
        <v>NA</v>
      </c>
      <c r="F100" s="279" t="str">
        <f>IF(AA100="","",AA100)</f>
        <v>NA</v>
      </c>
      <c r="G100" s="279" t="str">
        <f>IF(AB100="","",AB100)</f>
        <v>NA</v>
      </c>
      <c r="H100" s="279" t="str">
        <f>IF(AC100="","",AC100)</f>
        <v>NA</v>
      </c>
      <c r="I100" s="279" t="str">
        <f>IF(AD100="","",AD100)</f>
        <v>NA</v>
      </c>
      <c r="J100" s="279" t="str">
        <f>IF(AE100="","",AE100)</f>
        <v>NA</v>
      </c>
      <c r="K100" s="279" t="str">
        <f>IF(AF100="","",AF100)</f>
        <v>NA</v>
      </c>
      <c r="L100" s="279" t="str">
        <f>IF(AG100="","",AG100)</f>
        <v>NA</v>
      </c>
      <c r="M100" s="279" t="str">
        <f>IF(AH100="","",AH100)</f>
        <v>NA</v>
      </c>
      <c r="N100" s="279" t="str">
        <f>IF(AI100="","",AI100)</f>
        <v>NA</v>
      </c>
      <c r="U100" s="367" t="s">
        <v>5459</v>
      </c>
      <c r="V100" s="368">
        <v>324662</v>
      </c>
      <c r="W100" s="368" t="str">
        <f t="shared" si="3"/>
        <v>2014Y</v>
      </c>
      <c r="X100" s="369" t="str">
        <f>[1]!SNLLabel(287,324662,,"&lt;&gt;370","Options:Curr=Reported currency,Mag=MIstandard,ConvMethod=MIrecommended")</f>
        <v>AR: Individual and Group Annuities</v>
      </c>
      <c r="Y100" s="371" t="s">
        <v>29</v>
      </c>
      <c r="Z100" s="371" t="s">
        <v>29</v>
      </c>
      <c r="AA100" s="371" t="s">
        <v>29</v>
      </c>
      <c r="AB100" s="371" t="s">
        <v>29</v>
      </c>
      <c r="AC100" s="371" t="s">
        <v>29</v>
      </c>
      <c r="AD100" s="371" t="s">
        <v>29</v>
      </c>
      <c r="AE100" s="371" t="s">
        <v>29</v>
      </c>
      <c r="AF100" s="371" t="s">
        <v>29</v>
      </c>
      <c r="AG100" s="371" t="s">
        <v>29</v>
      </c>
      <c r="AH100" s="371" t="s">
        <v>29</v>
      </c>
      <c r="AI100" s="371" t="s">
        <v>29</v>
      </c>
    </row>
    <row r="101" spans="1:35" s="6" customFormat="1" ht="11.25" hidden="1" customHeight="1" outlineLevel="1" x14ac:dyDescent="0.55000000000000004">
      <c r="B101" s="244"/>
      <c r="C101" s="245"/>
      <c r="D101" s="278"/>
      <c r="E101" s="278"/>
      <c r="F101" s="278"/>
      <c r="G101" s="278"/>
      <c r="H101" s="278"/>
      <c r="I101" s="321"/>
      <c r="J101" s="321"/>
      <c r="K101" s="321"/>
      <c r="L101" s="321"/>
      <c r="M101" s="321"/>
      <c r="N101" s="321"/>
    </row>
    <row r="102" spans="1:35" s="6" customFormat="1" ht="11.25" customHeight="1" collapsed="1" x14ac:dyDescent="0.55000000000000004">
      <c r="B102" s="246" t="s">
        <v>4978</v>
      </c>
      <c r="C102" s="247"/>
      <c r="D102" s="278"/>
      <c r="E102" s="278"/>
      <c r="F102" s="278"/>
      <c r="G102" s="278"/>
      <c r="H102" s="278"/>
      <c r="I102" s="306"/>
      <c r="J102" s="306"/>
      <c r="K102" s="306"/>
      <c r="L102" s="306"/>
      <c r="M102" s="306"/>
      <c r="N102" s="306"/>
    </row>
    <row r="103" spans="1:35" s="6" customFormat="1" ht="11.25" customHeight="1" x14ac:dyDescent="0.55000000000000004">
      <c r="B103" s="244" t="s">
        <v>4979</v>
      </c>
      <c r="C103" s="245">
        <v>123509</v>
      </c>
      <c r="D103" s="278">
        <v>2.4205549999999998</v>
      </c>
      <c r="E103" s="278">
        <v>-13.544532500000001</v>
      </c>
      <c r="F103" s="278" t="s">
        <v>29</v>
      </c>
      <c r="G103" s="278">
        <v>-4.6438965000000003</v>
      </c>
      <c r="H103" s="278">
        <v>6.2213538000000002</v>
      </c>
      <c r="I103" s="306">
        <v>-2.7863859</v>
      </c>
      <c r="J103" s="306">
        <v>-12.8367466</v>
      </c>
      <c r="K103" s="306">
        <v>0.37332159999999998</v>
      </c>
      <c r="L103" s="306">
        <v>-11.6621884</v>
      </c>
      <c r="M103" s="306">
        <v>6.7924873000000003</v>
      </c>
      <c r="N103" s="306">
        <v>3.0949794000000002</v>
      </c>
    </row>
    <row r="104" spans="1:35" s="6" customFormat="1" ht="11.25" customHeight="1" x14ac:dyDescent="0.55000000000000004">
      <c r="B104" s="244" t="s">
        <v>4980</v>
      </c>
      <c r="C104" s="245">
        <v>123451</v>
      </c>
      <c r="D104" s="278">
        <v>15.0578197</v>
      </c>
      <c r="E104" s="278">
        <v>-6.4775814</v>
      </c>
      <c r="F104" s="278">
        <v>70.605298599999998</v>
      </c>
      <c r="G104" s="278">
        <v>-5.7778136</v>
      </c>
      <c r="H104" s="278">
        <v>5.5532392000000002</v>
      </c>
      <c r="I104" s="306">
        <v>-0.96743210000000002</v>
      </c>
      <c r="J104" s="306">
        <v>-13.863522</v>
      </c>
      <c r="K104" s="306">
        <v>11.7298831</v>
      </c>
      <c r="L104" s="306">
        <v>-6.3813225999999998</v>
      </c>
      <c r="M104" s="306">
        <v>-1.6461650000000001</v>
      </c>
      <c r="N104" s="306">
        <v>3.1189239</v>
      </c>
    </row>
    <row r="105" spans="1:35" s="6" customFormat="1" ht="11.25" customHeight="1" x14ac:dyDescent="0.55000000000000004">
      <c r="B105" s="244" t="s">
        <v>4981</v>
      </c>
      <c r="C105" s="245">
        <v>123452</v>
      </c>
      <c r="D105" s="278">
        <v>-22.076436900000001</v>
      </c>
      <c r="E105" s="278" t="s">
        <v>2107</v>
      </c>
      <c r="F105" s="278">
        <v>375.08376529999998</v>
      </c>
      <c r="G105" s="278">
        <v>-3.1598343999999998</v>
      </c>
      <c r="H105" s="278">
        <v>-62.488277400000001</v>
      </c>
      <c r="I105" s="306">
        <v>5.1570954000000002</v>
      </c>
      <c r="J105" s="306" t="s">
        <v>2107</v>
      </c>
      <c r="K105" s="306">
        <v>50.276786999999999</v>
      </c>
      <c r="L105" s="306">
        <v>-49.383527800000003</v>
      </c>
      <c r="M105" s="306">
        <v>-31.265120899999999</v>
      </c>
      <c r="N105" s="306">
        <v>14.2611837</v>
      </c>
    </row>
    <row r="106" spans="1:35" s="6" customFormat="1" ht="11.25" customHeight="1" x14ac:dyDescent="0.55000000000000004">
      <c r="B106" s="244" t="s">
        <v>4982</v>
      </c>
      <c r="C106" s="245">
        <v>123453</v>
      </c>
      <c r="D106" s="278">
        <v>12.179943400000001</v>
      </c>
      <c r="E106" s="278">
        <v>-2.4400515999999999</v>
      </c>
      <c r="F106" s="278">
        <v>-62.983380599999997</v>
      </c>
      <c r="G106" s="278">
        <v>-4.3898375999999999</v>
      </c>
      <c r="H106" s="278">
        <v>3.4697588000000001</v>
      </c>
      <c r="I106" s="306">
        <v>-6.9490940999999999</v>
      </c>
      <c r="J106" s="306">
        <v>-10.1004842</v>
      </c>
      <c r="K106" s="306">
        <v>10.4077775</v>
      </c>
      <c r="L106" s="306">
        <v>-2.6965165999999998</v>
      </c>
      <c r="M106" s="306">
        <v>-0.86055899999999996</v>
      </c>
      <c r="N106" s="306">
        <v>3.2533519000000002</v>
      </c>
    </row>
    <row r="107" spans="1:35" s="6" customFormat="1" ht="11.25" customHeight="1" x14ac:dyDescent="0.55000000000000004">
      <c r="B107" s="244" t="s">
        <v>4983</v>
      </c>
      <c r="C107" s="245">
        <v>123454</v>
      </c>
      <c r="D107" s="278">
        <v>38.894212099999997</v>
      </c>
      <c r="E107" s="278">
        <v>435.0998151</v>
      </c>
      <c r="F107" s="278">
        <v>44.1134336</v>
      </c>
      <c r="G107" s="278">
        <v>40.545288900000003</v>
      </c>
      <c r="H107" s="278">
        <v>65.724370300000004</v>
      </c>
      <c r="I107" s="306">
        <v>44.232025499999999</v>
      </c>
      <c r="J107" s="306">
        <v>51.040046199999999</v>
      </c>
      <c r="K107" s="306">
        <v>75.184796399999996</v>
      </c>
      <c r="L107" s="306">
        <v>108.9439552</v>
      </c>
      <c r="M107" s="306">
        <v>48.929979799999998</v>
      </c>
      <c r="N107" s="306">
        <v>42.626300800000003</v>
      </c>
    </row>
    <row r="108" spans="1:35" s="6" customFormat="1" ht="11.25" customHeight="1" x14ac:dyDescent="0.55000000000000004">
      <c r="B108" s="244" t="s">
        <v>4984</v>
      </c>
      <c r="C108" s="245">
        <v>123455</v>
      </c>
      <c r="D108" s="278">
        <v>8.0435057000000008</v>
      </c>
      <c r="E108" s="278">
        <v>19.03857</v>
      </c>
      <c r="F108" s="278">
        <v>1.2949046</v>
      </c>
      <c r="G108" s="278">
        <v>12.5352291</v>
      </c>
      <c r="H108" s="278">
        <v>19.592348300000001</v>
      </c>
      <c r="I108" s="306">
        <v>18.792340800000002</v>
      </c>
      <c r="J108" s="306">
        <v>9.7294497999999994</v>
      </c>
      <c r="K108" s="306">
        <v>20.5297883</v>
      </c>
      <c r="L108" s="306">
        <v>27.3569569</v>
      </c>
      <c r="M108" s="306">
        <v>113.31221530000001</v>
      </c>
      <c r="N108" s="306">
        <v>20.059506500000001</v>
      </c>
    </row>
    <row r="109" spans="1:35" s="6" customFormat="1" ht="11.25" customHeight="1" x14ac:dyDescent="0.55000000000000004">
      <c r="B109" s="244" t="s">
        <v>4985</v>
      </c>
      <c r="C109" s="245">
        <v>123456</v>
      </c>
      <c r="D109" s="278">
        <v>9.1075099999999996</v>
      </c>
      <c r="E109" s="278">
        <v>14.669673299999999</v>
      </c>
      <c r="F109" s="278">
        <v>7.0204119</v>
      </c>
      <c r="G109" s="278">
        <v>13.5614589</v>
      </c>
      <c r="H109" s="278">
        <v>8.8589809000000006</v>
      </c>
      <c r="I109" s="306">
        <v>23.010945299999999</v>
      </c>
      <c r="J109" s="306">
        <v>8.3173524000000008</v>
      </c>
      <c r="K109" s="306">
        <v>20.9750002</v>
      </c>
      <c r="L109" s="306">
        <v>31.683381300000001</v>
      </c>
      <c r="M109" s="306">
        <v>102.443145</v>
      </c>
      <c r="N109" s="306">
        <v>15.8756501</v>
      </c>
    </row>
    <row r="110" spans="1:35" s="289" customFormat="1" ht="11.25" customHeight="1" x14ac:dyDescent="0.55000000000000004">
      <c r="A110" s="6"/>
      <c r="B110" s="244" t="s">
        <v>4986</v>
      </c>
      <c r="C110" s="245">
        <v>123457</v>
      </c>
      <c r="D110" s="278">
        <v>4.9182246000000003</v>
      </c>
      <c r="E110" s="278" t="s">
        <v>29</v>
      </c>
      <c r="F110" s="278" t="s">
        <v>29</v>
      </c>
      <c r="G110" s="278">
        <v>-78.3254412</v>
      </c>
      <c r="H110" s="278">
        <v>-9.9105609999999995</v>
      </c>
      <c r="I110" s="306" t="s">
        <v>29</v>
      </c>
      <c r="J110" s="306">
        <v>36.917808200000003</v>
      </c>
      <c r="K110" s="306">
        <v>11.127249300000001</v>
      </c>
      <c r="L110" s="306">
        <v>-51.172524000000003</v>
      </c>
      <c r="M110" s="306" t="s">
        <v>2107</v>
      </c>
      <c r="N110" s="306" t="s">
        <v>29</v>
      </c>
    </row>
    <row r="111" spans="1:35" s="6" customFormat="1" ht="11.25" customHeight="1" x14ac:dyDescent="0.55000000000000004">
      <c r="B111" s="244" t="s">
        <v>4987</v>
      </c>
      <c r="C111" s="245">
        <v>123458</v>
      </c>
      <c r="D111" s="278">
        <v>20.619453</v>
      </c>
      <c r="E111" s="278" t="s">
        <v>2107</v>
      </c>
      <c r="F111" s="278">
        <v>9.4220894000000008</v>
      </c>
      <c r="G111" s="278">
        <v>30.992049399999999</v>
      </c>
      <c r="H111" s="278">
        <v>30.7335171</v>
      </c>
      <c r="I111" s="306">
        <v>24.4883837</v>
      </c>
      <c r="J111" s="306" t="s">
        <v>2107</v>
      </c>
      <c r="K111" s="306">
        <v>20.488416000000001</v>
      </c>
      <c r="L111" s="306">
        <v>-32.2778688</v>
      </c>
      <c r="M111" s="306">
        <v>26.376436300000002</v>
      </c>
      <c r="N111" s="306">
        <v>34.288037099999997</v>
      </c>
    </row>
    <row r="112" spans="1:35" s="6" customFormat="1" ht="11.25" customHeight="1" x14ac:dyDescent="0.55000000000000004">
      <c r="B112" s="244" t="s">
        <v>4988</v>
      </c>
      <c r="C112" s="245">
        <v>122952</v>
      </c>
      <c r="D112" s="278">
        <v>4.8280934000000002</v>
      </c>
      <c r="E112" s="278">
        <v>5.6316183999999998</v>
      </c>
      <c r="F112" s="278">
        <v>13.158363599999999</v>
      </c>
      <c r="G112" s="278">
        <v>3.0335095000000001</v>
      </c>
      <c r="H112" s="278">
        <v>2.6376406000000001</v>
      </c>
      <c r="I112" s="306">
        <v>5.9928328999999998</v>
      </c>
      <c r="J112" s="306">
        <v>4.8003511999999997</v>
      </c>
      <c r="K112" s="306">
        <v>5.7370995000000002</v>
      </c>
      <c r="L112" s="306">
        <v>6.6303729000000002</v>
      </c>
      <c r="M112" s="306">
        <v>5.6606113999999996</v>
      </c>
      <c r="N112" s="306">
        <v>5.8063149999999997</v>
      </c>
    </row>
    <row r="113" spans="2:14" s="6" customFormat="1" ht="11.25" customHeight="1" x14ac:dyDescent="0.55000000000000004">
      <c r="B113" s="244" t="s">
        <v>4989</v>
      </c>
      <c r="C113" s="245">
        <v>123459</v>
      </c>
      <c r="D113" s="278">
        <v>5.5823131000000004</v>
      </c>
      <c r="E113" s="278">
        <v>-24.353583700000001</v>
      </c>
      <c r="F113" s="278">
        <v>197.29141469999999</v>
      </c>
      <c r="G113" s="278">
        <v>15.2598971</v>
      </c>
      <c r="H113" s="278">
        <v>2.5060142000000001</v>
      </c>
      <c r="I113" s="306">
        <v>18.6743907</v>
      </c>
      <c r="J113" s="306">
        <v>-10.5889682</v>
      </c>
      <c r="K113" s="306">
        <v>8.7914797999999994</v>
      </c>
      <c r="L113" s="306">
        <v>7.1053132000000003</v>
      </c>
      <c r="M113" s="306">
        <v>4.6310814000000002</v>
      </c>
      <c r="N113" s="306">
        <v>16.952890100000001</v>
      </c>
    </row>
    <row r="114" spans="2:14" s="6" customFormat="1" ht="11.25" customHeight="1" x14ac:dyDescent="0.55000000000000004">
      <c r="B114" s="244" t="s">
        <v>4990</v>
      </c>
      <c r="C114" s="245">
        <v>122954</v>
      </c>
      <c r="D114" s="278">
        <v>10.964524900000001</v>
      </c>
      <c r="E114" s="278">
        <v>-52.697676600000001</v>
      </c>
      <c r="F114" s="278">
        <v>69.499063699999994</v>
      </c>
      <c r="G114" s="278">
        <v>23.8257637</v>
      </c>
      <c r="H114" s="278">
        <v>1.0792782999999999</v>
      </c>
      <c r="I114" s="306">
        <v>26.7544322</v>
      </c>
      <c r="J114" s="306">
        <v>-17.708804099999998</v>
      </c>
      <c r="K114" s="306">
        <v>13.7726009</v>
      </c>
      <c r="L114" s="306">
        <v>8.1282297000000003</v>
      </c>
      <c r="M114" s="306">
        <v>3.0531196999999999</v>
      </c>
      <c r="N114" s="306">
        <v>28.586787099999999</v>
      </c>
    </row>
    <row r="115" spans="2:14" s="6" customFormat="1" ht="11.25" customHeight="1" x14ac:dyDescent="0.55000000000000004">
      <c r="B115" s="244" t="s">
        <v>4991</v>
      </c>
      <c r="C115" s="245">
        <v>123460</v>
      </c>
      <c r="D115" s="278">
        <v>14.2903115</v>
      </c>
      <c r="E115" s="278">
        <v>-66.593748000000005</v>
      </c>
      <c r="F115" s="278">
        <v>76.471305299999997</v>
      </c>
      <c r="G115" s="278">
        <v>34.845030899999998</v>
      </c>
      <c r="H115" s="278">
        <v>2.1279100999999998</v>
      </c>
      <c r="I115" s="306">
        <v>35.395230400000003</v>
      </c>
      <c r="J115" s="306">
        <v>-18.178023499999998</v>
      </c>
      <c r="K115" s="306">
        <v>21.0750858</v>
      </c>
      <c r="L115" s="306">
        <v>10.8747068</v>
      </c>
      <c r="M115" s="306">
        <v>4.4250917999999997</v>
      </c>
      <c r="N115" s="306">
        <v>43.070978099999998</v>
      </c>
    </row>
    <row r="116" spans="2:14" s="6" customFormat="1" ht="11.25" customHeight="1" x14ac:dyDescent="0.55000000000000004">
      <c r="B116" s="244" t="s">
        <v>4992</v>
      </c>
      <c r="C116" s="245">
        <v>122956</v>
      </c>
      <c r="D116" s="278">
        <v>0.6132514</v>
      </c>
      <c r="E116" s="278">
        <v>-1.4378185000000001</v>
      </c>
      <c r="F116" s="278">
        <v>12.0722445</v>
      </c>
      <c r="G116" s="278">
        <v>2.2026981000000001</v>
      </c>
      <c r="H116" s="278">
        <v>0.48721330000000002</v>
      </c>
      <c r="I116" s="306">
        <v>2.2442815999999999</v>
      </c>
      <c r="J116" s="306">
        <v>-1.1337377</v>
      </c>
      <c r="K116" s="306">
        <v>1.0416717</v>
      </c>
      <c r="L116" s="306">
        <v>0.8050872</v>
      </c>
      <c r="M116" s="306">
        <v>0.47784300000000002</v>
      </c>
      <c r="N116" s="306">
        <v>5.6353856000000002</v>
      </c>
    </row>
    <row r="117" spans="2:14" s="6" customFormat="1" ht="11.25" customHeight="1" x14ac:dyDescent="0.55000000000000004">
      <c r="B117" s="244" t="s">
        <v>4946</v>
      </c>
      <c r="C117" s="247"/>
      <c r="D117" s="278"/>
      <c r="E117" s="278"/>
      <c r="F117" s="278"/>
      <c r="G117" s="278"/>
      <c r="H117" s="278"/>
      <c r="I117" s="306"/>
      <c r="J117" s="306"/>
      <c r="K117" s="306"/>
      <c r="L117" s="306"/>
      <c r="M117" s="306"/>
      <c r="N117" s="306"/>
    </row>
    <row r="118" spans="2:14" s="6" customFormat="1" ht="11.25" customHeight="1" x14ac:dyDescent="0.55000000000000004">
      <c r="B118" s="246" t="s">
        <v>4993</v>
      </c>
      <c r="C118" s="247"/>
      <c r="D118" s="278"/>
      <c r="E118" s="278"/>
      <c r="F118" s="278"/>
      <c r="G118" s="278"/>
      <c r="H118" s="278"/>
      <c r="I118" s="306"/>
      <c r="J118" s="306"/>
      <c r="K118" s="306"/>
      <c r="L118" s="306"/>
      <c r="M118" s="306"/>
      <c r="N118" s="306"/>
    </row>
    <row r="119" spans="2:14" s="6" customFormat="1" ht="11.25" customHeight="1" x14ac:dyDescent="0.55000000000000004">
      <c r="B119" s="244" t="s">
        <v>4994</v>
      </c>
      <c r="C119" s="245">
        <v>122957</v>
      </c>
      <c r="D119" s="278" t="s">
        <v>29</v>
      </c>
      <c r="E119" s="278">
        <v>532637.90899999999</v>
      </c>
      <c r="F119" s="278">
        <v>917918.973</v>
      </c>
      <c r="G119" s="278">
        <v>11160844.275</v>
      </c>
      <c r="H119" s="278">
        <v>3043938.0559999999</v>
      </c>
      <c r="I119" s="306">
        <v>801836.47100000002</v>
      </c>
      <c r="J119" s="306">
        <v>531666.73900000006</v>
      </c>
      <c r="K119" s="306">
        <v>372260.48499999999</v>
      </c>
      <c r="L119" s="306">
        <v>21500.135000000002</v>
      </c>
      <c r="M119" s="306">
        <v>291164.06099999999</v>
      </c>
      <c r="N119" s="306">
        <v>596199.19500000007</v>
      </c>
    </row>
    <row r="120" spans="2:14" s="6" customFormat="1" ht="11.25" customHeight="1" x14ac:dyDescent="0.55000000000000004">
      <c r="B120" s="244" t="s">
        <v>4995</v>
      </c>
      <c r="C120" s="245">
        <v>122958</v>
      </c>
      <c r="D120" s="278" t="s">
        <v>29</v>
      </c>
      <c r="E120" s="278">
        <v>132160.97899999999</v>
      </c>
      <c r="F120" s="278">
        <v>95991.107000000004</v>
      </c>
      <c r="G120" s="278">
        <v>590743.16800000006</v>
      </c>
      <c r="H120" s="278">
        <v>339224.83199999999</v>
      </c>
      <c r="I120" s="306">
        <v>93022.69</v>
      </c>
      <c r="J120" s="306">
        <v>62007.264999999999</v>
      </c>
      <c r="K120" s="306">
        <v>46051.512999999999</v>
      </c>
      <c r="L120" s="306">
        <v>4171.1670000000004</v>
      </c>
      <c r="M120" s="306">
        <v>30271.441999999999</v>
      </c>
      <c r="N120" s="306">
        <v>60860.457000000002</v>
      </c>
    </row>
    <row r="121" spans="2:14" s="6" customFormat="1" ht="11.25" customHeight="1" x14ac:dyDescent="0.55000000000000004">
      <c r="B121" s="244" t="s">
        <v>4996</v>
      </c>
      <c r="C121" s="245">
        <v>122959</v>
      </c>
      <c r="D121" s="278" t="s">
        <v>29</v>
      </c>
      <c r="E121" s="278">
        <v>403.02206669999998</v>
      </c>
      <c r="F121" s="278">
        <v>956.25417990000005</v>
      </c>
      <c r="G121" s="278">
        <v>1889.2887602999999</v>
      </c>
      <c r="H121" s="278">
        <v>897.32170789999998</v>
      </c>
      <c r="I121" s="306">
        <v>861.97944930000006</v>
      </c>
      <c r="J121" s="306">
        <v>857.42652740000005</v>
      </c>
      <c r="K121" s="306">
        <v>808.35668740000006</v>
      </c>
      <c r="L121" s="306">
        <v>515.44651650000003</v>
      </c>
      <c r="M121" s="306">
        <v>961.84404099999995</v>
      </c>
      <c r="N121" s="306">
        <v>979.61669099999995</v>
      </c>
    </row>
    <row r="122" spans="2:14" s="6" customFormat="1" ht="11.25" customHeight="1" x14ac:dyDescent="0.55000000000000004">
      <c r="B122" s="244" t="s">
        <v>4997</v>
      </c>
      <c r="C122" s="245">
        <v>123461</v>
      </c>
      <c r="D122" s="278">
        <v>188.72317039999999</v>
      </c>
      <c r="E122" s="278">
        <v>53.645305700000002</v>
      </c>
      <c r="F122" s="278">
        <v>94.118916900000002</v>
      </c>
      <c r="G122" s="278">
        <v>192.81591760000001</v>
      </c>
      <c r="H122" s="278">
        <v>77.718244600000006</v>
      </c>
      <c r="I122" s="306">
        <v>127.2733556</v>
      </c>
      <c r="J122" s="306">
        <v>101.005872</v>
      </c>
      <c r="K122" s="306">
        <v>165.62459039999999</v>
      </c>
      <c r="L122" s="306">
        <v>59.914579699999997</v>
      </c>
      <c r="M122" s="306">
        <v>20.544966500000001</v>
      </c>
      <c r="N122" s="306">
        <v>226.9106472</v>
      </c>
    </row>
    <row r="123" spans="2:14" s="6" customFormat="1" ht="11.25" customHeight="1" x14ac:dyDescent="0.55000000000000004">
      <c r="B123" s="244" t="s">
        <v>4998</v>
      </c>
      <c r="C123" s="245">
        <v>122960</v>
      </c>
      <c r="D123" s="278">
        <v>43.849951300000001</v>
      </c>
      <c r="E123" s="278">
        <v>38.667303799999999</v>
      </c>
      <c r="F123" s="278">
        <v>101.6494606</v>
      </c>
      <c r="G123" s="278">
        <v>9.8060638000000004</v>
      </c>
      <c r="H123" s="278">
        <v>83.813777200000004</v>
      </c>
      <c r="I123" s="306">
        <v>0</v>
      </c>
      <c r="J123" s="306">
        <v>1.5117315</v>
      </c>
      <c r="K123" s="306">
        <v>15.553696800000001</v>
      </c>
      <c r="L123" s="306">
        <v>0</v>
      </c>
      <c r="M123" s="306">
        <v>0</v>
      </c>
      <c r="N123" s="306">
        <v>0</v>
      </c>
    </row>
    <row r="124" spans="2:14" s="6" customFormat="1" ht="11.25" customHeight="1" x14ac:dyDescent="0.55000000000000004">
      <c r="B124" s="244" t="s">
        <v>5460</v>
      </c>
      <c r="C124" s="245">
        <v>122964</v>
      </c>
      <c r="D124" s="279">
        <v>-27465336.322999999</v>
      </c>
      <c r="E124" s="279">
        <v>0</v>
      </c>
      <c r="F124" s="279">
        <v>-22500</v>
      </c>
      <c r="G124" s="279">
        <v>-1473219.9129999999</v>
      </c>
      <c r="H124" s="279">
        <v>0</v>
      </c>
      <c r="I124" s="303">
        <v>-170000</v>
      </c>
      <c r="J124" s="303">
        <v>0</v>
      </c>
      <c r="K124" s="303">
        <v>0</v>
      </c>
      <c r="L124" s="303">
        <v>0</v>
      </c>
      <c r="M124" s="303">
        <v>-322883.44300000003</v>
      </c>
      <c r="N124" s="303">
        <v>-135000</v>
      </c>
    </row>
    <row r="125" spans="2:14" s="6" customFormat="1" ht="11.25" customHeight="1" x14ac:dyDescent="0.55000000000000004">
      <c r="B125" s="244" t="s">
        <v>4946</v>
      </c>
      <c r="C125" s="247"/>
      <c r="D125" s="248"/>
      <c r="E125" s="248"/>
      <c r="F125" s="248"/>
      <c r="G125" s="248"/>
      <c r="H125" s="248"/>
      <c r="I125" s="321"/>
      <c r="J125" s="321"/>
      <c r="K125" s="321"/>
      <c r="L125" s="321"/>
      <c r="M125" s="321"/>
      <c r="N125" s="321"/>
    </row>
    <row r="126" spans="2:14" s="6" customFormat="1" ht="11.25" customHeight="1" x14ac:dyDescent="0.55000000000000004">
      <c r="B126" s="246" t="s">
        <v>4999</v>
      </c>
      <c r="C126" s="247"/>
      <c r="D126" s="248"/>
      <c r="E126" s="248"/>
      <c r="F126" s="248"/>
      <c r="G126" s="248"/>
      <c r="H126" s="248"/>
      <c r="I126" s="303"/>
      <c r="J126" s="303"/>
      <c r="K126" s="303"/>
      <c r="L126" s="303"/>
      <c r="M126" s="303"/>
      <c r="N126" s="303"/>
    </row>
    <row r="127" spans="2:14" s="6" customFormat="1" ht="11.25" customHeight="1" x14ac:dyDescent="0.55000000000000004">
      <c r="B127" s="244" t="s">
        <v>5000</v>
      </c>
      <c r="C127" s="245">
        <v>123463</v>
      </c>
      <c r="D127" s="279">
        <v>5380100436.8330002</v>
      </c>
      <c r="E127" s="279">
        <v>18086425.543000001</v>
      </c>
      <c r="F127" s="279">
        <v>1937744.959</v>
      </c>
      <c r="G127" s="279">
        <v>69198347.180000007</v>
      </c>
      <c r="H127" s="279">
        <v>2304908.5210000002</v>
      </c>
      <c r="I127" s="303">
        <v>7049876.6689999998</v>
      </c>
      <c r="J127" s="303">
        <v>7205255.9400000004</v>
      </c>
      <c r="K127" s="303">
        <v>4064651.7239999999</v>
      </c>
      <c r="L127" s="303">
        <v>211374.92800000001</v>
      </c>
      <c r="M127" s="303">
        <v>641025.61199999996</v>
      </c>
      <c r="N127" s="303">
        <v>1996546.0870000001</v>
      </c>
    </row>
    <row r="128" spans="2:14" s="6" customFormat="1" ht="11.25" customHeight="1" x14ac:dyDescent="0.55000000000000004">
      <c r="B128" s="244" t="s">
        <v>5001</v>
      </c>
      <c r="C128" s="245">
        <v>123462</v>
      </c>
      <c r="D128" s="278">
        <v>3.7483181000000001</v>
      </c>
      <c r="E128" s="278">
        <v>1.0340434000000001</v>
      </c>
      <c r="F128" s="278">
        <v>-24.529137299999999</v>
      </c>
      <c r="G128" s="278">
        <v>-4.7049956999999996</v>
      </c>
      <c r="H128" s="278">
        <v>9.4177227000000006</v>
      </c>
      <c r="I128" s="306">
        <v>-0.3455317</v>
      </c>
      <c r="J128" s="306">
        <v>2.6577594000000002</v>
      </c>
      <c r="K128" s="306">
        <v>-0.36934299999999998</v>
      </c>
      <c r="L128" s="306">
        <v>2.2638932999999999</v>
      </c>
      <c r="M128" s="306">
        <v>7.6112931000000001</v>
      </c>
      <c r="N128" s="306">
        <v>5.8763284000000002</v>
      </c>
    </row>
    <row r="129" spans="2:14" s="6" customFormat="1" ht="11.25" customHeight="1" x14ac:dyDescent="0.55000000000000004">
      <c r="B129" s="244" t="s">
        <v>4946</v>
      </c>
      <c r="C129" s="247"/>
      <c r="D129" s="278"/>
      <c r="E129" s="278"/>
      <c r="F129" s="278"/>
      <c r="G129" s="278"/>
      <c r="H129" s="278"/>
      <c r="I129" s="306"/>
      <c r="J129" s="306"/>
      <c r="K129" s="306"/>
      <c r="L129" s="306"/>
      <c r="M129" s="306"/>
      <c r="N129" s="306"/>
    </row>
    <row r="130" spans="2:14" s="6" customFormat="1" ht="11.25" customHeight="1" x14ac:dyDescent="0.55000000000000004">
      <c r="B130" s="246" t="s">
        <v>5002</v>
      </c>
      <c r="C130" s="247"/>
      <c r="D130" s="278"/>
      <c r="E130" s="278"/>
      <c r="F130" s="278"/>
      <c r="G130" s="278"/>
      <c r="H130" s="278"/>
      <c r="I130" s="306"/>
      <c r="J130" s="306"/>
      <c r="K130" s="306"/>
      <c r="L130" s="306"/>
      <c r="M130" s="306"/>
      <c r="N130" s="306"/>
    </row>
    <row r="131" spans="2:14" s="6" customFormat="1" ht="11.25" customHeight="1" x14ac:dyDescent="0.55000000000000004">
      <c r="B131" s="244" t="s">
        <v>5003</v>
      </c>
      <c r="C131" s="245">
        <v>122952</v>
      </c>
      <c r="D131" s="278">
        <v>4.8280934000000002</v>
      </c>
      <c r="E131" s="278">
        <v>5.6316183999999998</v>
      </c>
      <c r="F131" s="278">
        <v>13.158363599999999</v>
      </c>
      <c r="G131" s="278">
        <v>3.0335095000000001</v>
      </c>
      <c r="H131" s="278">
        <v>2.6376406000000001</v>
      </c>
      <c r="I131" s="306">
        <v>5.9928328999999998</v>
      </c>
      <c r="J131" s="306">
        <v>4.8003511999999997</v>
      </c>
      <c r="K131" s="306">
        <v>5.7370995000000002</v>
      </c>
      <c r="L131" s="306">
        <v>6.6303729000000002</v>
      </c>
      <c r="M131" s="306">
        <v>5.6606113999999996</v>
      </c>
      <c r="N131" s="306">
        <v>5.8063149999999997</v>
      </c>
    </row>
    <row r="132" spans="2:14" s="6" customFormat="1" ht="11.25" customHeight="1" x14ac:dyDescent="0.55000000000000004">
      <c r="B132" s="244" t="s">
        <v>5004</v>
      </c>
      <c r="C132" s="245">
        <v>122971</v>
      </c>
      <c r="D132" s="278">
        <v>76.217066700000004</v>
      </c>
      <c r="E132" s="278">
        <v>90.236204299999997</v>
      </c>
      <c r="F132" s="278">
        <v>84.869447399999999</v>
      </c>
      <c r="G132" s="278">
        <v>96.627276499999994</v>
      </c>
      <c r="H132" s="278">
        <v>82.002323000000004</v>
      </c>
      <c r="I132" s="306">
        <v>87.820609599999997</v>
      </c>
      <c r="J132" s="306">
        <v>78.378678300000004</v>
      </c>
      <c r="K132" s="306">
        <v>87.597914799999998</v>
      </c>
      <c r="L132" s="306">
        <v>87.304736300000002</v>
      </c>
      <c r="M132" s="306">
        <v>97.096686500000004</v>
      </c>
      <c r="N132" s="306">
        <v>83.405354200000005</v>
      </c>
    </row>
    <row r="133" spans="2:14" s="6" customFormat="1" ht="11.25" customHeight="1" x14ac:dyDescent="0.55000000000000004">
      <c r="B133" s="244" t="s">
        <v>5005</v>
      </c>
      <c r="C133" s="245">
        <v>122972</v>
      </c>
      <c r="D133" s="278">
        <v>0.2461515</v>
      </c>
      <c r="E133" s="278">
        <v>2.04674E-2</v>
      </c>
      <c r="F133" s="278">
        <v>0.90970079999999998</v>
      </c>
      <c r="G133" s="278">
        <v>5.0007000000000003E-3</v>
      </c>
      <c r="H133" s="278">
        <v>1.3055038999999999</v>
      </c>
      <c r="I133" s="306">
        <v>0.80372030000000005</v>
      </c>
      <c r="J133" s="306">
        <v>0.69829629999999998</v>
      </c>
      <c r="K133" s="306">
        <v>1.0111123</v>
      </c>
      <c r="L133" s="306">
        <v>1.5137554</v>
      </c>
      <c r="M133" s="306">
        <v>0</v>
      </c>
      <c r="N133" s="306">
        <v>0.8205131</v>
      </c>
    </row>
    <row r="134" spans="2:14" s="6" customFormat="1" ht="11.25" customHeight="1" x14ac:dyDescent="0.55000000000000004">
      <c r="B134" s="244" t="s">
        <v>5006</v>
      </c>
      <c r="C134" s="245">
        <v>122973</v>
      </c>
      <c r="D134" s="278">
        <v>0.99229429999999996</v>
      </c>
      <c r="E134" s="278">
        <v>6.3139999999999995E-4</v>
      </c>
      <c r="F134" s="278">
        <v>0.2324688</v>
      </c>
      <c r="G134" s="278">
        <v>1.9412599999999999E-2</v>
      </c>
      <c r="H134" s="278">
        <v>1.1378594</v>
      </c>
      <c r="I134" s="306">
        <v>0</v>
      </c>
      <c r="J134" s="306">
        <v>4.8553800000000001E-2</v>
      </c>
      <c r="K134" s="306">
        <v>0.56684970000000001</v>
      </c>
      <c r="L134" s="306">
        <v>2.4649564000000002</v>
      </c>
      <c r="M134" s="306">
        <v>0</v>
      </c>
      <c r="N134" s="306">
        <v>0</v>
      </c>
    </row>
    <row r="135" spans="2:14" s="6" customFormat="1" ht="11.25" customHeight="1" x14ac:dyDescent="0.55000000000000004">
      <c r="B135" s="244" t="s">
        <v>5007</v>
      </c>
      <c r="C135" s="245">
        <v>122974</v>
      </c>
      <c r="D135" s="278">
        <v>4.2687448000000003</v>
      </c>
      <c r="E135" s="278">
        <v>1.0389651</v>
      </c>
      <c r="F135" s="278">
        <v>31.874048599999998</v>
      </c>
      <c r="G135" s="278">
        <v>1.0714253</v>
      </c>
      <c r="H135" s="278">
        <v>41.456430400000002</v>
      </c>
      <c r="I135" s="306">
        <v>0</v>
      </c>
      <c r="J135" s="306">
        <v>0.10165250000000001</v>
      </c>
      <c r="K135" s="306">
        <v>1.0981382</v>
      </c>
      <c r="L135" s="306">
        <v>0</v>
      </c>
      <c r="M135" s="306">
        <v>0</v>
      </c>
      <c r="N135" s="306">
        <v>0</v>
      </c>
    </row>
    <row r="136" spans="2:14" s="6" customFormat="1" ht="11.25" customHeight="1" x14ac:dyDescent="0.55000000000000004">
      <c r="B136" s="244" t="s">
        <v>5008</v>
      </c>
      <c r="C136" s="245">
        <v>122975</v>
      </c>
      <c r="D136" s="278">
        <v>4.8960768000000003</v>
      </c>
      <c r="E136" s="278">
        <v>5.8242042999999999</v>
      </c>
      <c r="F136" s="278">
        <v>5.3173190999999997</v>
      </c>
      <c r="G136" s="278">
        <v>3.1966866</v>
      </c>
      <c r="H136" s="278">
        <v>5.7047131000000002</v>
      </c>
      <c r="I136" s="306">
        <v>6.6819515000000003</v>
      </c>
      <c r="J136" s="306">
        <v>5.0169965000000003</v>
      </c>
      <c r="K136" s="306">
        <v>5.6666648999999998</v>
      </c>
      <c r="L136" s="306">
        <v>6.6858253000000003</v>
      </c>
      <c r="M136" s="306">
        <v>5.9552550000000002</v>
      </c>
      <c r="N136" s="306">
        <v>5.9960374999999999</v>
      </c>
    </row>
    <row r="137" spans="2:14" s="6" customFormat="1" ht="11.25" customHeight="1" x14ac:dyDescent="0.55000000000000004">
      <c r="B137" s="244" t="s">
        <v>5517</v>
      </c>
      <c r="C137" s="245">
        <v>122976</v>
      </c>
      <c r="D137" s="278">
        <v>1.4533242</v>
      </c>
      <c r="E137" s="278">
        <v>1.3367699</v>
      </c>
      <c r="F137" s="278">
        <v>1.3945472999999999</v>
      </c>
      <c r="G137" s="278">
        <v>1.3114188</v>
      </c>
      <c r="H137" s="278">
        <v>1.4726611999999999</v>
      </c>
      <c r="I137" s="306">
        <v>1.6552340000000001</v>
      </c>
      <c r="J137" s="306">
        <v>1.4188046999999999</v>
      </c>
      <c r="K137" s="306">
        <v>1.5543411</v>
      </c>
      <c r="L137" s="306">
        <v>1.2423085</v>
      </c>
      <c r="M137" s="306">
        <v>1.4772449999999999</v>
      </c>
      <c r="N137" s="306">
        <v>1.7550033</v>
      </c>
    </row>
    <row r="138" spans="2:14" s="6" customFormat="1" ht="11.25" customHeight="1" x14ac:dyDescent="0.55000000000000004">
      <c r="B138" s="244" t="s">
        <v>5009</v>
      </c>
      <c r="C138" s="245">
        <v>122977</v>
      </c>
      <c r="D138" s="278">
        <v>5.9195966000000002</v>
      </c>
      <c r="E138" s="278">
        <v>3.8604473000000001</v>
      </c>
      <c r="F138" s="278">
        <v>4.2721416000000003</v>
      </c>
      <c r="G138" s="278">
        <v>3.3836629999999999</v>
      </c>
      <c r="H138" s="278">
        <v>4.0137957000000002</v>
      </c>
      <c r="I138" s="306">
        <v>8.8552020000000002</v>
      </c>
      <c r="J138" s="306">
        <v>4.6451520000000004</v>
      </c>
      <c r="K138" s="306">
        <v>6.1434801999999999</v>
      </c>
      <c r="L138" s="306">
        <v>2.5572735</v>
      </c>
      <c r="M138" s="306">
        <v>1.7544256</v>
      </c>
      <c r="N138" s="306">
        <v>8.1356728999999994</v>
      </c>
    </row>
    <row r="139" spans="2:14" s="6" customFormat="1" ht="11.25" customHeight="1" x14ac:dyDescent="0.55000000000000004">
      <c r="B139" s="244" t="s">
        <v>5010</v>
      </c>
      <c r="C139" s="245">
        <v>122978</v>
      </c>
      <c r="D139" s="278">
        <v>8.8231529000000002</v>
      </c>
      <c r="E139" s="278">
        <v>4.5284819000000001</v>
      </c>
      <c r="F139" s="278">
        <v>8.1485722999999997</v>
      </c>
      <c r="G139" s="278">
        <v>2.6499597000000001</v>
      </c>
      <c r="H139" s="278">
        <v>5.7314878</v>
      </c>
      <c r="I139" s="306">
        <v>4.4992239999999999</v>
      </c>
      <c r="J139" s="306">
        <v>13.232919600000001</v>
      </c>
      <c r="K139" s="306">
        <v>4.1730910000000003</v>
      </c>
      <c r="L139" s="306">
        <v>10.539099999999999</v>
      </c>
      <c r="M139" s="306">
        <v>1.9237964000000001</v>
      </c>
      <c r="N139" s="306">
        <v>5.4117544999999998</v>
      </c>
    </row>
    <row r="140" spans="2:14" s="6" customFormat="1" ht="11.25" customHeight="1" x14ac:dyDescent="0.55000000000000004">
      <c r="B140" s="244" t="s">
        <v>4946</v>
      </c>
      <c r="C140" s="247"/>
      <c r="D140" s="248"/>
      <c r="E140" s="248"/>
      <c r="F140" s="248"/>
      <c r="G140" s="248"/>
      <c r="H140" s="248"/>
      <c r="I140" s="321"/>
      <c r="J140" s="321"/>
      <c r="K140" s="321"/>
      <c r="L140" s="321"/>
      <c r="M140" s="321"/>
      <c r="N140" s="321"/>
    </row>
    <row r="141" spans="2:14" s="6" customFormat="1" ht="11.25" customHeight="1" x14ac:dyDescent="0.55000000000000004">
      <c r="B141" s="246" t="s">
        <v>5501</v>
      </c>
      <c r="C141" s="247"/>
      <c r="D141" s="248"/>
      <c r="E141" s="248"/>
      <c r="F141" s="248"/>
      <c r="G141" s="248"/>
      <c r="H141" s="248"/>
      <c r="I141" s="321"/>
      <c r="J141" s="321"/>
      <c r="K141" s="321"/>
      <c r="L141" s="321"/>
      <c r="M141" s="321"/>
      <c r="N141" s="321"/>
    </row>
    <row r="142" spans="2:14" s="6" customFormat="1" ht="11.25" customHeight="1" x14ac:dyDescent="0.55000000000000004">
      <c r="B142" s="246" t="s">
        <v>5011</v>
      </c>
      <c r="C142" s="247"/>
      <c r="D142" s="248"/>
      <c r="E142" s="248"/>
      <c r="F142" s="248"/>
      <c r="G142" s="248"/>
      <c r="H142" s="248"/>
      <c r="I142" s="303"/>
      <c r="J142" s="303"/>
      <c r="K142" s="303"/>
      <c r="L142" s="303"/>
      <c r="M142" s="303"/>
      <c r="N142" s="303"/>
    </row>
    <row r="143" spans="2:14" s="6" customFormat="1" ht="11.25" customHeight="1" x14ac:dyDescent="0.55000000000000004">
      <c r="B143" s="244" t="s">
        <v>5012</v>
      </c>
      <c r="C143" s="245">
        <v>123464</v>
      </c>
      <c r="D143" s="279">
        <v>78208757.908999994</v>
      </c>
      <c r="E143" s="279">
        <v>798.93899999999996</v>
      </c>
      <c r="F143" s="279">
        <v>147962.68400000001</v>
      </c>
      <c r="G143" s="279">
        <v>10911.164000000001</v>
      </c>
      <c r="H143" s="279">
        <v>0</v>
      </c>
      <c r="I143" s="303">
        <v>62345.375</v>
      </c>
      <c r="J143" s="303">
        <v>40825.773999999998</v>
      </c>
      <c r="K143" s="303">
        <v>25123.341</v>
      </c>
      <c r="L143" s="303">
        <v>4949.299</v>
      </c>
      <c r="M143" s="303">
        <v>8899.107</v>
      </c>
      <c r="N143" s="303">
        <v>10045.442999999999</v>
      </c>
    </row>
    <row r="144" spans="2:14" s="6" customFormat="1" ht="11.25" customHeight="1" x14ac:dyDescent="0.55000000000000004">
      <c r="B144" s="244" t="s">
        <v>5013</v>
      </c>
      <c r="C144" s="245">
        <v>123465</v>
      </c>
      <c r="D144" s="279">
        <v>-17193674.155999999</v>
      </c>
      <c r="E144" s="279">
        <v>6.5330000000000004</v>
      </c>
      <c r="F144" s="279">
        <v>725.60500000000002</v>
      </c>
      <c r="G144" s="279">
        <v>0</v>
      </c>
      <c r="H144" s="279">
        <v>0</v>
      </c>
      <c r="I144" s="303">
        <v>0</v>
      </c>
      <c r="J144" s="303">
        <v>3117.1910000000003</v>
      </c>
      <c r="K144" s="303">
        <v>8331.4449999999997</v>
      </c>
      <c r="L144" s="303">
        <v>275.536</v>
      </c>
      <c r="M144" s="303">
        <v>0</v>
      </c>
      <c r="N144" s="303">
        <v>32.509</v>
      </c>
    </row>
    <row r="145" spans="2:14" s="6" customFormat="1" ht="11.25" customHeight="1" x14ac:dyDescent="0.55000000000000004">
      <c r="B145" s="244" t="s">
        <v>5014</v>
      </c>
      <c r="C145" s="245">
        <v>123466</v>
      </c>
      <c r="D145" s="279">
        <v>36756305.923</v>
      </c>
      <c r="E145" s="279">
        <v>3324.143</v>
      </c>
      <c r="F145" s="279">
        <v>0</v>
      </c>
      <c r="G145" s="279">
        <v>329803.38699999999</v>
      </c>
      <c r="H145" s="279">
        <v>55805.533000000003</v>
      </c>
      <c r="I145" s="303">
        <v>185015.666</v>
      </c>
      <c r="J145" s="303">
        <v>95720.981</v>
      </c>
      <c r="K145" s="303">
        <v>38518.396000000001</v>
      </c>
      <c r="L145" s="303">
        <v>73746.063999999998</v>
      </c>
      <c r="M145" s="303">
        <v>579119.42300000007</v>
      </c>
      <c r="N145" s="303">
        <v>1050.316</v>
      </c>
    </row>
    <row r="146" spans="2:14" s="6" customFormat="1" ht="11.25" customHeight="1" x14ac:dyDescent="0.55000000000000004">
      <c r="B146" s="246" t="s">
        <v>5015</v>
      </c>
      <c r="C146" s="247"/>
      <c r="D146" s="279"/>
      <c r="E146" s="279"/>
      <c r="F146" s="279"/>
      <c r="G146" s="279"/>
      <c r="H146" s="279"/>
      <c r="I146" s="303"/>
      <c r="J146" s="303"/>
      <c r="K146" s="303"/>
      <c r="L146" s="303"/>
      <c r="M146" s="303"/>
      <c r="N146" s="303"/>
    </row>
    <row r="147" spans="2:14" s="6" customFormat="1" ht="11.25" customHeight="1" x14ac:dyDescent="0.55000000000000004">
      <c r="B147" s="244" t="s">
        <v>5016</v>
      </c>
      <c r="C147" s="245">
        <v>123467</v>
      </c>
      <c r="D147" s="279">
        <v>547829714.67200005</v>
      </c>
      <c r="E147" s="279">
        <v>23330.928</v>
      </c>
      <c r="F147" s="279">
        <v>2025824.175</v>
      </c>
      <c r="G147" s="279">
        <v>1534.2760000000001</v>
      </c>
      <c r="H147" s="279">
        <v>0</v>
      </c>
      <c r="I147" s="303">
        <v>4085010.6230000001</v>
      </c>
      <c r="J147" s="303">
        <v>1391918.05</v>
      </c>
      <c r="K147" s="303">
        <v>1809241.0290000001</v>
      </c>
      <c r="L147" s="303">
        <v>89927.305999999997</v>
      </c>
      <c r="M147" s="303">
        <v>93479.186000000002</v>
      </c>
      <c r="N147" s="303">
        <v>10645.123</v>
      </c>
    </row>
    <row r="148" spans="2:14" s="6" customFormat="1" ht="11.25" customHeight="1" x14ac:dyDescent="0.55000000000000004">
      <c r="B148" s="244" t="s">
        <v>5017</v>
      </c>
      <c r="C148" s="245">
        <v>123468</v>
      </c>
      <c r="D148" s="279">
        <v>278132.52600000001</v>
      </c>
      <c r="E148" s="279">
        <v>0</v>
      </c>
      <c r="F148" s="279">
        <v>0</v>
      </c>
      <c r="G148" s="279">
        <v>0</v>
      </c>
      <c r="H148" s="279">
        <v>0</v>
      </c>
      <c r="I148" s="303">
        <v>0</v>
      </c>
      <c r="J148" s="303">
        <v>0</v>
      </c>
      <c r="K148" s="303">
        <v>0</v>
      </c>
      <c r="L148" s="303">
        <v>0</v>
      </c>
      <c r="M148" s="303">
        <v>0</v>
      </c>
      <c r="N148" s="303">
        <v>0</v>
      </c>
    </row>
    <row r="149" spans="2:14" s="6" customFormat="1" ht="11.25" customHeight="1" x14ac:dyDescent="0.55000000000000004">
      <c r="B149" s="244" t="s">
        <v>5018</v>
      </c>
      <c r="C149" s="245">
        <v>123470</v>
      </c>
      <c r="D149" s="279">
        <v>88348805.401999995</v>
      </c>
      <c r="E149" s="279">
        <v>2512.36</v>
      </c>
      <c r="F149" s="279">
        <v>0</v>
      </c>
      <c r="G149" s="279">
        <v>50.268000000000001</v>
      </c>
      <c r="H149" s="279">
        <v>158589.391</v>
      </c>
      <c r="I149" s="303">
        <v>1165381.946</v>
      </c>
      <c r="J149" s="303">
        <v>1866523.0690000001</v>
      </c>
      <c r="K149" s="303">
        <v>321250.79399999999</v>
      </c>
      <c r="L149" s="303">
        <v>276496.98</v>
      </c>
      <c r="M149" s="303">
        <v>2971015.3680000002</v>
      </c>
      <c r="N149" s="303">
        <v>2872.261</v>
      </c>
    </row>
    <row r="150" spans="2:14" s="6" customFormat="1" ht="11.25" customHeight="1" x14ac:dyDescent="0.55000000000000004">
      <c r="B150" s="246" t="s">
        <v>5019</v>
      </c>
      <c r="C150" s="247"/>
      <c r="D150" s="279"/>
      <c r="E150" s="279"/>
      <c r="F150" s="279"/>
      <c r="G150" s="279"/>
      <c r="H150" s="279"/>
      <c r="I150" s="303"/>
      <c r="J150" s="303"/>
      <c r="K150" s="303"/>
      <c r="L150" s="303"/>
      <c r="M150" s="303"/>
      <c r="N150" s="303"/>
    </row>
    <row r="151" spans="2:14" s="6" customFormat="1" ht="11.25" customHeight="1" x14ac:dyDescent="0.55000000000000004">
      <c r="B151" s="244" t="s">
        <v>5016</v>
      </c>
      <c r="C151" s="245">
        <v>123471</v>
      </c>
      <c r="D151" s="279">
        <v>13034464.189999999</v>
      </c>
      <c r="E151" s="279">
        <v>0</v>
      </c>
      <c r="F151" s="279">
        <v>0</v>
      </c>
      <c r="G151" s="279">
        <v>0</v>
      </c>
      <c r="H151" s="279">
        <v>0</v>
      </c>
      <c r="I151" s="303">
        <v>0</v>
      </c>
      <c r="J151" s="303">
        <v>0</v>
      </c>
      <c r="K151" s="303">
        <v>1714.95</v>
      </c>
      <c r="L151" s="303">
        <v>0</v>
      </c>
      <c r="M151" s="303">
        <v>0</v>
      </c>
      <c r="N151" s="303">
        <v>0</v>
      </c>
    </row>
    <row r="152" spans="2:14" s="6" customFormat="1" ht="11.25" customHeight="1" x14ac:dyDescent="0.55000000000000004">
      <c r="B152" s="244" t="s">
        <v>5017</v>
      </c>
      <c r="C152" s="245">
        <v>123472</v>
      </c>
      <c r="D152" s="279">
        <v>274.29599999999999</v>
      </c>
      <c r="E152" s="279">
        <v>0</v>
      </c>
      <c r="F152" s="279">
        <v>0</v>
      </c>
      <c r="G152" s="279">
        <v>0</v>
      </c>
      <c r="H152" s="279">
        <v>0</v>
      </c>
      <c r="I152" s="303">
        <v>0</v>
      </c>
      <c r="J152" s="303">
        <v>0</v>
      </c>
      <c r="K152" s="303">
        <v>0</v>
      </c>
      <c r="L152" s="303">
        <v>0</v>
      </c>
      <c r="M152" s="303">
        <v>0</v>
      </c>
      <c r="N152" s="303">
        <v>0</v>
      </c>
    </row>
    <row r="153" spans="2:14" s="6" customFormat="1" ht="11.25" customHeight="1" x14ac:dyDescent="0.55000000000000004">
      <c r="B153" s="244" t="s">
        <v>5014</v>
      </c>
      <c r="C153" s="245">
        <v>123473</v>
      </c>
      <c r="D153" s="279">
        <v>117297.10100000001</v>
      </c>
      <c r="E153" s="279">
        <v>0</v>
      </c>
      <c r="F153" s="279">
        <v>0</v>
      </c>
      <c r="G153" s="279">
        <v>0</v>
      </c>
      <c r="H153" s="279">
        <v>0</v>
      </c>
      <c r="I153" s="303">
        <v>0</v>
      </c>
      <c r="J153" s="303">
        <v>0</v>
      </c>
      <c r="K153" s="303">
        <v>0</v>
      </c>
      <c r="L153" s="303">
        <v>0</v>
      </c>
      <c r="M153" s="303">
        <v>0</v>
      </c>
      <c r="N153" s="303">
        <v>0</v>
      </c>
    </row>
    <row r="154" spans="2:14" s="6" customFormat="1" ht="11.25" customHeight="1" thickBot="1" x14ac:dyDescent="0.6">
      <c r="B154" s="249"/>
      <c r="C154" s="250"/>
      <c r="D154" s="280"/>
      <c r="E154" s="280"/>
      <c r="F154" s="280"/>
      <c r="G154" s="280"/>
      <c r="H154" s="280"/>
      <c r="I154" s="321"/>
      <c r="J154" s="321"/>
      <c r="K154" s="321"/>
      <c r="L154" s="321"/>
      <c r="M154" s="321"/>
      <c r="N154" s="321"/>
    </row>
    <row r="155" spans="2:14" s="6" customFormat="1" ht="11.25" customHeight="1" thickBot="1" x14ac:dyDescent="0.6">
      <c r="B155" s="253" t="s">
        <v>4947</v>
      </c>
      <c r="C155" s="253"/>
      <c r="D155" s="253"/>
      <c r="E155" s="253"/>
      <c r="F155" s="253"/>
      <c r="G155" s="253"/>
      <c r="H155" s="253"/>
      <c r="I155" s="253"/>
      <c r="J155" s="253"/>
      <c r="K155" s="253"/>
      <c r="L155" s="253"/>
      <c r="M155" s="253"/>
      <c r="N155" s="253"/>
    </row>
    <row r="156" spans="2:14" s="6" customFormat="1" ht="11.25" customHeight="1" x14ac:dyDescent="0.55000000000000004">
      <c r="B156" s="246" t="s">
        <v>5058</v>
      </c>
      <c r="C156" s="247"/>
      <c r="D156" s="321"/>
      <c r="E156" s="321"/>
      <c r="F156" s="321"/>
      <c r="G156" s="321"/>
      <c r="H156" s="321"/>
      <c r="I156" s="321"/>
      <c r="J156" s="321"/>
      <c r="K156" s="321"/>
      <c r="L156" s="321"/>
      <c r="M156" s="321"/>
      <c r="N156" s="321"/>
    </row>
    <row r="157" spans="2:14" s="6" customFormat="1" ht="11.25" customHeight="1" x14ac:dyDescent="0.55000000000000004">
      <c r="B157" s="246" t="s">
        <v>5057</v>
      </c>
      <c r="C157" s="247"/>
      <c r="D157" s="303"/>
      <c r="E157" s="303"/>
      <c r="F157" s="303"/>
      <c r="G157" s="303"/>
      <c r="H157" s="303"/>
      <c r="I157" s="303"/>
      <c r="J157" s="303"/>
      <c r="K157" s="303"/>
      <c r="L157" s="303"/>
      <c r="M157" s="303"/>
      <c r="N157" s="303"/>
    </row>
    <row r="158" spans="2:14" s="6" customFormat="1" ht="11.25" customHeight="1" x14ac:dyDescent="0.55000000000000004">
      <c r="B158" s="244" t="s">
        <v>5027</v>
      </c>
      <c r="C158" s="245">
        <v>122983</v>
      </c>
      <c r="D158" s="303">
        <v>2684875689.744</v>
      </c>
      <c r="E158" s="303">
        <v>17360632.151999999</v>
      </c>
      <c r="F158" s="303">
        <v>1553646.219</v>
      </c>
      <c r="G158" s="303">
        <v>94845558.974000007</v>
      </c>
      <c r="H158" s="303">
        <v>2713393.5279999999</v>
      </c>
      <c r="I158" s="303">
        <v>6778042.3689999999</v>
      </c>
      <c r="J158" s="303">
        <v>5602308.3780000005</v>
      </c>
      <c r="K158" s="303">
        <v>4019183.7579999999</v>
      </c>
      <c r="L158" s="303">
        <v>201888.03400000001</v>
      </c>
      <c r="M158" s="303">
        <v>3155963.0120000001</v>
      </c>
      <c r="N158" s="303">
        <v>2193510.1460000002</v>
      </c>
    </row>
    <row r="159" spans="2:14" s="6" customFormat="1" ht="11.25" customHeight="1" x14ac:dyDescent="0.55000000000000004">
      <c r="B159" s="244" t="s">
        <v>5026</v>
      </c>
      <c r="C159" s="245">
        <v>122984</v>
      </c>
      <c r="D159" s="303">
        <v>9140252.2609999999</v>
      </c>
      <c r="E159" s="303">
        <v>3908.0419999999999</v>
      </c>
      <c r="F159" s="303">
        <v>16653.261999999999</v>
      </c>
      <c r="G159" s="303">
        <v>4907.6769999999997</v>
      </c>
      <c r="H159" s="303">
        <v>43198.114999999998</v>
      </c>
      <c r="I159" s="303">
        <v>62031.569000000003</v>
      </c>
      <c r="J159" s="303">
        <v>49912.440999999999</v>
      </c>
      <c r="K159" s="303">
        <v>67934.888000000006</v>
      </c>
      <c r="L159" s="303">
        <v>3500.4870000000001</v>
      </c>
      <c r="M159" s="303">
        <v>0</v>
      </c>
      <c r="N159" s="303">
        <v>21578.996999999999</v>
      </c>
    </row>
    <row r="160" spans="2:14" s="6" customFormat="1" ht="11.25" customHeight="1" x14ac:dyDescent="0.55000000000000004">
      <c r="B160" s="244" t="s">
        <v>5025</v>
      </c>
      <c r="C160" s="245">
        <v>122985</v>
      </c>
      <c r="D160" s="303">
        <v>76868066.723674998</v>
      </c>
      <c r="E160" s="303">
        <v>61600.94</v>
      </c>
      <c r="F160" s="303">
        <v>707105.23900000006</v>
      </c>
      <c r="G160" s="303">
        <v>1016931.4400000001</v>
      </c>
      <c r="H160" s="303">
        <v>2186158.1340000001</v>
      </c>
      <c r="I160" s="303">
        <v>0</v>
      </c>
      <c r="J160" s="303">
        <v>3470.5</v>
      </c>
      <c r="K160" s="303">
        <v>25964.582000000002</v>
      </c>
      <c r="L160" s="303">
        <v>5700.0940000000001</v>
      </c>
      <c r="M160" s="303">
        <v>0</v>
      </c>
      <c r="N160" s="303">
        <v>0</v>
      </c>
    </row>
    <row r="161" spans="2:14" s="6" customFormat="1" ht="11.25" customHeight="1" x14ac:dyDescent="0.55000000000000004">
      <c r="B161" s="244" t="s">
        <v>5024</v>
      </c>
      <c r="C161" s="245">
        <v>122986</v>
      </c>
      <c r="D161" s="303">
        <v>373011956.37800002</v>
      </c>
      <c r="E161" s="303">
        <v>904426.53599999996</v>
      </c>
      <c r="F161" s="303">
        <v>0</v>
      </c>
      <c r="G161" s="303">
        <v>1603.3920000000001</v>
      </c>
      <c r="H161" s="303">
        <v>247888.67</v>
      </c>
      <c r="I161" s="303">
        <v>464355.35200000001</v>
      </c>
      <c r="J161" s="303">
        <v>830437.52899999998</v>
      </c>
      <c r="K161" s="303">
        <v>284119.79600000003</v>
      </c>
      <c r="L161" s="303">
        <v>2706.4250000000002</v>
      </c>
      <c r="M161" s="303">
        <v>0</v>
      </c>
      <c r="N161" s="303">
        <v>284973.29399999999</v>
      </c>
    </row>
    <row r="162" spans="2:14" s="6" customFormat="1" ht="11.25" customHeight="1" x14ac:dyDescent="0.55000000000000004">
      <c r="B162" s="244" t="s">
        <v>5056</v>
      </c>
      <c r="C162" s="245">
        <v>122987</v>
      </c>
      <c r="D162" s="303">
        <v>21885036.905000001</v>
      </c>
      <c r="E162" s="303">
        <v>0</v>
      </c>
      <c r="F162" s="303">
        <v>0</v>
      </c>
      <c r="G162" s="303">
        <v>208351.92800000001</v>
      </c>
      <c r="H162" s="303">
        <v>35634.709000000003</v>
      </c>
      <c r="I162" s="303">
        <v>80515.320000000007</v>
      </c>
      <c r="J162" s="303">
        <v>0</v>
      </c>
      <c r="K162" s="303">
        <v>54480.353999999999</v>
      </c>
      <c r="L162" s="303">
        <v>0</v>
      </c>
      <c r="M162" s="303">
        <v>8611.1589999999997</v>
      </c>
      <c r="N162" s="303">
        <v>51237.991999999998</v>
      </c>
    </row>
    <row r="163" spans="2:14" s="6" customFormat="1" ht="11.25" customHeight="1" x14ac:dyDescent="0.55000000000000004">
      <c r="B163" s="244" t="s">
        <v>5055</v>
      </c>
      <c r="C163" s="245">
        <v>122988</v>
      </c>
      <c r="D163" s="303">
        <v>130133920.627</v>
      </c>
      <c r="E163" s="303">
        <v>4702.7740000000003</v>
      </c>
      <c r="F163" s="303">
        <v>111202.62</v>
      </c>
      <c r="G163" s="303">
        <v>140192.86499999999</v>
      </c>
      <c r="H163" s="303">
        <v>0</v>
      </c>
      <c r="I163" s="303">
        <v>129118.67200000001</v>
      </c>
      <c r="J163" s="303">
        <v>27563.481</v>
      </c>
      <c r="K163" s="303">
        <v>32281.425999999999</v>
      </c>
      <c r="L163" s="303">
        <v>2809.5549999999998</v>
      </c>
      <c r="M163" s="303">
        <v>1192.903</v>
      </c>
      <c r="N163" s="303">
        <v>48121.921000000002</v>
      </c>
    </row>
    <row r="164" spans="2:14" s="6" customFormat="1" ht="11.25" customHeight="1" x14ac:dyDescent="0.55000000000000004">
      <c r="B164" s="244" t="s">
        <v>5054</v>
      </c>
      <c r="C164" s="245">
        <v>226070</v>
      </c>
      <c r="D164" s="303">
        <v>56487931.876000002</v>
      </c>
      <c r="E164" s="303">
        <v>481.69600000000003</v>
      </c>
      <c r="F164" s="303">
        <v>0</v>
      </c>
      <c r="G164" s="303">
        <v>56124.703000000001</v>
      </c>
      <c r="H164" s="303">
        <v>0</v>
      </c>
      <c r="I164" s="303">
        <v>6370.8190000000004</v>
      </c>
      <c r="J164" s="303">
        <v>8555.7469999999994</v>
      </c>
      <c r="K164" s="303">
        <v>10349.637000000001</v>
      </c>
      <c r="L164" s="303">
        <v>0</v>
      </c>
      <c r="M164" s="303">
        <v>0</v>
      </c>
      <c r="N164" s="303">
        <v>0</v>
      </c>
    </row>
    <row r="165" spans="2:14" s="6" customFormat="1" ht="11.25" customHeight="1" x14ac:dyDescent="0.55000000000000004">
      <c r="B165" s="244" t="s">
        <v>5023</v>
      </c>
      <c r="C165" s="245">
        <v>122989</v>
      </c>
      <c r="D165" s="303">
        <v>99992962.348000005</v>
      </c>
      <c r="E165" s="303">
        <v>506785.27400000003</v>
      </c>
      <c r="F165" s="303">
        <v>61676.911</v>
      </c>
      <c r="G165" s="303">
        <v>2099573.8360000001</v>
      </c>
      <c r="H165" s="303">
        <v>200996.894</v>
      </c>
      <c r="I165" s="303">
        <v>5195.866</v>
      </c>
      <c r="J165" s="303">
        <v>511484.71299999999</v>
      </c>
      <c r="K165" s="303">
        <v>73734.449000000008</v>
      </c>
      <c r="L165" s="303">
        <v>12305.194</v>
      </c>
      <c r="M165" s="303">
        <v>78909.271999999997</v>
      </c>
      <c r="N165" s="303">
        <v>-22853.006000000001</v>
      </c>
    </row>
    <row r="166" spans="2:14" s="6" customFormat="1" ht="11.25" customHeight="1" x14ac:dyDescent="0.55000000000000004">
      <c r="B166" s="244" t="s">
        <v>5053</v>
      </c>
      <c r="C166" s="245">
        <v>122990</v>
      </c>
      <c r="D166" s="303">
        <v>179173219.71400002</v>
      </c>
      <c r="E166" s="303">
        <v>448153.60200000001</v>
      </c>
      <c r="F166" s="303">
        <v>194700.07399999999</v>
      </c>
      <c r="G166" s="303">
        <v>827440.74900000007</v>
      </c>
      <c r="H166" s="303">
        <v>200601.26200000002</v>
      </c>
      <c r="I166" s="303">
        <v>192424.37100000001</v>
      </c>
      <c r="J166" s="303">
        <v>121195.152</v>
      </c>
      <c r="K166" s="303">
        <v>63143.264999999999</v>
      </c>
      <c r="L166" s="303">
        <v>2335.4360000000001</v>
      </c>
      <c r="M166" s="303">
        <v>5653.9440000000004</v>
      </c>
      <c r="N166" s="303">
        <v>53369.904999999999</v>
      </c>
    </row>
    <row r="167" spans="2:14" s="6" customFormat="1" ht="11.25" customHeight="1" x14ac:dyDescent="0.55000000000000004">
      <c r="B167" s="246" t="s">
        <v>5052</v>
      </c>
      <c r="C167" s="245">
        <v>122991</v>
      </c>
      <c r="D167" s="303">
        <v>3631569036.5766702</v>
      </c>
      <c r="E167" s="303">
        <v>19290691.015999999</v>
      </c>
      <c r="F167" s="303">
        <v>2644984.3250000002</v>
      </c>
      <c r="G167" s="303">
        <v>99200685.563999996</v>
      </c>
      <c r="H167" s="303">
        <v>5627871.3119999999</v>
      </c>
      <c r="I167" s="303">
        <v>7718054.3380000005</v>
      </c>
      <c r="J167" s="303">
        <v>7154927.9410000006</v>
      </c>
      <c r="K167" s="303">
        <v>4631192.1550000003</v>
      </c>
      <c r="L167" s="303">
        <v>231245.22500000001</v>
      </c>
      <c r="M167" s="303">
        <v>3250330.29</v>
      </c>
      <c r="N167" s="303">
        <v>2629939.2489999998</v>
      </c>
    </row>
    <row r="168" spans="2:14" s="6" customFormat="1" ht="11.25" customHeight="1" x14ac:dyDescent="0.55000000000000004">
      <c r="B168" s="244" t="s">
        <v>5051</v>
      </c>
      <c r="C168" s="245">
        <v>122992</v>
      </c>
      <c r="D168" s="303">
        <v>29070086.674000002</v>
      </c>
      <c r="E168" s="303">
        <v>10828.978999999999</v>
      </c>
      <c r="F168" s="303">
        <v>47613.578000000001</v>
      </c>
      <c r="G168" s="303">
        <v>388341.30300000001</v>
      </c>
      <c r="H168" s="303">
        <v>104392.039</v>
      </c>
      <c r="I168" s="303">
        <v>69488.372000000003</v>
      </c>
      <c r="J168" s="303">
        <v>15060.978000000001</v>
      </c>
      <c r="K168" s="303">
        <v>14641.509</v>
      </c>
      <c r="L168" s="303">
        <v>1332.364</v>
      </c>
      <c r="M168" s="303">
        <v>608.399</v>
      </c>
      <c r="N168" s="303">
        <v>124330.995</v>
      </c>
    </row>
    <row r="169" spans="2:14" s="6" customFormat="1" ht="11.25" customHeight="1" x14ac:dyDescent="0.55000000000000004">
      <c r="B169" s="244" t="s">
        <v>5050</v>
      </c>
      <c r="C169" s="245">
        <v>122993</v>
      </c>
      <c r="D169" s="303">
        <v>52716174.605999999</v>
      </c>
      <c r="E169" s="303">
        <v>26969.761000000002</v>
      </c>
      <c r="F169" s="303">
        <v>43555.673999999999</v>
      </c>
      <c r="G169" s="303">
        <v>58057.131000000001</v>
      </c>
      <c r="H169" s="303">
        <v>4901.1900000000005</v>
      </c>
      <c r="I169" s="303">
        <v>59084.226999999999</v>
      </c>
      <c r="J169" s="303">
        <v>15759.876</v>
      </c>
      <c r="K169" s="303">
        <v>17096.775000000001</v>
      </c>
      <c r="L169" s="303">
        <v>2623.1489999999999</v>
      </c>
      <c r="M169" s="303">
        <v>27879.728999999999</v>
      </c>
      <c r="N169" s="303">
        <v>2902.9830000000002</v>
      </c>
    </row>
    <row r="170" spans="2:14" s="6" customFormat="1" ht="11.25" customHeight="1" x14ac:dyDescent="0.55000000000000004">
      <c r="B170" s="244" t="s">
        <v>5049</v>
      </c>
      <c r="C170" s="245">
        <v>122994</v>
      </c>
      <c r="D170" s="304">
        <v>9110979.8550000004</v>
      </c>
      <c r="E170" s="304">
        <v>0</v>
      </c>
      <c r="F170" s="304">
        <v>0.3</v>
      </c>
      <c r="G170" s="304">
        <v>358211.65500000003</v>
      </c>
      <c r="H170" s="304">
        <v>147467.80300000001</v>
      </c>
      <c r="I170" s="304">
        <v>0</v>
      </c>
      <c r="J170" s="304">
        <v>204.48600000000002</v>
      </c>
      <c r="K170" s="304">
        <v>33.475000000000001</v>
      </c>
      <c r="L170" s="304">
        <v>0</v>
      </c>
      <c r="M170" s="304">
        <v>7232.5810000000001</v>
      </c>
      <c r="N170" s="304">
        <v>0</v>
      </c>
    </row>
    <row r="171" spans="2:14" ht="11.25" customHeight="1" x14ac:dyDescent="0.35">
      <c r="B171" s="244" t="s">
        <v>5048</v>
      </c>
      <c r="C171" s="245">
        <v>123510</v>
      </c>
      <c r="D171" s="305">
        <v>113512624.573</v>
      </c>
      <c r="E171" s="305">
        <v>345218.77</v>
      </c>
      <c r="F171" s="305">
        <v>359359.47500000003</v>
      </c>
      <c r="G171" s="305">
        <v>960775.03599999996</v>
      </c>
      <c r="H171" s="305">
        <v>542133.73</v>
      </c>
      <c r="I171" s="305">
        <v>450662.85600000003</v>
      </c>
      <c r="J171" s="305">
        <v>171895.924</v>
      </c>
      <c r="K171" s="305">
        <v>106694.08</v>
      </c>
      <c r="L171" s="305">
        <v>7213.1940000000004</v>
      </c>
      <c r="M171" s="305">
        <v>91260.135999999999</v>
      </c>
      <c r="N171" s="305">
        <v>164801.88700000002</v>
      </c>
    </row>
    <row r="172" spans="2:14" ht="11.25" customHeight="1" x14ac:dyDescent="0.35">
      <c r="B172" s="244" t="s">
        <v>5047</v>
      </c>
      <c r="C172" s="245">
        <v>123511</v>
      </c>
      <c r="D172" s="305">
        <v>3835978902.2846699</v>
      </c>
      <c r="E172" s="305">
        <v>19673708.526000001</v>
      </c>
      <c r="F172" s="305">
        <v>3095513.352</v>
      </c>
      <c r="G172" s="305">
        <v>100966070.689</v>
      </c>
      <c r="H172" s="305">
        <v>6426766.074</v>
      </c>
      <c r="I172" s="305">
        <v>8297289.7930000005</v>
      </c>
      <c r="J172" s="305">
        <v>7357849.2050000001</v>
      </c>
      <c r="K172" s="305">
        <v>4769657.9939999999</v>
      </c>
      <c r="L172" s="305">
        <v>242413.932</v>
      </c>
      <c r="M172" s="305">
        <v>3377311.1350000002</v>
      </c>
      <c r="N172" s="305">
        <v>2921975.1140000001</v>
      </c>
    </row>
    <row r="173" spans="2:14" ht="11.25" customHeight="1" x14ac:dyDescent="0.35">
      <c r="B173" s="244" t="s">
        <v>4949</v>
      </c>
      <c r="C173" s="245">
        <v>123512</v>
      </c>
      <c r="D173" s="305">
        <v>2423541834.993</v>
      </c>
      <c r="E173" s="305">
        <v>0</v>
      </c>
      <c r="F173" s="305">
        <v>0</v>
      </c>
      <c r="G173" s="305">
        <v>0</v>
      </c>
      <c r="H173" s="305">
        <v>0</v>
      </c>
      <c r="I173" s="305">
        <v>0</v>
      </c>
      <c r="J173" s="305">
        <v>1116740.2960000001</v>
      </c>
      <c r="K173" s="305">
        <v>5593.7740000000003</v>
      </c>
      <c r="L173" s="305">
        <v>0</v>
      </c>
      <c r="M173" s="305">
        <v>0</v>
      </c>
      <c r="N173" s="305">
        <v>0</v>
      </c>
    </row>
    <row r="174" spans="2:14" ht="11.25" customHeight="1" x14ac:dyDescent="0.35">
      <c r="B174" s="246" t="s">
        <v>4935</v>
      </c>
      <c r="C174" s="245">
        <v>122996</v>
      </c>
      <c r="D174" s="305">
        <v>6259520737.28267</v>
      </c>
      <c r="E174" s="305">
        <v>19673708.526000001</v>
      </c>
      <c r="F174" s="305">
        <v>3095513.352</v>
      </c>
      <c r="G174" s="305">
        <v>100966070.689</v>
      </c>
      <c r="H174" s="305">
        <v>6426766.074</v>
      </c>
      <c r="I174" s="305">
        <v>8297289.7930000005</v>
      </c>
      <c r="J174" s="305">
        <v>8474589.5010000002</v>
      </c>
      <c r="K174" s="305">
        <v>4775251.7680000002</v>
      </c>
      <c r="L174" s="305">
        <v>242413.932</v>
      </c>
      <c r="M174" s="305">
        <v>3377311.1350000002</v>
      </c>
      <c r="N174" s="305">
        <v>2921975.1140000001</v>
      </c>
    </row>
    <row r="175" spans="2:14" ht="11.25" customHeight="1" x14ac:dyDescent="0.35">
      <c r="B175" s="244" t="s">
        <v>4946</v>
      </c>
      <c r="C175" s="247"/>
      <c r="D175" s="305"/>
      <c r="E175" s="305"/>
      <c r="F175" s="305"/>
      <c r="G175" s="305"/>
      <c r="H175" s="305"/>
      <c r="I175" s="305"/>
      <c r="J175" s="305"/>
      <c r="K175" s="305"/>
      <c r="L175" s="305"/>
      <c r="M175" s="305"/>
      <c r="N175" s="305"/>
    </row>
    <row r="176" spans="2:14" ht="11.25" customHeight="1" x14ac:dyDescent="0.35">
      <c r="B176" s="246" t="s">
        <v>5046</v>
      </c>
      <c r="C176" s="247"/>
      <c r="D176" s="305"/>
      <c r="E176" s="305"/>
      <c r="F176" s="305"/>
      <c r="G176" s="305"/>
      <c r="H176" s="305"/>
      <c r="I176" s="305"/>
      <c r="J176" s="305"/>
      <c r="K176" s="305"/>
      <c r="L176" s="305"/>
      <c r="M176" s="305"/>
      <c r="N176" s="305"/>
    </row>
    <row r="177" spans="2:14" ht="11.25" customHeight="1" x14ac:dyDescent="0.35">
      <c r="B177" s="244" t="s">
        <v>4951</v>
      </c>
      <c r="C177" s="245">
        <v>123514</v>
      </c>
      <c r="D177" s="305">
        <v>2467613614.0929999</v>
      </c>
      <c r="E177" s="305">
        <v>10607998.463</v>
      </c>
      <c r="F177" s="305">
        <v>1922074.1070000001</v>
      </c>
      <c r="G177" s="305">
        <v>20323254.237</v>
      </c>
      <c r="H177" s="305">
        <v>0</v>
      </c>
      <c r="I177" s="305">
        <v>2069097.4410000001</v>
      </c>
      <c r="J177" s="305">
        <v>4021929.4240000001</v>
      </c>
      <c r="K177" s="305">
        <v>1039747.6340000001</v>
      </c>
      <c r="L177" s="305">
        <v>66093.953000000009</v>
      </c>
      <c r="M177" s="305">
        <v>41873.792999999998</v>
      </c>
      <c r="N177" s="305">
        <v>986070.52100000007</v>
      </c>
    </row>
    <row r="178" spans="2:14" ht="11.25" customHeight="1" x14ac:dyDescent="0.35">
      <c r="B178" s="244" t="s">
        <v>4952</v>
      </c>
      <c r="C178" s="245">
        <v>123515</v>
      </c>
      <c r="D178" s="305">
        <v>223486028.88100001</v>
      </c>
      <c r="E178" s="305">
        <v>5697091.9979999997</v>
      </c>
      <c r="F178" s="305">
        <v>2185.4450000000002</v>
      </c>
      <c r="G178" s="305">
        <v>48662739.354000002</v>
      </c>
      <c r="H178" s="305">
        <v>2304908.5210000002</v>
      </c>
      <c r="I178" s="305">
        <v>4970364.9029999999</v>
      </c>
      <c r="J178" s="305">
        <v>1953579.8740000001</v>
      </c>
      <c r="K178" s="305">
        <v>2311104.4930000002</v>
      </c>
      <c r="L178" s="305">
        <v>144540.057</v>
      </c>
      <c r="M178" s="305">
        <v>599151.81900000002</v>
      </c>
      <c r="N178" s="305">
        <v>1010475.566</v>
      </c>
    </row>
    <row r="179" spans="2:14" ht="11.25" customHeight="1" x14ac:dyDescent="0.35">
      <c r="B179" s="244" t="s">
        <v>5045</v>
      </c>
      <c r="C179" s="245">
        <v>123516</v>
      </c>
      <c r="D179" s="305">
        <v>267690525.46599999</v>
      </c>
      <c r="E179" s="305">
        <v>1781335.0819999999</v>
      </c>
      <c r="F179" s="305">
        <v>13485.407000000001</v>
      </c>
      <c r="G179" s="305">
        <v>212353.58900000001</v>
      </c>
      <c r="H179" s="305">
        <v>0</v>
      </c>
      <c r="I179" s="305">
        <v>10414.325000000001</v>
      </c>
      <c r="J179" s="305">
        <v>122743.827</v>
      </c>
      <c r="K179" s="305">
        <v>708205.82299999997</v>
      </c>
      <c r="L179" s="305">
        <v>740.91800000000001</v>
      </c>
      <c r="M179" s="305">
        <v>0</v>
      </c>
      <c r="N179" s="305">
        <v>0</v>
      </c>
    </row>
    <row r="180" spans="2:14" ht="11.25" customHeight="1" x14ac:dyDescent="0.35">
      <c r="B180" s="244" t="s">
        <v>5044</v>
      </c>
      <c r="C180" s="245">
        <v>123517</v>
      </c>
      <c r="D180" s="305">
        <v>2958790168.4400001</v>
      </c>
      <c r="E180" s="305">
        <v>18086425.543000001</v>
      </c>
      <c r="F180" s="305">
        <v>1937744.959</v>
      </c>
      <c r="G180" s="305">
        <v>69198347.180000007</v>
      </c>
      <c r="H180" s="305">
        <v>2304908.5210000002</v>
      </c>
      <c r="I180" s="305">
        <v>7049876.6689999998</v>
      </c>
      <c r="J180" s="305">
        <v>6098253.125</v>
      </c>
      <c r="K180" s="305">
        <v>4059057.95</v>
      </c>
      <c r="L180" s="305">
        <v>211374.92800000001</v>
      </c>
      <c r="M180" s="305">
        <v>641025.61199999996</v>
      </c>
      <c r="N180" s="305">
        <v>1996546.0870000001</v>
      </c>
    </row>
    <row r="181" spans="2:14" ht="11.25" customHeight="1" x14ac:dyDescent="0.35">
      <c r="B181" s="244" t="s">
        <v>4946</v>
      </c>
      <c r="C181" s="247"/>
      <c r="D181" s="305"/>
      <c r="E181" s="305"/>
      <c r="F181" s="305"/>
      <c r="G181" s="305"/>
      <c r="H181" s="305"/>
      <c r="I181" s="305"/>
      <c r="J181" s="305"/>
      <c r="K181" s="305"/>
      <c r="L181" s="305"/>
      <c r="M181" s="305"/>
      <c r="N181" s="305"/>
    </row>
    <row r="182" spans="2:14" ht="11.25" customHeight="1" x14ac:dyDescent="0.35">
      <c r="B182" s="244" t="s">
        <v>5043</v>
      </c>
      <c r="C182" s="245">
        <v>123518</v>
      </c>
      <c r="D182" s="305">
        <v>42881226.583999999</v>
      </c>
      <c r="E182" s="305">
        <v>130236.253</v>
      </c>
      <c r="F182" s="305">
        <v>91647.286999999997</v>
      </c>
      <c r="G182" s="305">
        <v>3318021.3450000002</v>
      </c>
      <c r="H182" s="305">
        <v>375067.01699999999</v>
      </c>
      <c r="I182" s="305">
        <v>86286.726999999999</v>
      </c>
      <c r="J182" s="305">
        <v>16805.431</v>
      </c>
      <c r="K182" s="305">
        <v>109965.942</v>
      </c>
      <c r="L182" s="305">
        <v>2695.069</v>
      </c>
      <c r="M182" s="305">
        <v>13015.755000000001</v>
      </c>
      <c r="N182" s="305">
        <v>171166.69899999999</v>
      </c>
    </row>
    <row r="183" spans="2:14" ht="11.25" customHeight="1" x14ac:dyDescent="0.35">
      <c r="B183" s="244" t="s">
        <v>4954</v>
      </c>
      <c r="C183" s="245">
        <v>123519</v>
      </c>
      <c r="D183" s="305">
        <v>26474272.517999999</v>
      </c>
      <c r="E183" s="305">
        <v>652782.04800000007</v>
      </c>
      <c r="F183" s="305">
        <v>93437.25</v>
      </c>
      <c r="G183" s="305">
        <v>1329129.746</v>
      </c>
      <c r="H183" s="305">
        <v>5473.7820000000002</v>
      </c>
      <c r="I183" s="305">
        <v>68223.425000000003</v>
      </c>
      <c r="J183" s="305">
        <v>33438.595999999998</v>
      </c>
      <c r="K183" s="305">
        <v>148926.364</v>
      </c>
      <c r="L183" s="305">
        <v>754.13400000000001</v>
      </c>
      <c r="M183" s="305">
        <v>35075.368000000002</v>
      </c>
      <c r="N183" s="305">
        <v>14593.892</v>
      </c>
    </row>
    <row r="184" spans="2:14" ht="11.25" customHeight="1" x14ac:dyDescent="0.35">
      <c r="B184" s="244" t="s">
        <v>4955</v>
      </c>
      <c r="C184" s="245">
        <v>123520</v>
      </c>
      <c r="D184" s="305">
        <v>51038494.180600002</v>
      </c>
      <c r="E184" s="305">
        <v>145445.18100000001</v>
      </c>
      <c r="F184" s="305">
        <v>13196.019</v>
      </c>
      <c r="G184" s="305">
        <v>319333.02</v>
      </c>
      <c r="H184" s="305">
        <v>83398.788</v>
      </c>
      <c r="I184" s="305">
        <v>81877.428</v>
      </c>
      <c r="J184" s="305">
        <v>50545.93</v>
      </c>
      <c r="K184" s="305">
        <v>44958.6</v>
      </c>
      <c r="L184" s="305">
        <v>931.28600000000006</v>
      </c>
      <c r="M184" s="305">
        <v>21701.559000000001</v>
      </c>
      <c r="N184" s="305">
        <v>29140.848000000002</v>
      </c>
    </row>
    <row r="185" spans="2:14" ht="11.25" customHeight="1" x14ac:dyDescent="0.35">
      <c r="B185" s="244" t="s">
        <v>5042</v>
      </c>
      <c r="C185" s="245">
        <v>123521</v>
      </c>
      <c r="D185" s="305">
        <v>153894194.81200001</v>
      </c>
      <c r="E185" s="305">
        <v>76.397999999999996</v>
      </c>
      <c r="F185" s="305">
        <v>50975.28</v>
      </c>
      <c r="G185" s="305">
        <v>0</v>
      </c>
      <c r="H185" s="305">
        <v>-11.461</v>
      </c>
      <c r="I185" s="305">
        <v>2.5779999999999998</v>
      </c>
      <c r="J185" s="305">
        <v>395043.91600000003</v>
      </c>
      <c r="K185" s="305">
        <v>0</v>
      </c>
      <c r="L185" s="305">
        <v>0</v>
      </c>
      <c r="M185" s="305">
        <v>2355665.156</v>
      </c>
      <c r="N185" s="305">
        <v>0</v>
      </c>
    </row>
    <row r="186" spans="2:14" ht="11.25" customHeight="1" x14ac:dyDescent="0.35">
      <c r="B186" s="244" t="s">
        <v>5041</v>
      </c>
      <c r="C186" s="245">
        <v>123522</v>
      </c>
      <c r="D186" s="305">
        <v>23363523.521000002</v>
      </c>
      <c r="E186" s="305">
        <v>56501.904999999999</v>
      </c>
      <c r="F186" s="305">
        <v>1557.1990000000001</v>
      </c>
      <c r="G186" s="305">
        <v>730633.36499999999</v>
      </c>
      <c r="H186" s="305">
        <v>201416.747</v>
      </c>
      <c r="I186" s="305">
        <v>22759.651000000002</v>
      </c>
      <c r="J186" s="305">
        <v>15520.179</v>
      </c>
      <c r="K186" s="305">
        <v>20155.044000000002</v>
      </c>
      <c r="L186" s="305">
        <v>2131.085</v>
      </c>
      <c r="M186" s="305">
        <v>13051.523999999999</v>
      </c>
      <c r="N186" s="305">
        <v>46377.006000000001</v>
      </c>
    </row>
    <row r="187" spans="2:14" ht="11.25" customHeight="1" x14ac:dyDescent="0.35">
      <c r="B187" s="244" t="s">
        <v>5040</v>
      </c>
      <c r="C187" s="245">
        <v>123003</v>
      </c>
      <c r="D187" s="305">
        <v>8458207.3120000008</v>
      </c>
      <c r="E187" s="305">
        <v>5016.0630000000001</v>
      </c>
      <c r="F187" s="305">
        <v>6313.6379999999999</v>
      </c>
      <c r="G187" s="305">
        <v>87333.521000000008</v>
      </c>
      <c r="H187" s="305">
        <v>0</v>
      </c>
      <c r="I187" s="305">
        <v>73228.782999999996</v>
      </c>
      <c r="J187" s="305">
        <v>11648.455</v>
      </c>
      <c r="K187" s="305">
        <v>3292.6840000000002</v>
      </c>
      <c r="L187" s="305">
        <v>388.18</v>
      </c>
      <c r="M187" s="305">
        <v>1.2E-2</v>
      </c>
      <c r="N187" s="305">
        <v>18766.602999999999</v>
      </c>
    </row>
    <row r="188" spans="2:14" ht="11.25" customHeight="1" x14ac:dyDescent="0.35">
      <c r="B188" s="244" t="s">
        <v>5039</v>
      </c>
      <c r="C188" s="245">
        <v>226071</v>
      </c>
      <c r="D188" s="305">
        <v>32559452.976</v>
      </c>
      <c r="E188" s="305">
        <v>152.744</v>
      </c>
      <c r="F188" s="305">
        <v>0</v>
      </c>
      <c r="G188" s="305">
        <v>2105171.5449999999</v>
      </c>
      <c r="H188" s="305">
        <v>0</v>
      </c>
      <c r="I188" s="305">
        <v>24400.988000000001</v>
      </c>
      <c r="J188" s="305">
        <v>4101.6850000000004</v>
      </c>
      <c r="K188" s="305">
        <v>0</v>
      </c>
      <c r="L188" s="305">
        <v>0</v>
      </c>
      <c r="M188" s="305">
        <v>0</v>
      </c>
      <c r="N188" s="305">
        <v>21.283999999999999</v>
      </c>
    </row>
    <row r="189" spans="2:14" ht="11.25" customHeight="1" x14ac:dyDescent="0.35">
      <c r="B189" s="244" t="s">
        <v>5038</v>
      </c>
      <c r="C189" s="245">
        <v>123524</v>
      </c>
      <c r="D189" s="305">
        <v>3145510897.9322004</v>
      </c>
      <c r="E189" s="305">
        <v>18165069.576000001</v>
      </c>
      <c r="F189" s="305">
        <v>1995788.8840000001</v>
      </c>
      <c r="G189" s="305">
        <v>82237328.894999996</v>
      </c>
      <c r="H189" s="305">
        <v>2965763.983</v>
      </c>
      <c r="I189" s="305">
        <v>7220551.1699999999</v>
      </c>
      <c r="J189" s="305">
        <v>6359361.6850000005</v>
      </c>
      <c r="K189" s="305">
        <v>4115370.9879999999</v>
      </c>
      <c r="L189" s="305">
        <v>214014.04300000001</v>
      </c>
      <c r="M189" s="305">
        <v>669339.25899999996</v>
      </c>
      <c r="N189" s="305">
        <v>2074850.436</v>
      </c>
    </row>
    <row r="190" spans="2:14" ht="11.25" customHeight="1" x14ac:dyDescent="0.35">
      <c r="B190" s="246" t="s">
        <v>5037</v>
      </c>
      <c r="C190" s="245">
        <v>123525</v>
      </c>
      <c r="D190" s="305">
        <v>3484180269.8357997</v>
      </c>
      <c r="E190" s="305">
        <v>19155280.168000001</v>
      </c>
      <c r="F190" s="305">
        <v>2252915.557</v>
      </c>
      <c r="G190" s="305">
        <v>90126951.437000006</v>
      </c>
      <c r="H190" s="305">
        <v>3631108.8560000001</v>
      </c>
      <c r="I190" s="305">
        <v>7577330.75</v>
      </c>
      <c r="J190" s="305">
        <v>6886465.8770000003</v>
      </c>
      <c r="K190" s="305">
        <v>4442669.6220000004</v>
      </c>
      <c r="L190" s="305">
        <v>220913.79699999999</v>
      </c>
      <c r="M190" s="305">
        <v>3107848.6329999999</v>
      </c>
      <c r="N190" s="305">
        <v>2354916.7680000002</v>
      </c>
    </row>
    <row r="191" spans="2:14" ht="11.25" customHeight="1" x14ac:dyDescent="0.35">
      <c r="B191" s="246" t="s">
        <v>5036</v>
      </c>
      <c r="C191" s="245">
        <v>123526</v>
      </c>
      <c r="D191" s="305">
        <v>2421310268.3930001</v>
      </c>
      <c r="E191" s="305">
        <v>0</v>
      </c>
      <c r="F191" s="305">
        <v>0</v>
      </c>
      <c r="G191" s="305">
        <v>0</v>
      </c>
      <c r="H191" s="305">
        <v>0</v>
      </c>
      <c r="I191" s="305">
        <v>0</v>
      </c>
      <c r="J191" s="305">
        <v>1107002.8149999999</v>
      </c>
      <c r="K191" s="305">
        <v>5593.7740000000003</v>
      </c>
      <c r="L191" s="305">
        <v>0</v>
      </c>
      <c r="M191" s="305">
        <v>0</v>
      </c>
      <c r="N191" s="305">
        <v>0</v>
      </c>
    </row>
    <row r="192" spans="2:14" ht="11.25" customHeight="1" x14ac:dyDescent="0.35">
      <c r="B192" s="246" t="s">
        <v>5035</v>
      </c>
      <c r="C192" s="245">
        <v>123005</v>
      </c>
      <c r="D192" s="305">
        <v>5905552181.6070004</v>
      </c>
      <c r="E192" s="305">
        <v>19155280.168000001</v>
      </c>
      <c r="F192" s="305">
        <v>2252915.557</v>
      </c>
      <c r="G192" s="305">
        <v>90126951.437000006</v>
      </c>
      <c r="H192" s="305">
        <v>3631108.8560000001</v>
      </c>
      <c r="I192" s="305">
        <v>7577330.75</v>
      </c>
      <c r="J192" s="305">
        <v>7993468.6919999998</v>
      </c>
      <c r="K192" s="305">
        <v>4448263.3959999997</v>
      </c>
      <c r="L192" s="305">
        <v>220913.79699999999</v>
      </c>
      <c r="M192" s="305">
        <v>3107848.6329999999</v>
      </c>
      <c r="N192" s="305">
        <v>2354916.7680000002</v>
      </c>
    </row>
    <row r="193" spans="2:14" ht="11.25" customHeight="1" x14ac:dyDescent="0.35">
      <c r="B193" s="244" t="s">
        <v>4946</v>
      </c>
      <c r="C193" s="247"/>
      <c r="D193" s="305"/>
      <c r="E193" s="305"/>
      <c r="F193" s="305"/>
      <c r="G193" s="305"/>
      <c r="H193" s="305"/>
      <c r="I193" s="305"/>
      <c r="J193" s="305"/>
      <c r="K193" s="305"/>
      <c r="L193" s="305"/>
      <c r="M193" s="305"/>
      <c r="N193" s="305"/>
    </row>
    <row r="194" spans="2:14" ht="11.25" customHeight="1" x14ac:dyDescent="0.35">
      <c r="B194" s="246" t="s">
        <v>4958</v>
      </c>
      <c r="C194" s="247"/>
      <c r="D194" s="305"/>
      <c r="E194" s="305"/>
      <c r="F194" s="305"/>
      <c r="G194" s="305"/>
      <c r="H194" s="305"/>
      <c r="I194" s="305"/>
      <c r="J194" s="305"/>
      <c r="K194" s="305"/>
      <c r="L194" s="305"/>
      <c r="M194" s="305"/>
      <c r="N194" s="305"/>
    </row>
    <row r="195" spans="2:14" ht="11.25" customHeight="1" x14ac:dyDescent="0.35">
      <c r="B195" s="244" t="s">
        <v>5034</v>
      </c>
      <c r="C195" s="245">
        <v>123006</v>
      </c>
      <c r="D195" s="305">
        <v>2486155.5420949999</v>
      </c>
      <c r="E195" s="305">
        <v>2903.7750000000001</v>
      </c>
      <c r="F195" s="305">
        <v>1000.03</v>
      </c>
      <c r="G195" s="305">
        <v>3879.605</v>
      </c>
      <c r="H195" s="305">
        <v>0</v>
      </c>
      <c r="I195" s="305">
        <v>43501.205000000002</v>
      </c>
      <c r="J195" s="305">
        <v>3056</v>
      </c>
      <c r="K195" s="305">
        <v>25036.850000000002</v>
      </c>
      <c r="L195" s="305">
        <v>4196.5590000000002</v>
      </c>
      <c r="M195" s="305">
        <v>3198</v>
      </c>
      <c r="N195" s="305">
        <v>15076.209000000001</v>
      </c>
    </row>
    <row r="196" spans="2:14" ht="11.25" customHeight="1" x14ac:dyDescent="0.35">
      <c r="B196" s="244" t="s">
        <v>5033</v>
      </c>
      <c r="C196" s="245">
        <v>123007</v>
      </c>
      <c r="D196" s="305">
        <v>184100.11000000002</v>
      </c>
      <c r="E196" s="305">
        <v>0</v>
      </c>
      <c r="F196" s="305">
        <v>0</v>
      </c>
      <c r="G196" s="305">
        <v>0</v>
      </c>
      <c r="H196" s="305">
        <v>0</v>
      </c>
      <c r="I196" s="305">
        <v>0</v>
      </c>
      <c r="J196" s="305">
        <v>0</v>
      </c>
      <c r="K196" s="305">
        <v>0</v>
      </c>
      <c r="L196" s="305">
        <v>0</v>
      </c>
      <c r="M196" s="305">
        <v>0</v>
      </c>
      <c r="N196" s="305">
        <v>0</v>
      </c>
    </row>
    <row r="197" spans="2:14" ht="11.25" customHeight="1" x14ac:dyDescent="0.35">
      <c r="B197" s="244" t="s">
        <v>4957</v>
      </c>
      <c r="C197" s="245">
        <v>123008</v>
      </c>
      <c r="D197" s="305">
        <v>30678880.892999999</v>
      </c>
      <c r="E197" s="305">
        <v>0</v>
      </c>
      <c r="F197" s="305">
        <v>0</v>
      </c>
      <c r="G197" s="305">
        <v>0</v>
      </c>
      <c r="H197" s="305">
        <v>719367.59</v>
      </c>
      <c r="I197" s="305">
        <v>0</v>
      </c>
      <c r="J197" s="305">
        <v>0</v>
      </c>
      <c r="K197" s="305">
        <v>0</v>
      </c>
      <c r="L197" s="305">
        <v>0</v>
      </c>
      <c r="M197" s="305">
        <v>0</v>
      </c>
      <c r="N197" s="305">
        <v>0</v>
      </c>
    </row>
    <row r="198" spans="2:14" ht="11.25" customHeight="1" x14ac:dyDescent="0.35">
      <c r="B198" s="244" t="s">
        <v>5032</v>
      </c>
      <c r="C198" s="245">
        <v>123009</v>
      </c>
      <c r="D198" s="305">
        <v>161314501.20962501</v>
      </c>
      <c r="E198" s="305">
        <v>-3758934.4080000003</v>
      </c>
      <c r="F198" s="305">
        <v>185332.86300000001</v>
      </c>
      <c r="G198" s="305">
        <v>10261920.453</v>
      </c>
      <c r="H198" s="305">
        <v>2076289.628</v>
      </c>
      <c r="I198" s="305">
        <v>358195.40299999999</v>
      </c>
      <c r="J198" s="305">
        <v>-102119.93800000001</v>
      </c>
      <c r="K198" s="305">
        <v>-1081424.4210000001</v>
      </c>
      <c r="L198" s="305">
        <v>9664.7060000000001</v>
      </c>
      <c r="M198" s="305">
        <v>-27105.425999999999</v>
      </c>
      <c r="N198" s="305">
        <v>549092.51300000004</v>
      </c>
    </row>
    <row r="199" spans="2:14" ht="11.25" customHeight="1" x14ac:dyDescent="0.35">
      <c r="B199" s="244" t="s">
        <v>5031</v>
      </c>
      <c r="C199" s="245">
        <v>123961</v>
      </c>
      <c r="D199" s="305">
        <v>159304958.89695498</v>
      </c>
      <c r="E199" s="305">
        <v>4274458.99</v>
      </c>
      <c r="F199" s="305">
        <v>656264.924</v>
      </c>
      <c r="G199" s="305">
        <v>573319.19400000002</v>
      </c>
      <c r="H199" s="305">
        <v>0</v>
      </c>
      <c r="I199" s="305">
        <v>318262.435</v>
      </c>
      <c r="J199" s="305">
        <v>580184.74699999997</v>
      </c>
      <c r="K199" s="305">
        <v>1383375.943</v>
      </c>
      <c r="L199" s="305">
        <v>7638.87</v>
      </c>
      <c r="M199" s="305">
        <v>293369.92800000001</v>
      </c>
      <c r="N199" s="305">
        <v>2889.625</v>
      </c>
    </row>
    <row r="200" spans="2:14" ht="11.25" customHeight="1" x14ac:dyDescent="0.35">
      <c r="B200" s="244" t="s">
        <v>5030</v>
      </c>
      <c r="C200" s="245">
        <v>123011</v>
      </c>
      <c r="D200" s="305">
        <v>353968596.65167499</v>
      </c>
      <c r="E200" s="305">
        <v>518428.35700000002</v>
      </c>
      <c r="F200" s="305">
        <v>842597.81700000004</v>
      </c>
      <c r="G200" s="305">
        <v>10839119.252</v>
      </c>
      <c r="H200" s="305">
        <v>2795657.2179999999</v>
      </c>
      <c r="I200" s="305">
        <v>719959.04300000006</v>
      </c>
      <c r="J200" s="305">
        <v>481120.80900000001</v>
      </c>
      <c r="K200" s="305">
        <v>326988.37200000003</v>
      </c>
      <c r="L200" s="305">
        <v>21500.135000000002</v>
      </c>
      <c r="M200" s="305">
        <v>269462.50199999998</v>
      </c>
      <c r="N200" s="305">
        <v>567058.34700000007</v>
      </c>
    </row>
    <row r="201" spans="2:14" ht="11.25" customHeight="1" x14ac:dyDescent="0.35">
      <c r="B201" s="244" t="s">
        <v>4946</v>
      </c>
      <c r="C201" s="247"/>
      <c r="D201" s="305"/>
      <c r="E201" s="305"/>
      <c r="F201" s="305"/>
      <c r="G201" s="305"/>
      <c r="H201" s="305"/>
      <c r="I201" s="305"/>
      <c r="J201" s="305"/>
      <c r="K201" s="305"/>
      <c r="L201" s="305"/>
      <c r="M201" s="305"/>
      <c r="N201" s="305"/>
    </row>
    <row r="202" spans="2:14" ht="11.25" customHeight="1" x14ac:dyDescent="0.35">
      <c r="B202" s="246" t="s">
        <v>5029</v>
      </c>
      <c r="C202" s="245">
        <v>123012</v>
      </c>
      <c r="D202" s="305">
        <v>6259520738.0636702</v>
      </c>
      <c r="E202" s="305">
        <v>19673708.525000002</v>
      </c>
      <c r="F202" s="305">
        <v>3095513.3739999998</v>
      </c>
      <c r="G202" s="305">
        <v>100966070.689</v>
      </c>
      <c r="H202" s="305">
        <v>6426766.074</v>
      </c>
      <c r="I202" s="305">
        <v>8297289.7930000005</v>
      </c>
      <c r="J202" s="305">
        <v>8474589.5010000002</v>
      </c>
      <c r="K202" s="305">
        <v>4775251.7680000002</v>
      </c>
      <c r="L202" s="305">
        <v>242413.932</v>
      </c>
      <c r="M202" s="305">
        <v>3377311.1350000002</v>
      </c>
      <c r="N202" s="305">
        <v>2921975.1140000001</v>
      </c>
    </row>
    <row r="203" spans="2:14" ht="11.25" customHeight="1" x14ac:dyDescent="0.35">
      <c r="B203" s="244" t="s">
        <v>4946</v>
      </c>
      <c r="C203" s="247"/>
      <c r="D203" s="305"/>
      <c r="E203" s="305"/>
      <c r="F203" s="305"/>
      <c r="G203" s="305"/>
      <c r="H203" s="305"/>
      <c r="I203" s="305"/>
      <c r="J203" s="305"/>
      <c r="K203" s="305"/>
      <c r="L203" s="305"/>
      <c r="M203" s="305"/>
      <c r="N203" s="305"/>
    </row>
    <row r="204" spans="2:14" ht="11.25" customHeight="1" x14ac:dyDescent="0.35">
      <c r="B204" s="246" t="s">
        <v>5028</v>
      </c>
      <c r="C204" s="247"/>
      <c r="D204" s="305"/>
      <c r="E204" s="305"/>
      <c r="F204" s="305"/>
      <c r="G204" s="305"/>
      <c r="H204" s="305"/>
      <c r="I204" s="305"/>
      <c r="J204" s="305"/>
      <c r="K204" s="305"/>
      <c r="L204" s="305"/>
      <c r="M204" s="305"/>
      <c r="N204" s="305"/>
    </row>
    <row r="205" spans="2:14" ht="11.25" customHeight="1" x14ac:dyDescent="0.35">
      <c r="B205" s="244" t="s">
        <v>5027</v>
      </c>
      <c r="C205" s="245">
        <v>123013</v>
      </c>
      <c r="D205" s="305">
        <v>32162492.707000002</v>
      </c>
      <c r="E205" s="305">
        <v>130970.92300000001</v>
      </c>
      <c r="F205" s="305">
        <v>0</v>
      </c>
      <c r="G205" s="305">
        <v>14998.488000000001</v>
      </c>
      <c r="H205" s="305">
        <v>0</v>
      </c>
      <c r="I205" s="305">
        <v>0</v>
      </c>
      <c r="J205" s="305">
        <v>0</v>
      </c>
      <c r="K205" s="305">
        <v>6756.59</v>
      </c>
      <c r="L205" s="305">
        <v>0</v>
      </c>
      <c r="M205" s="305">
        <v>0</v>
      </c>
      <c r="N205" s="305">
        <v>0</v>
      </c>
    </row>
    <row r="206" spans="2:14" ht="11.25" customHeight="1" x14ac:dyDescent="0.35">
      <c r="B206" s="244" t="s">
        <v>5026</v>
      </c>
      <c r="C206" s="245">
        <v>123014</v>
      </c>
      <c r="D206" s="305">
        <v>572555.54300000006</v>
      </c>
      <c r="E206" s="305">
        <v>0</v>
      </c>
      <c r="F206" s="305">
        <v>0</v>
      </c>
      <c r="G206" s="305">
        <v>0</v>
      </c>
      <c r="H206" s="305">
        <v>0</v>
      </c>
      <c r="I206" s="305">
        <v>0</v>
      </c>
      <c r="J206" s="305">
        <v>0</v>
      </c>
      <c r="K206" s="305">
        <v>21620.833999999999</v>
      </c>
      <c r="L206" s="305">
        <v>0</v>
      </c>
      <c r="M206" s="305">
        <v>0</v>
      </c>
      <c r="N206" s="305">
        <v>0</v>
      </c>
    </row>
    <row r="207" spans="2:14" ht="11.25" customHeight="1" x14ac:dyDescent="0.35">
      <c r="B207" s="244" t="s">
        <v>5025</v>
      </c>
      <c r="C207" s="245">
        <v>123015</v>
      </c>
      <c r="D207" s="305">
        <v>44006962.532214999</v>
      </c>
      <c r="E207" s="305">
        <v>61480.381000000001</v>
      </c>
      <c r="F207" s="305">
        <v>744776.63600000006</v>
      </c>
      <c r="G207" s="305">
        <v>997892.45600000001</v>
      </c>
      <c r="H207" s="305">
        <v>2148507.247</v>
      </c>
      <c r="I207" s="305">
        <v>0</v>
      </c>
      <c r="J207" s="305">
        <v>39.72</v>
      </c>
      <c r="K207" s="305">
        <v>0</v>
      </c>
      <c r="L207" s="305">
        <v>0</v>
      </c>
      <c r="M207" s="305">
        <v>0</v>
      </c>
      <c r="N207" s="305">
        <v>0</v>
      </c>
    </row>
    <row r="208" spans="2:14" ht="11.25" customHeight="1" x14ac:dyDescent="0.35">
      <c r="B208" s="244" t="s">
        <v>5024</v>
      </c>
      <c r="C208" s="245">
        <v>123017</v>
      </c>
      <c r="D208" s="305">
        <v>2007398.5</v>
      </c>
      <c r="E208" s="305">
        <v>0</v>
      </c>
      <c r="F208" s="305">
        <v>0</v>
      </c>
      <c r="G208" s="305">
        <v>0</v>
      </c>
      <c r="H208" s="305">
        <v>0</v>
      </c>
      <c r="I208" s="305">
        <v>0</v>
      </c>
      <c r="J208" s="305">
        <v>0</v>
      </c>
      <c r="K208" s="305">
        <v>0</v>
      </c>
      <c r="L208" s="305">
        <v>0</v>
      </c>
      <c r="M208" s="305">
        <v>0</v>
      </c>
      <c r="N208" s="305">
        <v>0</v>
      </c>
    </row>
    <row r="209" spans="2:14" ht="11.25" customHeight="1" x14ac:dyDescent="0.35">
      <c r="B209" s="244" t="s">
        <v>5023</v>
      </c>
      <c r="C209" s="245">
        <v>123016</v>
      </c>
      <c r="D209" s="305">
        <v>4074247.3810000001</v>
      </c>
      <c r="E209" s="305">
        <v>0</v>
      </c>
      <c r="F209" s="305">
        <v>0</v>
      </c>
      <c r="G209" s="305">
        <v>0</v>
      </c>
      <c r="H209" s="305">
        <v>171500</v>
      </c>
      <c r="I209" s="305">
        <v>0</v>
      </c>
      <c r="J209" s="305">
        <v>0</v>
      </c>
      <c r="K209" s="305">
        <v>0</v>
      </c>
      <c r="L209" s="305">
        <v>0</v>
      </c>
      <c r="M209" s="305">
        <v>0</v>
      </c>
      <c r="N209" s="305">
        <v>0</v>
      </c>
    </row>
    <row r="210" spans="2:14" ht="11.25" customHeight="1" x14ac:dyDescent="0.35">
      <c r="B210" s="244" t="s">
        <v>5022</v>
      </c>
      <c r="C210" s="245">
        <v>123018</v>
      </c>
      <c r="D210" s="305">
        <v>72391400.57536</v>
      </c>
      <c r="E210" s="305">
        <v>8010.9637599999996</v>
      </c>
      <c r="F210" s="305">
        <v>111719.5</v>
      </c>
      <c r="G210" s="305">
        <v>50000</v>
      </c>
      <c r="H210" s="305">
        <v>23138.665000000001</v>
      </c>
      <c r="I210" s="305">
        <v>0</v>
      </c>
      <c r="J210" s="305">
        <v>7233.5349999999999</v>
      </c>
      <c r="K210" s="305">
        <v>22481.356</v>
      </c>
      <c r="L210" s="305">
        <v>0</v>
      </c>
      <c r="M210" s="305">
        <v>0</v>
      </c>
      <c r="N210" s="305">
        <v>0</v>
      </c>
    </row>
    <row r="211" spans="2:14" ht="11.25" customHeight="1" x14ac:dyDescent="0.35">
      <c r="B211" s="244" t="s">
        <v>4946</v>
      </c>
      <c r="C211" s="247"/>
      <c r="D211" s="305"/>
      <c r="E211" s="305"/>
      <c r="F211" s="305"/>
      <c r="G211" s="305"/>
      <c r="H211" s="305"/>
      <c r="I211" s="305"/>
      <c r="J211" s="305"/>
      <c r="K211" s="305"/>
      <c r="L211" s="305"/>
      <c r="M211" s="305"/>
      <c r="N211" s="305"/>
    </row>
    <row r="212" spans="2:14" ht="11.25" customHeight="1" x14ac:dyDescent="0.35">
      <c r="B212" s="244" t="s">
        <v>5021</v>
      </c>
      <c r="C212" s="245">
        <v>123019</v>
      </c>
      <c r="D212" s="305">
        <v>155215057.23957503</v>
      </c>
      <c r="E212" s="305">
        <v>200462.26775999999</v>
      </c>
      <c r="F212" s="305">
        <v>856496.13600000006</v>
      </c>
      <c r="G212" s="305">
        <v>1062890.9440000001</v>
      </c>
      <c r="H212" s="305">
        <v>2343145.912</v>
      </c>
      <c r="I212" s="305">
        <v>0</v>
      </c>
      <c r="J212" s="305">
        <v>7273.2550000000001</v>
      </c>
      <c r="K212" s="305">
        <v>50858.78</v>
      </c>
      <c r="L212" s="305">
        <v>0</v>
      </c>
      <c r="M212" s="305">
        <v>0</v>
      </c>
      <c r="N212" s="305">
        <v>0</v>
      </c>
    </row>
    <row r="213" spans="2:14" ht="11.25" customHeight="1" x14ac:dyDescent="0.35">
      <c r="B213" s="244" t="s">
        <v>4946</v>
      </c>
      <c r="C213" s="247"/>
      <c r="D213" s="305"/>
      <c r="E213" s="305"/>
      <c r="F213" s="305"/>
      <c r="G213" s="305"/>
      <c r="H213" s="305"/>
      <c r="I213" s="305"/>
      <c r="J213" s="305"/>
      <c r="K213" s="305"/>
      <c r="L213" s="305"/>
      <c r="M213" s="305"/>
      <c r="N213" s="305"/>
    </row>
    <row r="214" spans="2:14" ht="11.25" customHeight="1" x14ac:dyDescent="0.35">
      <c r="B214" s="246" t="s">
        <v>5020</v>
      </c>
      <c r="C214" s="245">
        <v>123020</v>
      </c>
      <c r="D214" s="305">
        <v>3480866806.2100897</v>
      </c>
      <c r="E214" s="305">
        <v>19093956.085240003</v>
      </c>
      <c r="F214" s="305">
        <v>1830630.77</v>
      </c>
      <c r="G214" s="305">
        <v>98140570.596000001</v>
      </c>
      <c r="H214" s="305">
        <v>3308922.7570000002</v>
      </c>
      <c r="I214" s="305">
        <v>7718054.3380000005</v>
      </c>
      <c r="J214" s="305">
        <v>7147745.4060000004</v>
      </c>
      <c r="K214" s="305">
        <v>4580505.3420000002</v>
      </c>
      <c r="L214" s="305">
        <v>231245.22500000001</v>
      </c>
      <c r="M214" s="305">
        <v>3250330.29</v>
      </c>
      <c r="N214" s="305">
        <v>2629939.2489999998</v>
      </c>
    </row>
    <row r="215" spans="2:14" ht="11.25" customHeight="1" thickBot="1" x14ac:dyDescent="0.4">
      <c r="B215" s="246"/>
      <c r="C215" s="245"/>
      <c r="D215" s="322"/>
      <c r="E215" s="322"/>
      <c r="F215" s="322"/>
      <c r="G215" s="322"/>
      <c r="H215" s="322"/>
      <c r="I215" s="322"/>
      <c r="J215" s="322"/>
      <c r="K215" s="322"/>
      <c r="L215" s="322"/>
      <c r="M215" s="322"/>
      <c r="N215" s="322"/>
    </row>
    <row r="216" spans="2:14" ht="11.25" customHeight="1" thickBot="1" x14ac:dyDescent="0.4">
      <c r="B216" s="253" t="s">
        <v>4961</v>
      </c>
      <c r="C216" s="253"/>
      <c r="D216" s="253"/>
      <c r="E216" s="253"/>
      <c r="F216" s="253"/>
      <c r="G216" s="253"/>
      <c r="H216" s="253"/>
      <c r="I216" s="253"/>
      <c r="J216" s="253"/>
      <c r="K216" s="253"/>
      <c r="L216" s="253"/>
      <c r="M216" s="253"/>
      <c r="N216" s="253"/>
    </row>
    <row r="217" spans="2:14" ht="11.25" customHeight="1" x14ac:dyDescent="0.35">
      <c r="B217" s="246" t="s">
        <v>4939</v>
      </c>
      <c r="C217" s="245"/>
      <c r="D217" s="279"/>
      <c r="E217" s="279"/>
      <c r="F217" s="279"/>
      <c r="G217" s="279"/>
      <c r="H217" s="279"/>
      <c r="I217" s="279"/>
      <c r="J217" s="279"/>
      <c r="K217" s="279"/>
      <c r="L217" s="279"/>
      <c r="M217" s="279"/>
      <c r="N217" s="279"/>
    </row>
    <row r="218" spans="2:14" ht="11.25" customHeight="1" x14ac:dyDescent="0.35">
      <c r="B218" s="244" t="s">
        <v>5106</v>
      </c>
      <c r="C218" s="245"/>
      <c r="D218" s="279">
        <f>IF(LEFT(D$6,4)&gt;"2018",D235,D238)</f>
        <v>133901045.88659</v>
      </c>
      <c r="E218" s="279">
        <f>IF(LEFT(E$6,4)&gt;"2018",E235,E238)</f>
        <v>16440.350999999999</v>
      </c>
      <c r="F218" s="279">
        <f>IF(LEFT(F$6,4)&gt;"2018",F235,F238)</f>
        <v>605217.66800000006</v>
      </c>
      <c r="G218" s="279">
        <f>IF(LEFT(G$6,4)&gt;"2018",G235,G238)</f>
        <v>4770045.6620000005</v>
      </c>
      <c r="H218" s="279">
        <f>IF(LEFT(H$6,4)&gt;"2018",H235,H238)</f>
        <v>0</v>
      </c>
      <c r="I218" s="279">
        <f>IF(LEFT(I$6,4)&gt;"2018",I235,I238)</f>
        <v>279841.39199999999</v>
      </c>
      <c r="J218" s="279">
        <f>IF(LEFT(J$6,4)&gt;"2018",J235,J238)</f>
        <v>45979.978999999999</v>
      </c>
      <c r="K218" s="279">
        <f>IF(LEFT(K$6,4)&gt;"2018",K235,K238)</f>
        <v>26991.921000000002</v>
      </c>
      <c r="L218" s="279">
        <f>IF(LEFT(L$6,4)&gt;"2018",L235,L238)</f>
        <v>5141.9319999999998</v>
      </c>
      <c r="M218" s="279">
        <f>IF(LEFT(M$6,4)&gt;"2018",M235,M238)</f>
        <v>1385.5840000000001</v>
      </c>
      <c r="N218" s="279">
        <f>IF(LEFT(N$6,4)&gt;"2018",N235,N238)</f>
        <v>265632.51900000003</v>
      </c>
    </row>
    <row r="219" spans="2:14" ht="11.25" customHeight="1" x14ac:dyDescent="0.35">
      <c r="B219" s="244" t="s">
        <v>5105</v>
      </c>
      <c r="C219" s="245"/>
      <c r="D219" s="279">
        <f>IF(LEFT(D$6,4)&gt;"2018",D236,D239)</f>
        <v>352823672.24592</v>
      </c>
      <c r="E219" s="279">
        <f>IF(LEFT(E$6,4)&gt;"2018",E236,E239)</f>
        <v>17553.466</v>
      </c>
      <c r="F219" s="279">
        <f>IF(LEFT(F$6,4)&gt;"2018",F236,F239)</f>
        <v>193.37299999999999</v>
      </c>
      <c r="G219" s="279">
        <f>IF(LEFT(G$6,4)&gt;"2018",G236,G239)</f>
        <v>778390.82900000003</v>
      </c>
      <c r="H219" s="279">
        <f>IF(LEFT(H$6,4)&gt;"2018",H236,H239)</f>
        <v>0</v>
      </c>
      <c r="I219" s="279">
        <f>IF(LEFT(I$6,4)&gt;"2018",I236,I239)</f>
        <v>0</v>
      </c>
      <c r="J219" s="279">
        <f>IF(LEFT(J$6,4)&gt;"2018",J236,J239)</f>
        <v>296189.68400000001</v>
      </c>
      <c r="K219" s="279">
        <f>IF(LEFT(K$6,4)&gt;"2018",K236,K239)</f>
        <v>2552.3090000000002</v>
      </c>
      <c r="L219" s="279">
        <f>IF(LEFT(L$6,4)&gt;"2018",L236,L239)</f>
        <v>165.821</v>
      </c>
      <c r="M219" s="279">
        <f>IF(LEFT(M$6,4)&gt;"2018",M236,M239)</f>
        <v>0</v>
      </c>
      <c r="N219" s="279">
        <f>IF(LEFT(N$6,4)&gt;"2018",N236,N239)</f>
        <v>0</v>
      </c>
    </row>
    <row r="220" spans="2:14" ht="11.25" customHeight="1" x14ac:dyDescent="0.35">
      <c r="B220" s="292" t="s">
        <v>5104</v>
      </c>
      <c r="C220" s="245"/>
      <c r="D220" s="279">
        <f>IF(LEFT(D$6,4)&gt;"2018",D231,D240)</f>
        <v>156605802.38138002</v>
      </c>
      <c r="E220" s="279">
        <f>IF(LEFT(E$6,4)&gt;"2018",E231,E240)</f>
        <v>251861.56599999999</v>
      </c>
      <c r="F220" s="279">
        <f>IF(LEFT(F$6,4)&gt;"2018",F231,F240)</f>
        <v>574.548</v>
      </c>
      <c r="G220" s="279">
        <f>IF(LEFT(G$6,4)&gt;"2018",G231,G240)</f>
        <v>13814416.76</v>
      </c>
      <c r="H220" s="279">
        <f>IF(LEFT(H$6,4)&gt;"2018",H231,H240)</f>
        <v>2186269.1350000002</v>
      </c>
      <c r="I220" s="279">
        <f>IF(LEFT(I$6,4)&gt;"2018",I231,I240)</f>
        <v>609969.27600000007</v>
      </c>
      <c r="J220" s="279">
        <f>IF(LEFT(J$6,4)&gt;"2018",J231,J240)</f>
        <v>179551.48300000001</v>
      </c>
      <c r="K220" s="279">
        <f>IF(LEFT(K$6,4)&gt;"2018",K231,K240)</f>
        <v>580487.23400000005</v>
      </c>
      <c r="L220" s="279">
        <f>IF(LEFT(L$6,4)&gt;"2018",L231,L240)</f>
        <v>9023.0879999999997</v>
      </c>
      <c r="M220" s="279">
        <f>IF(LEFT(M$6,4)&gt;"2018",M231,M240)</f>
        <v>112627.829</v>
      </c>
      <c r="N220" s="279">
        <f>IF(LEFT(N$6,4)&gt;"2018",N231,N240)</f>
        <v>1011838.696</v>
      </c>
    </row>
    <row r="221" spans="2:14" ht="11.25" customHeight="1" x14ac:dyDescent="0.35">
      <c r="B221" s="244" t="s">
        <v>5386</v>
      </c>
      <c r="C221" s="245"/>
      <c r="D221" s="279">
        <f>IF(LEFT(D$6,4)&gt;"2018","NA",D241)</f>
        <v>1388591.4040000001</v>
      </c>
      <c r="E221" s="279">
        <f>IF(LEFT(E$6,4)&gt;"2018","NA",E241)</f>
        <v>-7.3999999999999996E-2</v>
      </c>
      <c r="F221" s="279">
        <f>IF(LEFT(F$6,4)&gt;"2018","NA",F241)</f>
        <v>0</v>
      </c>
      <c r="G221" s="279">
        <f>IF(LEFT(G$6,4)&gt;"2018","NA",G241)</f>
        <v>0</v>
      </c>
      <c r="H221" s="279">
        <f>IF(LEFT(H$6,4)&gt;"2018","NA",H241)</f>
        <v>0</v>
      </c>
      <c r="I221" s="279">
        <f>IF(LEFT(I$6,4)&gt;"2018","NA",I241)</f>
        <v>4.2709999999999999</v>
      </c>
      <c r="J221" s="279">
        <f>IF(LEFT(J$6,4)&gt;"2018","NA",J241)</f>
        <v>0</v>
      </c>
      <c r="K221" s="279">
        <f>IF(LEFT(K$6,4)&gt;"2018","NA",K241)</f>
        <v>0</v>
      </c>
      <c r="L221" s="279">
        <f>IF(LEFT(L$6,4)&gt;"2018","NA",L241)</f>
        <v>0</v>
      </c>
      <c r="M221" s="279">
        <f>IF(LEFT(M$6,4)&gt;"2018","NA",M241)</f>
        <v>0</v>
      </c>
      <c r="N221" s="279">
        <f>IF(LEFT(N$6,4)&gt;"2018","NA",N241)</f>
        <v>0</v>
      </c>
    </row>
    <row r="222" spans="2:14" ht="11.25" customHeight="1" x14ac:dyDescent="0.35">
      <c r="B222" s="244" t="s">
        <v>5102</v>
      </c>
      <c r="C222" s="245"/>
      <c r="D222" s="279">
        <f>IF(LEFT(D$6,4)&gt;"2018",IF(COUNT(D232:D234)=0,"NA",SUM(D232:D234)),D242)</f>
        <v>2554797.327</v>
      </c>
      <c r="E222" s="279">
        <f>IF(LEFT(E$6,4)&gt;"2018",IF(COUNT(E232:E234)=0,"NA",SUM(E232:E234)),E242)</f>
        <v>0</v>
      </c>
      <c r="F222" s="279">
        <f>IF(LEFT(F$6,4)&gt;"2018",IF(COUNT(F232:F234)=0,"NA",SUM(F232:F234)),F242)</f>
        <v>4273.0460000000003</v>
      </c>
      <c r="G222" s="279">
        <f>IF(LEFT(G$6,4)&gt;"2018",IF(COUNT(G232:G234)=0,"NA",SUM(G232:G234)),G242)</f>
        <v>0</v>
      </c>
      <c r="H222" s="279">
        <f>IF(LEFT(H$6,4)&gt;"2018",IF(COUNT(H232:H234)=0,"NA",SUM(H232:H234)),H242)</f>
        <v>0</v>
      </c>
      <c r="I222" s="279">
        <f>IF(LEFT(I$6,4)&gt;"2018",IF(COUNT(I232:I234)=0,"NA",SUM(I232:I234)),I242)</f>
        <v>0</v>
      </c>
      <c r="J222" s="279">
        <f>IF(LEFT(J$6,4)&gt;"2018",IF(COUNT(J232:J234)=0,"NA",SUM(J232:J234)),J242)</f>
        <v>10376.978999999999</v>
      </c>
      <c r="K222" s="279">
        <f>IF(LEFT(K$6,4)&gt;"2018",IF(COUNT(K232:K234)=0,"NA",SUM(K232:K234)),K242)</f>
        <v>751.62900000000002</v>
      </c>
      <c r="L222" s="279">
        <f>IF(LEFT(L$6,4)&gt;"2018",IF(COUNT(L232:L234)=0,"NA",SUM(L232:L234)),L242)</f>
        <v>0</v>
      </c>
      <c r="M222" s="279">
        <f>IF(LEFT(M$6,4)&gt;"2018",IF(COUNT(M232:M234)=0,"NA",SUM(M232:M234)),M242)</f>
        <v>0</v>
      </c>
      <c r="N222" s="279">
        <f>IF(LEFT(N$6,4)&gt;"2018",IF(COUNT(N232:N234)=0,"NA",SUM(N232:N234)),N242)</f>
        <v>0</v>
      </c>
    </row>
    <row r="223" spans="2:14" ht="11.25" customHeight="1" x14ac:dyDescent="0.35">
      <c r="B223" s="244" t="s">
        <v>5101</v>
      </c>
      <c r="C223" s="247">
        <v>123548</v>
      </c>
      <c r="D223" s="279">
        <v>647273909.29062998</v>
      </c>
      <c r="E223" s="305">
        <v>285855.30900000001</v>
      </c>
      <c r="F223" s="305">
        <v>610258.63500000001</v>
      </c>
      <c r="G223" s="305">
        <v>19362853.251000002</v>
      </c>
      <c r="H223" s="305">
        <v>2186269.1350000002</v>
      </c>
      <c r="I223" s="305">
        <v>889814.93799999997</v>
      </c>
      <c r="J223" s="305">
        <v>532098.125</v>
      </c>
      <c r="K223" s="305">
        <v>610783.09299999999</v>
      </c>
      <c r="L223" s="305">
        <v>14330.841</v>
      </c>
      <c r="M223" s="305">
        <v>114013.413</v>
      </c>
      <c r="N223" s="305">
        <v>1277471.2150000001</v>
      </c>
    </row>
    <row r="224" spans="2:14" ht="11.25" customHeight="1" x14ac:dyDescent="0.35">
      <c r="B224" s="246" t="s">
        <v>4946</v>
      </c>
      <c r="C224" s="247"/>
      <c r="D224" s="279"/>
      <c r="E224" s="305"/>
      <c r="F224" s="305"/>
      <c r="G224" s="305"/>
      <c r="H224" s="305"/>
      <c r="I224" s="305"/>
      <c r="J224" s="305"/>
      <c r="K224" s="305"/>
      <c r="L224" s="305"/>
      <c r="M224" s="305"/>
      <c r="N224" s="305"/>
    </row>
    <row r="225" spans="2:14" ht="11.25" customHeight="1" x14ac:dyDescent="0.35">
      <c r="B225" s="246" t="s">
        <v>5373</v>
      </c>
      <c r="C225" s="247"/>
      <c r="D225" s="279"/>
      <c r="E225" s="305"/>
      <c r="F225" s="305"/>
      <c r="G225" s="305"/>
      <c r="H225" s="305"/>
      <c r="I225" s="305"/>
      <c r="J225" s="305"/>
      <c r="K225" s="305"/>
      <c r="L225" s="305"/>
      <c r="M225" s="305"/>
      <c r="N225" s="305"/>
    </row>
    <row r="226" spans="2:14" ht="11.25" customHeight="1" x14ac:dyDescent="0.35">
      <c r="B226" s="244" t="s">
        <v>5365</v>
      </c>
      <c r="C226" s="247"/>
      <c r="D226" s="279" t="str">
        <f>IF(COUNT(D245,D258)=0,"NA",SUM(D245,D258))</f>
        <v>NA</v>
      </c>
      <c r="E226" s="279" t="str">
        <f>IF(COUNT(E245,E258)=0,"NA",SUM(E245,E258))</f>
        <v>NA</v>
      </c>
      <c r="F226" s="279" t="str">
        <f>IF(COUNT(F245,F258)=0,"NA",SUM(F245,F258))</f>
        <v>NA</v>
      </c>
      <c r="G226" s="279" t="str">
        <f>IF(COUNT(G245,G258)=0,"NA",SUM(G245,G258))</f>
        <v>NA</v>
      </c>
      <c r="H226" s="279" t="str">
        <f>IF(COUNT(H245,H258)=0,"NA",SUM(H245,H258))</f>
        <v>NA</v>
      </c>
      <c r="I226" s="279" t="str">
        <f>IF(COUNT(I245,I258)=0,"NA",SUM(I245,I258))</f>
        <v>NA</v>
      </c>
      <c r="J226" s="279" t="str">
        <f>IF(COUNT(J245,J258)=0,"NA",SUM(J245,J258))</f>
        <v>NA</v>
      </c>
      <c r="K226" s="279" t="str">
        <f>IF(COUNT(K245,K258)=0,"NA",SUM(K245,K258))</f>
        <v>NA</v>
      </c>
      <c r="L226" s="279" t="str">
        <f>IF(COUNT(L245,L258)=0,"NA",SUM(L245,L258))</f>
        <v>NA</v>
      </c>
      <c r="M226" s="279" t="str">
        <f>IF(COUNT(M245,M258)=0,"NA",SUM(M245,M258))</f>
        <v>NA</v>
      </c>
      <c r="N226" s="279" t="str">
        <f>IF(COUNT(N245,N258)=0,"NA",SUM(N245,N258))</f>
        <v>NA</v>
      </c>
    </row>
    <row r="227" spans="2:14" ht="11.25" customHeight="1" x14ac:dyDescent="0.35">
      <c r="B227" s="244" t="s">
        <v>5366</v>
      </c>
      <c r="C227" s="247"/>
      <c r="D227" s="279" t="str">
        <f>IF(COUNT(D246,D259)=0,"NA",SUM(D246,D259))</f>
        <v>NA</v>
      </c>
      <c r="E227" s="279" t="str">
        <f>IF(COUNT(E246,E259)=0,"NA",SUM(E246,E259))</f>
        <v>NA</v>
      </c>
      <c r="F227" s="279" t="str">
        <f>IF(COUNT(F246,F259)=0,"NA",SUM(F246,F259))</f>
        <v>NA</v>
      </c>
      <c r="G227" s="279" t="str">
        <f>IF(COUNT(G246,G259)=0,"NA",SUM(G246,G259))</f>
        <v>NA</v>
      </c>
      <c r="H227" s="279" t="str">
        <f>IF(COUNT(H246,H259)=0,"NA",SUM(H246,H259))</f>
        <v>NA</v>
      </c>
      <c r="I227" s="279" t="str">
        <f>IF(COUNT(I246,I259)=0,"NA",SUM(I246,I259))</f>
        <v>NA</v>
      </c>
      <c r="J227" s="279" t="str">
        <f>IF(COUNT(J246,J259)=0,"NA",SUM(J246,J259))</f>
        <v>NA</v>
      </c>
      <c r="K227" s="279" t="str">
        <f>IF(COUNT(K246,K259)=0,"NA",SUM(K246,K259))</f>
        <v>NA</v>
      </c>
      <c r="L227" s="279" t="str">
        <f>IF(COUNT(L246,L259)=0,"NA",SUM(L246,L259))</f>
        <v>NA</v>
      </c>
      <c r="M227" s="279" t="str">
        <f>IF(COUNT(M246,M259)=0,"NA",SUM(M246,M259))</f>
        <v>NA</v>
      </c>
      <c r="N227" s="279" t="str">
        <f>IF(COUNT(N246,N259)=0,"NA",SUM(N246,N259))</f>
        <v>NA</v>
      </c>
    </row>
    <row r="228" spans="2:14" ht="11.25" customHeight="1" x14ac:dyDescent="0.35">
      <c r="B228" s="244" t="s">
        <v>5122</v>
      </c>
      <c r="C228" s="247"/>
      <c r="D228" s="279" t="str">
        <f>IF(COUNT(D247,D260)=0,"NA",SUM(D247,D260))</f>
        <v>NA</v>
      </c>
      <c r="E228" s="279" t="str">
        <f>IF(COUNT(E247,E260)=0,"NA",SUM(E247,E260))</f>
        <v>NA</v>
      </c>
      <c r="F228" s="279" t="str">
        <f>IF(COUNT(F247,F260)=0,"NA",SUM(F247,F260))</f>
        <v>NA</v>
      </c>
      <c r="G228" s="279" t="str">
        <f>IF(COUNT(G247,G260)=0,"NA",SUM(G247,G260))</f>
        <v>NA</v>
      </c>
      <c r="H228" s="279" t="str">
        <f>IF(COUNT(H247,H260)=0,"NA",SUM(H247,H260))</f>
        <v>NA</v>
      </c>
      <c r="I228" s="279" t="str">
        <f>IF(COUNT(I247,I260)=0,"NA",SUM(I247,I260))</f>
        <v>NA</v>
      </c>
      <c r="J228" s="279" t="str">
        <f>IF(COUNT(J247,J260)=0,"NA",SUM(J247,J260))</f>
        <v>NA</v>
      </c>
      <c r="K228" s="279" t="str">
        <f>IF(COUNT(K247,K260)=0,"NA",SUM(K247,K260))</f>
        <v>NA</v>
      </c>
      <c r="L228" s="279" t="str">
        <f>IF(COUNT(L247,L260)=0,"NA",SUM(L247,L260))</f>
        <v>NA</v>
      </c>
      <c r="M228" s="279" t="str">
        <f>IF(COUNT(M247,M260)=0,"NA",SUM(M247,M260))</f>
        <v>NA</v>
      </c>
      <c r="N228" s="279" t="str">
        <f>IF(COUNT(N247,N260)=0,"NA",SUM(N247,N260))</f>
        <v>NA</v>
      </c>
    </row>
    <row r="229" spans="2:14" ht="11.25" customHeight="1" x14ac:dyDescent="0.35">
      <c r="B229" s="244" t="s">
        <v>5124</v>
      </c>
      <c r="C229" s="247"/>
      <c r="D229" s="279" t="str">
        <f>IF(COUNT(D248,D261)=0,"NA",SUM(D248,D261))</f>
        <v>NA</v>
      </c>
      <c r="E229" s="279" t="str">
        <f>IF(COUNT(E248,E261)=0,"NA",SUM(E248,E261))</f>
        <v>NA</v>
      </c>
      <c r="F229" s="279" t="str">
        <f>IF(COUNT(F248,F261)=0,"NA",SUM(F248,F261))</f>
        <v>NA</v>
      </c>
      <c r="G229" s="279" t="str">
        <f>IF(COUNT(G248,G261)=0,"NA",SUM(G248,G261))</f>
        <v>NA</v>
      </c>
      <c r="H229" s="279" t="str">
        <f>IF(COUNT(H248,H261)=0,"NA",SUM(H248,H261))</f>
        <v>NA</v>
      </c>
      <c r="I229" s="279" t="str">
        <f>IF(COUNT(I248,I261)=0,"NA",SUM(I248,I261))</f>
        <v>NA</v>
      </c>
      <c r="J229" s="279" t="str">
        <f>IF(COUNT(J248,J261)=0,"NA",SUM(J248,J261))</f>
        <v>NA</v>
      </c>
      <c r="K229" s="279" t="str">
        <f>IF(COUNT(K248,K261)=0,"NA",SUM(K248,K261))</f>
        <v>NA</v>
      </c>
      <c r="L229" s="279" t="str">
        <f>IF(COUNT(L248,L261)=0,"NA",SUM(L248,L261))</f>
        <v>NA</v>
      </c>
      <c r="M229" s="279" t="str">
        <f>IF(COUNT(M248,M261)=0,"NA",SUM(M248,M261))</f>
        <v>NA</v>
      </c>
      <c r="N229" s="279" t="str">
        <f>IF(COUNT(N248,N261)=0,"NA",SUM(N248,N261))</f>
        <v>NA</v>
      </c>
    </row>
    <row r="230" spans="2:14" ht="11.25" customHeight="1" x14ac:dyDescent="0.35">
      <c r="B230" s="244" t="s">
        <v>5121</v>
      </c>
      <c r="C230" s="247"/>
      <c r="D230" s="279" t="str">
        <f>IF(COUNT(D249,D262)=0,"NA",SUM(D249,D262))</f>
        <v>NA</v>
      </c>
      <c r="E230" s="279" t="str">
        <f>IF(COUNT(E249,E262)=0,"NA",SUM(E249,E262))</f>
        <v>NA</v>
      </c>
      <c r="F230" s="279" t="str">
        <f>IF(COUNT(F249,F262)=0,"NA",SUM(F249,F262))</f>
        <v>NA</v>
      </c>
      <c r="G230" s="279" t="str">
        <f>IF(COUNT(G249,G262)=0,"NA",SUM(G249,G262))</f>
        <v>NA</v>
      </c>
      <c r="H230" s="279" t="str">
        <f>IF(COUNT(H249,H262)=0,"NA",SUM(H249,H262))</f>
        <v>NA</v>
      </c>
      <c r="I230" s="279" t="str">
        <f>IF(COUNT(I249,I262)=0,"NA",SUM(I249,I262))</f>
        <v>NA</v>
      </c>
      <c r="J230" s="279" t="str">
        <f>IF(COUNT(J249,J262)=0,"NA",SUM(J249,J262))</f>
        <v>NA</v>
      </c>
      <c r="K230" s="279" t="str">
        <f>IF(COUNT(K249,K262)=0,"NA",SUM(K249,K262))</f>
        <v>NA</v>
      </c>
      <c r="L230" s="279" t="str">
        <f>IF(COUNT(L249,L262)=0,"NA",SUM(L249,L262))</f>
        <v>NA</v>
      </c>
      <c r="M230" s="279" t="str">
        <f>IF(COUNT(M249,M262)=0,"NA",SUM(M249,M262))</f>
        <v>NA</v>
      </c>
      <c r="N230" s="279" t="str">
        <f>IF(COUNT(N249,N262)=0,"NA",SUM(N249,N262))</f>
        <v>NA</v>
      </c>
    </row>
    <row r="231" spans="2:14" ht="11.25" customHeight="1" x14ac:dyDescent="0.35">
      <c r="B231" s="244" t="s">
        <v>5367</v>
      </c>
      <c r="C231" s="247"/>
      <c r="D231" s="279" t="str">
        <f>IF(COUNT(D250,D263)=0,"NA",SUM(D250,D263))</f>
        <v>NA</v>
      </c>
      <c r="E231" s="279" t="str">
        <f>IF(COUNT(E250,E263)=0,"NA",SUM(E250,E263))</f>
        <v>NA</v>
      </c>
      <c r="F231" s="279" t="str">
        <f>IF(COUNT(F250,F263)=0,"NA",SUM(F250,F263))</f>
        <v>NA</v>
      </c>
      <c r="G231" s="279" t="str">
        <f>IF(COUNT(G250,G263)=0,"NA",SUM(G250,G263))</f>
        <v>NA</v>
      </c>
      <c r="H231" s="279" t="str">
        <f>IF(COUNT(H250,H263)=0,"NA",SUM(H250,H263))</f>
        <v>NA</v>
      </c>
      <c r="I231" s="279" t="str">
        <f>IF(COUNT(I250,I263)=0,"NA",SUM(I250,I263))</f>
        <v>NA</v>
      </c>
      <c r="J231" s="279" t="str">
        <f>IF(COUNT(J250,J263)=0,"NA",SUM(J250,J263))</f>
        <v>NA</v>
      </c>
      <c r="K231" s="279" t="str">
        <f>IF(COUNT(K250,K263)=0,"NA",SUM(K250,K263))</f>
        <v>NA</v>
      </c>
      <c r="L231" s="279" t="str">
        <f>IF(COUNT(L250,L263)=0,"NA",SUM(L250,L263))</f>
        <v>NA</v>
      </c>
      <c r="M231" s="279" t="str">
        <f>IF(COUNT(M250,M263)=0,"NA",SUM(M250,M263))</f>
        <v>NA</v>
      </c>
      <c r="N231" s="279" t="str">
        <f>IF(COUNT(N250,N263)=0,"NA",SUM(N250,N263))</f>
        <v>NA</v>
      </c>
    </row>
    <row r="232" spans="2:14" ht="11.25" customHeight="1" x14ac:dyDescent="0.35">
      <c r="B232" s="244" t="s">
        <v>5368</v>
      </c>
      <c r="C232" s="247"/>
      <c r="D232" s="279" t="str">
        <f>IF(COUNT(D251,D264)=0,"NA",SUM(D251,D264))</f>
        <v>NA</v>
      </c>
      <c r="E232" s="279" t="str">
        <f>IF(COUNT(E251,E264)=0,"NA",SUM(E251,E264))</f>
        <v>NA</v>
      </c>
      <c r="F232" s="279" t="str">
        <f>IF(COUNT(F251,F264)=0,"NA",SUM(F251,F264))</f>
        <v>NA</v>
      </c>
      <c r="G232" s="279" t="str">
        <f>IF(COUNT(G251,G264)=0,"NA",SUM(G251,G264))</f>
        <v>NA</v>
      </c>
      <c r="H232" s="279" t="str">
        <f>IF(COUNT(H251,H264)=0,"NA",SUM(H251,H264))</f>
        <v>NA</v>
      </c>
      <c r="I232" s="279" t="str">
        <f>IF(COUNT(I251,I264)=0,"NA",SUM(I251,I264))</f>
        <v>NA</v>
      </c>
      <c r="J232" s="279" t="str">
        <f>IF(COUNT(J251,J264)=0,"NA",SUM(J251,J264))</f>
        <v>NA</v>
      </c>
      <c r="K232" s="279" t="str">
        <f>IF(COUNT(K251,K264)=0,"NA",SUM(K251,K264))</f>
        <v>NA</v>
      </c>
      <c r="L232" s="279" t="str">
        <f>IF(COUNT(L251,L264)=0,"NA",SUM(L251,L264))</f>
        <v>NA</v>
      </c>
      <c r="M232" s="279" t="str">
        <f>IF(COUNT(M251,M264)=0,"NA",SUM(M251,M264))</f>
        <v>NA</v>
      </c>
      <c r="N232" s="279" t="str">
        <f>IF(COUNT(N251,N264)=0,"NA",SUM(N251,N264))</f>
        <v>NA</v>
      </c>
    </row>
    <row r="233" spans="2:14" ht="11.25" customHeight="1" x14ac:dyDescent="0.35">
      <c r="B233" s="244" t="s">
        <v>5369</v>
      </c>
      <c r="C233" s="247"/>
      <c r="D233" s="279" t="str">
        <f>IF(COUNT(D252,D265)=0,"NA",SUM(D252,D265))</f>
        <v>NA</v>
      </c>
      <c r="E233" s="279" t="str">
        <f>IF(COUNT(E252,E265)=0,"NA",SUM(E252,E265))</f>
        <v>NA</v>
      </c>
      <c r="F233" s="279" t="str">
        <f>IF(COUNT(F252,F265)=0,"NA",SUM(F252,F265))</f>
        <v>NA</v>
      </c>
      <c r="G233" s="279" t="str">
        <f>IF(COUNT(G252,G265)=0,"NA",SUM(G252,G265))</f>
        <v>NA</v>
      </c>
      <c r="H233" s="279" t="str">
        <f>IF(COUNT(H252,H265)=0,"NA",SUM(H252,H265))</f>
        <v>NA</v>
      </c>
      <c r="I233" s="279" t="str">
        <f>IF(COUNT(I252,I265)=0,"NA",SUM(I252,I265))</f>
        <v>NA</v>
      </c>
      <c r="J233" s="279" t="str">
        <f>IF(COUNT(J252,J265)=0,"NA",SUM(J252,J265))</f>
        <v>NA</v>
      </c>
      <c r="K233" s="279" t="str">
        <f>IF(COUNT(K252,K265)=0,"NA",SUM(K252,K265))</f>
        <v>NA</v>
      </c>
      <c r="L233" s="279" t="str">
        <f>IF(COUNT(L252,L265)=0,"NA",SUM(L252,L265))</f>
        <v>NA</v>
      </c>
      <c r="M233" s="279" t="str">
        <f>IF(COUNT(M252,M265)=0,"NA",SUM(M252,M265))</f>
        <v>NA</v>
      </c>
      <c r="N233" s="279" t="str">
        <f>IF(COUNT(N252,N265)=0,"NA",SUM(N252,N265))</f>
        <v>NA</v>
      </c>
    </row>
    <row r="234" spans="2:14" ht="11.25" customHeight="1" x14ac:dyDescent="0.35">
      <c r="B234" s="244" t="s">
        <v>5370</v>
      </c>
      <c r="C234" s="247"/>
      <c r="D234" s="279" t="str">
        <f>IF(COUNT(D253,D266)=0,"NA",SUM(D253,D266))</f>
        <v>NA</v>
      </c>
      <c r="E234" s="279" t="str">
        <f>IF(COUNT(E253,E266)=0,"NA",SUM(E253,E266))</f>
        <v>NA</v>
      </c>
      <c r="F234" s="279" t="str">
        <f>IF(COUNT(F253,F266)=0,"NA",SUM(F253,F266))</f>
        <v>NA</v>
      </c>
      <c r="G234" s="279" t="str">
        <f>IF(COUNT(G253,G266)=0,"NA",SUM(G253,G266))</f>
        <v>NA</v>
      </c>
      <c r="H234" s="279" t="str">
        <f>IF(COUNT(H253,H266)=0,"NA",SUM(H253,H266))</f>
        <v>NA</v>
      </c>
      <c r="I234" s="279" t="str">
        <f>IF(COUNT(I253,I266)=0,"NA",SUM(I253,I266))</f>
        <v>NA</v>
      </c>
      <c r="J234" s="279" t="str">
        <f>IF(COUNT(J253,J266)=0,"NA",SUM(J253,J266))</f>
        <v>NA</v>
      </c>
      <c r="K234" s="279" t="str">
        <f>IF(COUNT(K253,K266)=0,"NA",SUM(K253,K266))</f>
        <v>NA</v>
      </c>
      <c r="L234" s="279" t="str">
        <f>IF(COUNT(L253,L266)=0,"NA",SUM(L253,L266))</f>
        <v>NA</v>
      </c>
      <c r="M234" s="279" t="str">
        <f>IF(COUNT(M253,M266)=0,"NA",SUM(M253,M266))</f>
        <v>NA</v>
      </c>
      <c r="N234" s="279" t="str">
        <f>IF(COUNT(N253,N266)=0,"NA",SUM(N253,N266))</f>
        <v>NA</v>
      </c>
    </row>
    <row r="235" spans="2:14" ht="11.25" customHeight="1" x14ac:dyDescent="0.35">
      <c r="B235" s="244" t="s">
        <v>5371</v>
      </c>
      <c r="C235" s="247"/>
      <c r="D235" s="279" t="str">
        <f>IF(COUNT(D254,D267)=0,"NA",SUM(D254,D267))</f>
        <v>NA</v>
      </c>
      <c r="E235" s="279" t="str">
        <f>IF(COUNT(E254,E267)=0,"NA",SUM(E254,E267))</f>
        <v>NA</v>
      </c>
      <c r="F235" s="279" t="str">
        <f>IF(COUNT(F254,F267)=0,"NA",SUM(F254,F267))</f>
        <v>NA</v>
      </c>
      <c r="G235" s="279" t="str">
        <f>IF(COUNT(G254,G267)=0,"NA",SUM(G254,G267))</f>
        <v>NA</v>
      </c>
      <c r="H235" s="279" t="str">
        <f>IF(COUNT(H254,H267)=0,"NA",SUM(H254,H267))</f>
        <v>NA</v>
      </c>
      <c r="I235" s="279" t="str">
        <f>IF(COUNT(I254,I267)=0,"NA",SUM(I254,I267))</f>
        <v>NA</v>
      </c>
      <c r="J235" s="279" t="str">
        <f>IF(COUNT(J254,J267)=0,"NA",SUM(J254,J267))</f>
        <v>NA</v>
      </c>
      <c r="K235" s="279" t="str">
        <f>IF(COUNT(K254,K267)=0,"NA",SUM(K254,K267))</f>
        <v>NA</v>
      </c>
      <c r="L235" s="279" t="str">
        <f>IF(COUNT(L254,L267)=0,"NA",SUM(L254,L267))</f>
        <v>NA</v>
      </c>
      <c r="M235" s="279" t="str">
        <f>IF(COUNT(M254,M267)=0,"NA",SUM(M254,M267))</f>
        <v>NA</v>
      </c>
      <c r="N235" s="279" t="str">
        <f>IF(COUNT(N254,N267)=0,"NA",SUM(N254,N267))</f>
        <v>NA</v>
      </c>
    </row>
    <row r="236" spans="2:14" ht="11.25" customHeight="1" x14ac:dyDescent="0.35">
      <c r="B236" s="244" t="s">
        <v>5372</v>
      </c>
      <c r="C236" s="247"/>
      <c r="D236" s="279" t="str">
        <f>IF(COUNT(D255,D268)=0,"NA",SUM(D255,D268))</f>
        <v>NA</v>
      </c>
      <c r="E236" s="279" t="str">
        <f>IF(COUNT(E255,E268)=0,"NA",SUM(E255,E268))</f>
        <v>NA</v>
      </c>
      <c r="F236" s="279" t="str">
        <f>IF(COUNT(F255,F268)=0,"NA",SUM(F255,F268))</f>
        <v>NA</v>
      </c>
      <c r="G236" s="279" t="str">
        <f>IF(COUNT(G255,G268)=0,"NA",SUM(G255,G268))</f>
        <v>NA</v>
      </c>
      <c r="H236" s="279" t="str">
        <f>IF(COUNT(H255,H268)=0,"NA",SUM(H255,H268))</f>
        <v>NA</v>
      </c>
      <c r="I236" s="279" t="str">
        <f>IF(COUNT(I255,I268)=0,"NA",SUM(I255,I268))</f>
        <v>NA</v>
      </c>
      <c r="J236" s="279" t="str">
        <f>IF(COUNT(J255,J268)=0,"NA",SUM(J255,J268))</f>
        <v>NA</v>
      </c>
      <c r="K236" s="279" t="str">
        <f>IF(COUNT(K255,K268)=0,"NA",SUM(K255,K268))</f>
        <v>NA</v>
      </c>
      <c r="L236" s="279" t="str">
        <f>IF(COUNT(L255,L268)=0,"NA",SUM(L255,L268))</f>
        <v>NA</v>
      </c>
      <c r="M236" s="279" t="str">
        <f>IF(COUNT(M255,M268)=0,"NA",SUM(M255,M268))</f>
        <v>NA</v>
      </c>
      <c r="N236" s="279" t="str">
        <f>IF(COUNT(N255,N268)=0,"NA",SUM(N255,N268))</f>
        <v>NA</v>
      </c>
    </row>
    <row r="237" spans="2:14" ht="11.25" customHeight="1" x14ac:dyDescent="0.35">
      <c r="B237" s="244"/>
      <c r="C237" s="247"/>
      <c r="D237" s="279"/>
      <c r="E237" s="305"/>
      <c r="F237" s="305"/>
      <c r="G237" s="305"/>
      <c r="H237" s="305"/>
      <c r="I237" s="305"/>
      <c r="J237" s="305"/>
      <c r="K237" s="305"/>
      <c r="L237" s="305"/>
      <c r="M237" s="305"/>
      <c r="N237" s="305"/>
    </row>
    <row r="238" spans="2:14" ht="11.25" hidden="1" customHeight="1" outlineLevel="1" x14ac:dyDescent="0.35">
      <c r="B238" s="290" t="s">
        <v>5106</v>
      </c>
      <c r="C238" s="245">
        <v>123543</v>
      </c>
      <c r="D238" s="279">
        <v>133901045.88659</v>
      </c>
      <c r="E238" s="305">
        <v>16440.350999999999</v>
      </c>
      <c r="F238" s="305">
        <v>605217.66800000006</v>
      </c>
      <c r="G238" s="305">
        <v>4770045.6620000005</v>
      </c>
      <c r="H238" s="305">
        <v>0</v>
      </c>
      <c r="I238" s="305">
        <v>279841.39199999999</v>
      </c>
      <c r="J238" s="305">
        <v>45979.978999999999</v>
      </c>
      <c r="K238" s="305">
        <v>26991.921000000002</v>
      </c>
      <c r="L238" s="305">
        <v>5141.9319999999998</v>
      </c>
      <c r="M238" s="305">
        <v>1385.5840000000001</v>
      </c>
      <c r="N238" s="305">
        <v>265632.51900000003</v>
      </c>
    </row>
    <row r="239" spans="2:14" ht="11.25" hidden="1" customHeight="1" outlineLevel="1" x14ac:dyDescent="0.35">
      <c r="B239" s="290" t="s">
        <v>5105</v>
      </c>
      <c r="C239" s="245">
        <v>123544</v>
      </c>
      <c r="D239" s="279">
        <v>352823672.24592</v>
      </c>
      <c r="E239" s="305">
        <v>17553.466</v>
      </c>
      <c r="F239" s="305">
        <v>193.37299999999999</v>
      </c>
      <c r="G239" s="305">
        <v>778390.82900000003</v>
      </c>
      <c r="H239" s="305">
        <v>0</v>
      </c>
      <c r="I239" s="305">
        <v>0</v>
      </c>
      <c r="J239" s="305">
        <v>296189.68400000001</v>
      </c>
      <c r="K239" s="305">
        <v>2552.3090000000002</v>
      </c>
      <c r="L239" s="305">
        <v>165.821</v>
      </c>
      <c r="M239" s="305">
        <v>0</v>
      </c>
      <c r="N239" s="305">
        <v>0</v>
      </c>
    </row>
    <row r="240" spans="2:14" ht="11.25" hidden="1" customHeight="1" outlineLevel="1" x14ac:dyDescent="0.35">
      <c r="B240" s="290" t="s">
        <v>5104</v>
      </c>
      <c r="C240" s="245">
        <v>123545</v>
      </c>
      <c r="D240" s="279">
        <v>156605802.38138002</v>
      </c>
      <c r="E240" s="305">
        <v>251861.56599999999</v>
      </c>
      <c r="F240" s="305">
        <v>574.548</v>
      </c>
      <c r="G240" s="305">
        <v>13814416.76</v>
      </c>
      <c r="H240" s="305">
        <v>2186269.1350000002</v>
      </c>
      <c r="I240" s="305">
        <v>609969.27600000007</v>
      </c>
      <c r="J240" s="305">
        <v>179551.48300000001</v>
      </c>
      <c r="K240" s="305">
        <v>580487.23400000005</v>
      </c>
      <c r="L240" s="305">
        <v>9023.0879999999997</v>
      </c>
      <c r="M240" s="305">
        <v>112627.829</v>
      </c>
      <c r="N240" s="305">
        <v>1011838.696</v>
      </c>
    </row>
    <row r="241" spans="2:35" ht="11.25" hidden="1" customHeight="1" outlineLevel="1" x14ac:dyDescent="0.35">
      <c r="B241" s="290" t="s">
        <v>5103</v>
      </c>
      <c r="C241" s="245">
        <v>123546</v>
      </c>
      <c r="D241" s="279">
        <v>1388591.4040000001</v>
      </c>
      <c r="E241" s="305">
        <v>-7.3999999999999996E-2</v>
      </c>
      <c r="F241" s="305">
        <v>0</v>
      </c>
      <c r="G241" s="305">
        <v>0</v>
      </c>
      <c r="H241" s="305">
        <v>0</v>
      </c>
      <c r="I241" s="305">
        <v>4.2709999999999999</v>
      </c>
      <c r="J241" s="305">
        <v>0</v>
      </c>
      <c r="K241" s="305">
        <v>0</v>
      </c>
      <c r="L241" s="305">
        <v>0</v>
      </c>
      <c r="M241" s="305">
        <v>0</v>
      </c>
      <c r="N241" s="305">
        <v>0</v>
      </c>
    </row>
    <row r="242" spans="2:35" ht="11.25" hidden="1" customHeight="1" outlineLevel="1" x14ac:dyDescent="0.35">
      <c r="B242" s="290" t="s">
        <v>5102</v>
      </c>
      <c r="C242" s="245">
        <v>123547</v>
      </c>
      <c r="D242" s="279">
        <v>2554797.327</v>
      </c>
      <c r="E242" s="305">
        <v>0</v>
      </c>
      <c r="F242" s="305">
        <v>4273.0460000000003</v>
      </c>
      <c r="G242" s="305">
        <v>0</v>
      </c>
      <c r="H242" s="305">
        <v>0</v>
      </c>
      <c r="I242" s="305">
        <v>0</v>
      </c>
      <c r="J242" s="305">
        <v>10376.978999999999</v>
      </c>
      <c r="K242" s="305">
        <v>751.62900000000002</v>
      </c>
      <c r="L242" s="305">
        <v>0</v>
      </c>
      <c r="M242" s="305">
        <v>0</v>
      </c>
      <c r="N242" s="305">
        <v>0</v>
      </c>
    </row>
    <row r="243" spans="2:35" ht="11.25" hidden="1" customHeight="1" outlineLevel="1" x14ac:dyDescent="0.55000000000000004">
      <c r="B243" s="244"/>
      <c r="C243" s="247"/>
      <c r="D243" s="279"/>
      <c r="E243" s="305"/>
      <c r="F243" s="305"/>
      <c r="G243" s="305"/>
      <c r="H243" s="305"/>
      <c r="I243" s="305"/>
      <c r="J243" s="305"/>
      <c r="K243" s="305"/>
      <c r="L243" s="305"/>
      <c r="M243" s="305"/>
      <c r="N243" s="305"/>
      <c r="U243" s="392"/>
      <c r="V243" s="289"/>
      <c r="W243" s="289"/>
      <c r="X243" s="289"/>
      <c r="Y243" s="393"/>
      <c r="Z243" s="393"/>
      <c r="AA243" s="393"/>
      <c r="AB243" s="393"/>
      <c r="AC243" s="393"/>
      <c r="AD243" s="393"/>
      <c r="AE243" s="393"/>
      <c r="AF243" s="393"/>
      <c r="AG243" s="393"/>
      <c r="AH243" s="393"/>
      <c r="AI243" s="393"/>
    </row>
    <row r="244" spans="2:35" ht="11.25" hidden="1" customHeight="1" outlineLevel="1" x14ac:dyDescent="0.55000000000000004">
      <c r="B244" s="246" t="s">
        <v>5458</v>
      </c>
      <c r="C244" s="245"/>
      <c r="D244" s="335"/>
      <c r="E244" s="335"/>
      <c r="F244" s="335"/>
      <c r="G244" s="335"/>
      <c r="H244" s="335"/>
      <c r="I244" s="335"/>
      <c r="J244" s="335"/>
      <c r="K244" s="335"/>
      <c r="L244" s="335"/>
      <c r="M244" s="335"/>
      <c r="N244" s="335"/>
      <c r="U244" s="289"/>
      <c r="V244" s="289"/>
      <c r="W244" s="289"/>
      <c r="X244" s="289"/>
      <c r="Y244" s="289"/>
      <c r="Z244" s="289"/>
      <c r="AA244" s="289"/>
      <c r="AB244" s="289"/>
      <c r="AC244" s="289"/>
      <c r="AD244" s="289"/>
      <c r="AE244" s="289"/>
      <c r="AF244" s="289"/>
      <c r="AG244" s="289"/>
      <c r="AH244" s="289"/>
      <c r="AI244" s="289"/>
    </row>
    <row r="245" spans="2:35" ht="11.25" hidden="1" customHeight="1" outlineLevel="1" x14ac:dyDescent="0.35">
      <c r="B245" s="244" t="s">
        <v>5365</v>
      </c>
      <c r="C245" s="245"/>
      <c r="D245" s="279" t="str">
        <f>IF(Y77="","",Y77)</f>
        <v>NA</v>
      </c>
      <c r="E245" s="279" t="str">
        <f>IF(Z77="","",Z77)</f>
        <v>NA</v>
      </c>
      <c r="F245" s="279" t="str">
        <f>IF(AA77="","",AA77)</f>
        <v>NA</v>
      </c>
      <c r="G245" s="279" t="str">
        <f>IF(AB77="","",AB77)</f>
        <v>NA</v>
      </c>
      <c r="H245" s="279" t="str">
        <f>IF(AC77="","",AC77)</f>
        <v>NA</v>
      </c>
      <c r="I245" s="279" t="str">
        <f>IF(AD77="","",AD77)</f>
        <v>NA</v>
      </c>
      <c r="J245" s="279" t="str">
        <f>IF(AE77="","",AE77)</f>
        <v>NA</v>
      </c>
      <c r="K245" s="279" t="str">
        <f>IF(AF77="","",AF77)</f>
        <v>NA</v>
      </c>
      <c r="L245" s="279" t="str">
        <f>IF(AG77="","",AG77)</f>
        <v>NA</v>
      </c>
      <c r="M245" s="279" t="str">
        <f>IF(AH77="","",AH77)</f>
        <v>NA</v>
      </c>
      <c r="N245" s="279" t="str">
        <f>IF(AI77="","",AI77)</f>
        <v>NA</v>
      </c>
      <c r="U245" s="258"/>
      <c r="V245" s="394"/>
      <c r="W245" s="394"/>
      <c r="X245" s="392"/>
      <c r="Y245" s="395"/>
      <c r="Z245" s="395"/>
      <c r="AA245" s="395"/>
      <c r="AB245" s="395"/>
      <c r="AC245" s="395"/>
      <c r="AD245" s="395"/>
      <c r="AE245" s="395"/>
      <c r="AF245" s="395"/>
      <c r="AG245" s="395"/>
      <c r="AH245" s="395"/>
      <c r="AI245" s="395"/>
    </row>
    <row r="246" spans="2:35" ht="11.25" hidden="1" customHeight="1" outlineLevel="1" x14ac:dyDescent="0.35">
      <c r="B246" s="244" t="s">
        <v>5366</v>
      </c>
      <c r="C246" s="245"/>
      <c r="D246" s="279" t="str">
        <f>IF(Y78="","",Y78)</f>
        <v>NA</v>
      </c>
      <c r="E246" s="279" t="str">
        <f>IF(Z78="","",Z78)</f>
        <v>NA</v>
      </c>
      <c r="F246" s="279" t="str">
        <f>IF(AA78="","",AA78)</f>
        <v>NA</v>
      </c>
      <c r="G246" s="279" t="str">
        <f>IF(AB78="","",AB78)</f>
        <v>NA</v>
      </c>
      <c r="H246" s="279" t="str">
        <f>IF(AC78="","",AC78)</f>
        <v>NA</v>
      </c>
      <c r="I246" s="279" t="str">
        <f>IF(AD78="","",AD78)</f>
        <v>NA</v>
      </c>
      <c r="J246" s="279" t="str">
        <f>IF(AE78="","",AE78)</f>
        <v>NA</v>
      </c>
      <c r="K246" s="279" t="str">
        <f>IF(AF78="","",AF78)</f>
        <v>NA</v>
      </c>
      <c r="L246" s="279" t="str">
        <f>IF(AG78="","",AG78)</f>
        <v>NA</v>
      </c>
      <c r="M246" s="279" t="str">
        <f>IF(AH78="","",AH78)</f>
        <v>NA</v>
      </c>
      <c r="N246" s="279" t="str">
        <f>IF(AI78="","",AI78)</f>
        <v>NA</v>
      </c>
      <c r="U246" s="258"/>
      <c r="V246" s="394"/>
      <c r="W246" s="394"/>
      <c r="X246" s="392"/>
      <c r="Y246" s="395"/>
      <c r="Z246" s="395"/>
      <c r="AA246" s="395"/>
      <c r="AB246" s="395"/>
      <c r="AC246" s="395"/>
      <c r="AD246" s="395"/>
      <c r="AE246" s="395"/>
      <c r="AF246" s="395"/>
      <c r="AG246" s="395"/>
      <c r="AH246" s="395"/>
      <c r="AI246" s="395"/>
    </row>
    <row r="247" spans="2:35" ht="11.25" hidden="1" customHeight="1" outlineLevel="1" x14ac:dyDescent="0.35">
      <c r="B247" s="244" t="s">
        <v>5122</v>
      </c>
      <c r="C247" s="245"/>
      <c r="D247" s="279" t="str">
        <f>IF(Y79="","",Y79)</f>
        <v>NA</v>
      </c>
      <c r="E247" s="279" t="str">
        <f>IF(Z79="","",Z79)</f>
        <v>NA</v>
      </c>
      <c r="F247" s="279" t="str">
        <f>IF(AA79="","",AA79)</f>
        <v>NA</v>
      </c>
      <c r="G247" s="279" t="str">
        <f>IF(AB79="","",AB79)</f>
        <v>NA</v>
      </c>
      <c r="H247" s="279" t="str">
        <f>IF(AC79="","",AC79)</f>
        <v>NA</v>
      </c>
      <c r="I247" s="279" t="str">
        <f>IF(AD79="","",AD79)</f>
        <v>NA</v>
      </c>
      <c r="J247" s="279" t="str">
        <f>IF(AE79="","",AE79)</f>
        <v>NA</v>
      </c>
      <c r="K247" s="279" t="str">
        <f>IF(AF79="","",AF79)</f>
        <v>NA</v>
      </c>
      <c r="L247" s="279" t="str">
        <f>IF(AG79="","",AG79)</f>
        <v>NA</v>
      </c>
      <c r="M247" s="279" t="str">
        <f>IF(AH79="","",AH79)</f>
        <v>NA</v>
      </c>
      <c r="N247" s="279" t="str">
        <f>IF(AI79="","",AI79)</f>
        <v>NA</v>
      </c>
      <c r="U247" s="258"/>
      <c r="V247" s="394"/>
      <c r="W247" s="394"/>
      <c r="X247" s="392"/>
      <c r="Y247" s="395"/>
      <c r="Z247" s="395"/>
      <c r="AA247" s="395"/>
      <c r="AB247" s="395"/>
      <c r="AC247" s="395"/>
      <c r="AD247" s="395"/>
      <c r="AE247" s="395"/>
      <c r="AF247" s="395"/>
      <c r="AG247" s="395"/>
      <c r="AH247" s="395"/>
      <c r="AI247" s="395"/>
    </row>
    <row r="248" spans="2:35" ht="11.25" hidden="1" customHeight="1" outlineLevel="1" x14ac:dyDescent="0.35">
      <c r="B248" s="244" t="s">
        <v>5124</v>
      </c>
      <c r="C248" s="245"/>
      <c r="D248" s="279" t="str">
        <f>IF(Y80="","",Y80)</f>
        <v>NA</v>
      </c>
      <c r="E248" s="279" t="str">
        <f>IF(Z80="","",Z80)</f>
        <v>NA</v>
      </c>
      <c r="F248" s="279" t="str">
        <f>IF(AA80="","",AA80)</f>
        <v>NA</v>
      </c>
      <c r="G248" s="279" t="str">
        <f>IF(AB80="","",AB80)</f>
        <v>NA</v>
      </c>
      <c r="H248" s="279" t="str">
        <f>IF(AC80="","",AC80)</f>
        <v>NA</v>
      </c>
      <c r="I248" s="279" t="str">
        <f>IF(AD80="","",AD80)</f>
        <v>NA</v>
      </c>
      <c r="J248" s="279" t="str">
        <f>IF(AE80="","",AE80)</f>
        <v>NA</v>
      </c>
      <c r="K248" s="279" t="str">
        <f>IF(AF80="","",AF80)</f>
        <v>NA</v>
      </c>
      <c r="L248" s="279" t="str">
        <f>IF(AG80="","",AG80)</f>
        <v>NA</v>
      </c>
      <c r="M248" s="279" t="str">
        <f>IF(AH80="","",AH80)</f>
        <v>NA</v>
      </c>
      <c r="N248" s="279" t="str">
        <f>IF(AI80="","",AI80)</f>
        <v>NA</v>
      </c>
      <c r="U248" s="258"/>
      <c r="V248" s="394"/>
      <c r="W248" s="394"/>
      <c r="X248" s="392"/>
      <c r="Y248" s="395"/>
      <c r="Z248" s="395"/>
      <c r="AA248" s="395"/>
      <c r="AB248" s="395"/>
      <c r="AC248" s="395"/>
      <c r="AD248" s="395"/>
      <c r="AE248" s="395"/>
      <c r="AF248" s="395"/>
      <c r="AG248" s="395"/>
      <c r="AH248" s="395"/>
      <c r="AI248" s="395"/>
    </row>
    <row r="249" spans="2:35" ht="11.25" hidden="1" customHeight="1" outlineLevel="1" x14ac:dyDescent="0.35">
      <c r="B249" s="244" t="s">
        <v>5121</v>
      </c>
      <c r="C249" s="245"/>
      <c r="D249" s="279" t="str">
        <f>IF(Y81="","",Y81)</f>
        <v>NA</v>
      </c>
      <c r="E249" s="279" t="str">
        <f>IF(Z81="","",Z81)</f>
        <v>NA</v>
      </c>
      <c r="F249" s="279" t="str">
        <f>IF(AA81="","",AA81)</f>
        <v>NA</v>
      </c>
      <c r="G249" s="279" t="str">
        <f>IF(AB81="","",AB81)</f>
        <v>NA</v>
      </c>
      <c r="H249" s="279" t="str">
        <f>IF(AC81="","",AC81)</f>
        <v>NA</v>
      </c>
      <c r="I249" s="279" t="str">
        <f>IF(AD81="","",AD81)</f>
        <v>NA</v>
      </c>
      <c r="J249" s="279" t="str">
        <f>IF(AE81="","",AE81)</f>
        <v>NA</v>
      </c>
      <c r="K249" s="279" t="str">
        <f>IF(AF81="","",AF81)</f>
        <v>NA</v>
      </c>
      <c r="L249" s="279" t="str">
        <f>IF(AG81="","",AG81)</f>
        <v>NA</v>
      </c>
      <c r="M249" s="279" t="str">
        <f>IF(AH81="","",AH81)</f>
        <v>NA</v>
      </c>
      <c r="N249" s="279" t="str">
        <f>IF(AI81="","",AI81)</f>
        <v>NA</v>
      </c>
      <c r="U249" s="258"/>
      <c r="V249" s="394"/>
      <c r="W249" s="394"/>
      <c r="X249" s="392"/>
      <c r="Y249" s="395"/>
      <c r="Z249" s="395"/>
      <c r="AA249" s="395"/>
      <c r="AB249" s="395"/>
      <c r="AC249" s="395"/>
      <c r="AD249" s="395"/>
      <c r="AE249" s="395"/>
      <c r="AF249" s="395"/>
      <c r="AG249" s="395"/>
      <c r="AH249" s="395"/>
      <c r="AI249" s="395"/>
    </row>
    <row r="250" spans="2:35" ht="11.25" hidden="1" customHeight="1" outlineLevel="1" x14ac:dyDescent="0.35">
      <c r="B250" s="244" t="s">
        <v>5367</v>
      </c>
      <c r="C250" s="245"/>
      <c r="D250" s="279" t="str">
        <f>IF(Y82="","",Y82)</f>
        <v>NA</v>
      </c>
      <c r="E250" s="279" t="str">
        <f>IF(Z82="","",Z82)</f>
        <v>NA</v>
      </c>
      <c r="F250" s="279" t="str">
        <f>IF(AA82="","",AA82)</f>
        <v>NA</v>
      </c>
      <c r="G250" s="279" t="str">
        <f>IF(AB82="","",AB82)</f>
        <v>NA</v>
      </c>
      <c r="H250" s="279" t="str">
        <f>IF(AC82="","",AC82)</f>
        <v>NA</v>
      </c>
      <c r="I250" s="279" t="str">
        <f>IF(AD82="","",AD82)</f>
        <v>NA</v>
      </c>
      <c r="J250" s="279" t="str">
        <f>IF(AE82="","",AE82)</f>
        <v>NA</v>
      </c>
      <c r="K250" s="279" t="str">
        <f>IF(AF82="","",AF82)</f>
        <v>NA</v>
      </c>
      <c r="L250" s="279" t="str">
        <f>IF(AG82="","",AG82)</f>
        <v>NA</v>
      </c>
      <c r="M250" s="279" t="str">
        <f>IF(AH82="","",AH82)</f>
        <v>NA</v>
      </c>
      <c r="N250" s="279" t="str">
        <f>IF(AI82="","",AI82)</f>
        <v>NA</v>
      </c>
      <c r="U250" s="258"/>
      <c r="V250" s="394"/>
      <c r="W250" s="394"/>
      <c r="X250" s="392"/>
      <c r="Y250" s="395"/>
      <c r="Z250" s="395"/>
      <c r="AA250" s="395"/>
      <c r="AB250" s="395"/>
      <c r="AC250" s="395"/>
      <c r="AD250" s="395"/>
      <c r="AE250" s="395"/>
      <c r="AF250" s="395"/>
      <c r="AG250" s="395"/>
      <c r="AH250" s="395"/>
      <c r="AI250" s="395"/>
    </row>
    <row r="251" spans="2:35" ht="11.25" hidden="1" customHeight="1" outlineLevel="1" x14ac:dyDescent="0.35">
      <c r="B251" s="244" t="s">
        <v>5368</v>
      </c>
      <c r="C251" s="245"/>
      <c r="D251" s="279" t="str">
        <f>IF(Y83="","",Y83)</f>
        <v>NA</v>
      </c>
      <c r="E251" s="279" t="str">
        <f>IF(Z83="","",Z83)</f>
        <v>NA</v>
      </c>
      <c r="F251" s="279" t="str">
        <f>IF(AA83="","",AA83)</f>
        <v>NA</v>
      </c>
      <c r="G251" s="279" t="str">
        <f>IF(AB83="","",AB83)</f>
        <v>NA</v>
      </c>
      <c r="H251" s="279" t="str">
        <f>IF(AC83="","",AC83)</f>
        <v>NA</v>
      </c>
      <c r="I251" s="279" t="str">
        <f>IF(AD83="","",AD83)</f>
        <v>NA</v>
      </c>
      <c r="J251" s="279" t="str">
        <f>IF(AE83="","",AE83)</f>
        <v>NA</v>
      </c>
      <c r="K251" s="279" t="str">
        <f>IF(AF83="","",AF83)</f>
        <v>NA</v>
      </c>
      <c r="L251" s="279" t="str">
        <f>IF(AG83="","",AG83)</f>
        <v>NA</v>
      </c>
      <c r="M251" s="279" t="str">
        <f>IF(AH83="","",AH83)</f>
        <v>NA</v>
      </c>
      <c r="N251" s="279" t="str">
        <f>IF(AI83="","",AI83)</f>
        <v>NA</v>
      </c>
      <c r="U251" s="258"/>
      <c r="V251" s="394"/>
      <c r="W251" s="394"/>
      <c r="X251" s="392"/>
      <c r="Y251" s="395"/>
      <c r="Z251" s="395"/>
      <c r="AA251" s="395"/>
      <c r="AB251" s="395"/>
      <c r="AC251" s="395"/>
      <c r="AD251" s="395"/>
      <c r="AE251" s="395"/>
      <c r="AF251" s="395"/>
      <c r="AG251" s="395"/>
      <c r="AH251" s="395"/>
      <c r="AI251" s="395"/>
    </row>
    <row r="252" spans="2:35" ht="11.25" hidden="1" customHeight="1" outlineLevel="1" x14ac:dyDescent="0.35">
      <c r="B252" s="244" t="s">
        <v>5369</v>
      </c>
      <c r="C252" s="245"/>
      <c r="D252" s="279" t="str">
        <f>IF(Y84="","",Y84)</f>
        <v>NA</v>
      </c>
      <c r="E252" s="279" t="str">
        <f>IF(Z84="","",Z84)</f>
        <v>NA</v>
      </c>
      <c r="F252" s="279" t="str">
        <f>IF(AA84="","",AA84)</f>
        <v>NA</v>
      </c>
      <c r="G252" s="279" t="str">
        <f>IF(AB84="","",AB84)</f>
        <v>NA</v>
      </c>
      <c r="H252" s="279" t="str">
        <f>IF(AC84="","",AC84)</f>
        <v>NA</v>
      </c>
      <c r="I252" s="279" t="str">
        <f>IF(AD84="","",AD84)</f>
        <v>NA</v>
      </c>
      <c r="J252" s="279" t="str">
        <f>IF(AE84="","",AE84)</f>
        <v>NA</v>
      </c>
      <c r="K252" s="279" t="str">
        <f>IF(AF84="","",AF84)</f>
        <v>NA</v>
      </c>
      <c r="L252" s="279" t="str">
        <f>IF(AG84="","",AG84)</f>
        <v>NA</v>
      </c>
      <c r="M252" s="279" t="str">
        <f>IF(AH84="","",AH84)</f>
        <v>NA</v>
      </c>
      <c r="N252" s="279" t="str">
        <f>IF(AI84="","",AI84)</f>
        <v>NA</v>
      </c>
      <c r="U252" s="258"/>
      <c r="V252" s="394"/>
      <c r="W252" s="394"/>
      <c r="X252" s="392"/>
      <c r="Y252" s="395"/>
      <c r="Z252" s="395"/>
      <c r="AA252" s="395"/>
      <c r="AB252" s="395"/>
      <c r="AC252" s="395"/>
      <c r="AD252" s="395"/>
      <c r="AE252" s="395"/>
      <c r="AF252" s="395"/>
      <c r="AG252" s="395"/>
      <c r="AH252" s="395"/>
      <c r="AI252" s="395"/>
    </row>
    <row r="253" spans="2:35" ht="11.25" hidden="1" customHeight="1" outlineLevel="1" x14ac:dyDescent="0.35">
      <c r="B253" s="244" t="s">
        <v>5370</v>
      </c>
      <c r="C253" s="245"/>
      <c r="D253" s="279" t="str">
        <f>IF(Y85="","",Y85)</f>
        <v>NA</v>
      </c>
      <c r="E253" s="279" t="str">
        <f>IF(Z85="","",Z85)</f>
        <v>NA</v>
      </c>
      <c r="F253" s="279" t="str">
        <f>IF(AA85="","",AA85)</f>
        <v>NA</v>
      </c>
      <c r="G253" s="279" t="str">
        <f>IF(AB85="","",AB85)</f>
        <v>NA</v>
      </c>
      <c r="H253" s="279" t="str">
        <f>IF(AC85="","",AC85)</f>
        <v>NA</v>
      </c>
      <c r="I253" s="279" t="str">
        <f>IF(AD85="","",AD85)</f>
        <v>NA</v>
      </c>
      <c r="J253" s="279" t="str">
        <f>IF(AE85="","",AE85)</f>
        <v>NA</v>
      </c>
      <c r="K253" s="279" t="str">
        <f>IF(AF85="","",AF85)</f>
        <v>NA</v>
      </c>
      <c r="L253" s="279" t="str">
        <f>IF(AG85="","",AG85)</f>
        <v>NA</v>
      </c>
      <c r="M253" s="279" t="str">
        <f>IF(AH85="","",AH85)</f>
        <v>NA</v>
      </c>
      <c r="N253" s="279" t="str">
        <f>IF(AI85="","",AI85)</f>
        <v>NA</v>
      </c>
      <c r="U253" s="258"/>
      <c r="V253" s="394"/>
      <c r="W253" s="394"/>
      <c r="X253" s="392"/>
      <c r="Y253" s="395"/>
      <c r="Z253" s="395"/>
      <c r="AA253" s="395"/>
      <c r="AB253" s="395"/>
      <c r="AC253" s="395"/>
      <c r="AD253" s="395"/>
      <c r="AE253" s="395"/>
      <c r="AF253" s="395"/>
      <c r="AG253" s="395"/>
      <c r="AH253" s="395"/>
      <c r="AI253" s="395"/>
    </row>
    <row r="254" spans="2:35" ht="11.25" hidden="1" customHeight="1" outlineLevel="1" x14ac:dyDescent="0.35">
      <c r="B254" s="244" t="s">
        <v>5371</v>
      </c>
      <c r="C254" s="245"/>
      <c r="D254" s="279" t="str">
        <f>IF(Y86="","",Y86)</f>
        <v>NA</v>
      </c>
      <c r="E254" s="279" t="str">
        <f>IF(Z86="","",Z86)</f>
        <v>NA</v>
      </c>
      <c r="F254" s="279" t="str">
        <f>IF(AA86="","",AA86)</f>
        <v>NA</v>
      </c>
      <c r="G254" s="279" t="str">
        <f>IF(AB86="","",AB86)</f>
        <v>NA</v>
      </c>
      <c r="H254" s="279" t="str">
        <f>IF(AC86="","",AC86)</f>
        <v>NA</v>
      </c>
      <c r="I254" s="279" t="str">
        <f>IF(AD86="","",AD86)</f>
        <v>NA</v>
      </c>
      <c r="J254" s="279" t="str">
        <f>IF(AE86="","",AE86)</f>
        <v>NA</v>
      </c>
      <c r="K254" s="279" t="str">
        <f>IF(AF86="","",AF86)</f>
        <v>NA</v>
      </c>
      <c r="L254" s="279" t="str">
        <f>IF(AG86="","",AG86)</f>
        <v>NA</v>
      </c>
      <c r="M254" s="279" t="str">
        <f>IF(AH86="","",AH86)</f>
        <v>NA</v>
      </c>
      <c r="N254" s="279" t="str">
        <f>IF(AI86="","",AI86)</f>
        <v>NA</v>
      </c>
      <c r="U254" s="258"/>
      <c r="V254" s="394"/>
      <c r="W254" s="394"/>
      <c r="X254" s="392"/>
      <c r="Y254" s="395"/>
      <c r="Z254" s="395"/>
      <c r="AA254" s="395"/>
      <c r="AB254" s="395"/>
      <c r="AC254" s="395"/>
      <c r="AD254" s="395"/>
      <c r="AE254" s="395"/>
      <c r="AF254" s="395"/>
      <c r="AG254" s="395"/>
      <c r="AH254" s="395"/>
      <c r="AI254" s="395"/>
    </row>
    <row r="255" spans="2:35" ht="11.25" hidden="1" customHeight="1" outlineLevel="1" x14ac:dyDescent="0.35">
      <c r="B255" s="244" t="s">
        <v>5372</v>
      </c>
      <c r="C255" s="245"/>
      <c r="D255" s="279" t="str">
        <f>IF(Y87="","",Y87)</f>
        <v>NA</v>
      </c>
      <c r="E255" s="279" t="str">
        <f>IF(Z87="","",Z87)</f>
        <v>NA</v>
      </c>
      <c r="F255" s="279" t="str">
        <f>IF(AA87="","",AA87)</f>
        <v>NA</v>
      </c>
      <c r="G255" s="279" t="str">
        <f>IF(AB87="","",AB87)</f>
        <v>NA</v>
      </c>
      <c r="H255" s="279" t="str">
        <f>IF(AC87="","",AC87)</f>
        <v>NA</v>
      </c>
      <c r="I255" s="279" t="str">
        <f>IF(AD87="","",AD87)</f>
        <v>NA</v>
      </c>
      <c r="J255" s="279" t="str">
        <f>IF(AE87="","",AE87)</f>
        <v>NA</v>
      </c>
      <c r="K255" s="279" t="str">
        <f>IF(AF87="","",AF87)</f>
        <v>NA</v>
      </c>
      <c r="L255" s="279" t="str">
        <f>IF(AG87="","",AG87)</f>
        <v>NA</v>
      </c>
      <c r="M255" s="279" t="str">
        <f>IF(AH87="","",AH87)</f>
        <v>NA</v>
      </c>
      <c r="N255" s="279" t="str">
        <f>IF(AI87="","",AI87)</f>
        <v>NA</v>
      </c>
      <c r="U255" s="258"/>
      <c r="V255" s="394"/>
      <c r="W255" s="394"/>
      <c r="X255" s="392"/>
      <c r="Y255" s="395"/>
      <c r="Z255" s="395"/>
      <c r="AA255" s="395"/>
      <c r="AB255" s="395"/>
      <c r="AC255" s="395"/>
      <c r="AD255" s="395"/>
      <c r="AE255" s="395"/>
      <c r="AF255" s="395"/>
      <c r="AG255" s="395"/>
      <c r="AH255" s="395"/>
      <c r="AI255" s="395"/>
    </row>
    <row r="256" spans="2:35" ht="11.25" hidden="1" customHeight="1" outlineLevel="1" x14ac:dyDescent="0.55000000000000004">
      <c r="B256" s="244"/>
      <c r="C256" s="245"/>
      <c r="D256" s="279"/>
      <c r="E256" s="305"/>
      <c r="F256" s="305"/>
      <c r="G256" s="305"/>
      <c r="H256" s="305"/>
      <c r="I256" s="305"/>
      <c r="J256" s="305"/>
      <c r="K256" s="305"/>
      <c r="L256" s="305"/>
      <c r="M256" s="305"/>
      <c r="N256" s="305"/>
      <c r="U256" s="289"/>
      <c r="V256" s="289"/>
      <c r="W256" s="289"/>
      <c r="X256" s="289"/>
      <c r="Y256" s="289"/>
      <c r="Z256" s="289"/>
      <c r="AA256" s="289"/>
      <c r="AB256" s="289"/>
      <c r="AC256" s="289"/>
      <c r="AD256" s="289"/>
      <c r="AE256" s="289"/>
      <c r="AF256" s="289"/>
      <c r="AG256" s="289"/>
      <c r="AH256" s="289"/>
      <c r="AI256" s="289"/>
    </row>
    <row r="257" spans="2:35" ht="11.25" hidden="1" customHeight="1" outlineLevel="1" x14ac:dyDescent="0.55000000000000004">
      <c r="B257" s="246" t="s">
        <v>5461</v>
      </c>
      <c r="C257" s="245"/>
      <c r="D257" s="279"/>
      <c r="E257" s="305"/>
      <c r="F257" s="305"/>
      <c r="G257" s="305"/>
      <c r="H257" s="305"/>
      <c r="I257" s="305"/>
      <c r="J257" s="305"/>
      <c r="K257" s="305"/>
      <c r="L257" s="305"/>
      <c r="M257" s="305"/>
      <c r="N257" s="305"/>
      <c r="U257" s="289"/>
      <c r="V257" s="289"/>
      <c r="W257" s="289"/>
      <c r="X257" s="289"/>
      <c r="Y257" s="289"/>
      <c r="Z257" s="289"/>
      <c r="AA257" s="289"/>
      <c r="AB257" s="289"/>
      <c r="AC257" s="289"/>
      <c r="AD257" s="289"/>
      <c r="AE257" s="289"/>
      <c r="AF257" s="289"/>
      <c r="AG257" s="289"/>
      <c r="AH257" s="289"/>
      <c r="AI257" s="289"/>
    </row>
    <row r="258" spans="2:35" ht="11.25" hidden="1" customHeight="1" outlineLevel="1" x14ac:dyDescent="0.35">
      <c r="B258" s="244" t="s">
        <v>5365</v>
      </c>
      <c r="C258" s="245"/>
      <c r="D258" s="279" t="str">
        <f>IF(Y90="","",Y90)</f>
        <v>NA</v>
      </c>
      <c r="E258" s="279" t="str">
        <f>IF(Z90="","",Z90)</f>
        <v>NA</v>
      </c>
      <c r="F258" s="279" t="str">
        <f>IF(AA90="","",AA90)</f>
        <v>NA</v>
      </c>
      <c r="G258" s="279" t="str">
        <f>IF(AB90="","",AB90)</f>
        <v>NA</v>
      </c>
      <c r="H258" s="279" t="str">
        <f>IF(AC90="","",AC90)</f>
        <v>NA</v>
      </c>
      <c r="I258" s="279" t="str">
        <f>IF(AD90="","",AD90)</f>
        <v>NA</v>
      </c>
      <c r="J258" s="279" t="str">
        <f>IF(AE90="","",AE90)</f>
        <v>NA</v>
      </c>
      <c r="K258" s="279" t="str">
        <f>IF(AF90="","",AF90)</f>
        <v>NA</v>
      </c>
      <c r="L258" s="279" t="str">
        <f>IF(AG90="","",AG90)</f>
        <v>NA</v>
      </c>
      <c r="M258" s="279" t="str">
        <f>IF(AH90="","",AH90)</f>
        <v>NA</v>
      </c>
      <c r="N258" s="279" t="str">
        <f>IF(AI90="","",AI90)</f>
        <v>NA</v>
      </c>
      <c r="U258" s="258"/>
      <c r="V258" s="394"/>
      <c r="W258" s="394"/>
      <c r="X258" s="392"/>
      <c r="Y258" s="395"/>
      <c r="Z258" s="395"/>
      <c r="AA258" s="395"/>
      <c r="AB258" s="395"/>
      <c r="AC258" s="395"/>
      <c r="AD258" s="395"/>
      <c r="AE258" s="395"/>
      <c r="AF258" s="395"/>
      <c r="AG258" s="395"/>
      <c r="AH258" s="395"/>
      <c r="AI258" s="395"/>
    </row>
    <row r="259" spans="2:35" ht="11.25" hidden="1" customHeight="1" outlineLevel="1" x14ac:dyDescent="0.35">
      <c r="B259" s="244" t="s">
        <v>5366</v>
      </c>
      <c r="C259" s="245"/>
      <c r="D259" s="279" t="str">
        <f>IF(Y91="","",Y91)</f>
        <v>NA</v>
      </c>
      <c r="E259" s="279" t="str">
        <f>IF(Z91="","",Z91)</f>
        <v>NA</v>
      </c>
      <c r="F259" s="279" t="str">
        <f>IF(AA91="","",AA91)</f>
        <v>NA</v>
      </c>
      <c r="G259" s="279" t="str">
        <f>IF(AB91="","",AB91)</f>
        <v>NA</v>
      </c>
      <c r="H259" s="279" t="str">
        <f>IF(AC91="","",AC91)</f>
        <v>NA</v>
      </c>
      <c r="I259" s="279" t="str">
        <f>IF(AD91="","",AD91)</f>
        <v>NA</v>
      </c>
      <c r="J259" s="279" t="str">
        <f>IF(AE91="","",AE91)</f>
        <v>NA</v>
      </c>
      <c r="K259" s="279" t="str">
        <f>IF(AF91="","",AF91)</f>
        <v>NA</v>
      </c>
      <c r="L259" s="279" t="str">
        <f>IF(AG91="","",AG91)</f>
        <v>NA</v>
      </c>
      <c r="M259" s="279" t="str">
        <f>IF(AH91="","",AH91)</f>
        <v>NA</v>
      </c>
      <c r="N259" s="279" t="str">
        <f>IF(AI91="","",AI91)</f>
        <v>NA</v>
      </c>
      <c r="U259" s="258"/>
      <c r="V259" s="394"/>
      <c r="W259" s="394"/>
      <c r="X259" s="392"/>
      <c r="Y259" s="395"/>
      <c r="Z259" s="395"/>
      <c r="AA259" s="395"/>
      <c r="AB259" s="395"/>
      <c r="AC259" s="395"/>
      <c r="AD259" s="395"/>
      <c r="AE259" s="395"/>
      <c r="AF259" s="395"/>
      <c r="AG259" s="395"/>
      <c r="AH259" s="395"/>
      <c r="AI259" s="395"/>
    </row>
    <row r="260" spans="2:35" ht="11.25" hidden="1" customHeight="1" outlineLevel="1" x14ac:dyDescent="0.35">
      <c r="B260" s="244" t="s">
        <v>5122</v>
      </c>
      <c r="C260" s="245"/>
      <c r="D260" s="279" t="str">
        <f>IF(Y92="","",Y92)</f>
        <v>NA</v>
      </c>
      <c r="E260" s="279" t="str">
        <f>IF(Z92="","",Z92)</f>
        <v>NA</v>
      </c>
      <c r="F260" s="279" t="str">
        <f>IF(AA92="","",AA92)</f>
        <v>NA</v>
      </c>
      <c r="G260" s="279" t="str">
        <f>IF(AB92="","",AB92)</f>
        <v>NA</v>
      </c>
      <c r="H260" s="279" t="str">
        <f>IF(AC92="","",AC92)</f>
        <v>NA</v>
      </c>
      <c r="I260" s="279" t="str">
        <f>IF(AD92="","",AD92)</f>
        <v>NA</v>
      </c>
      <c r="J260" s="279" t="str">
        <f>IF(AE92="","",AE92)</f>
        <v>NA</v>
      </c>
      <c r="K260" s="279" t="str">
        <f>IF(AF92="","",AF92)</f>
        <v>NA</v>
      </c>
      <c r="L260" s="279" t="str">
        <f>IF(AG92="","",AG92)</f>
        <v>NA</v>
      </c>
      <c r="M260" s="279" t="str">
        <f>IF(AH92="","",AH92)</f>
        <v>NA</v>
      </c>
      <c r="N260" s="279" t="str">
        <f>IF(AI92="","",AI92)</f>
        <v>NA</v>
      </c>
      <c r="U260" s="258"/>
      <c r="V260" s="394"/>
      <c r="W260" s="394"/>
      <c r="X260" s="392"/>
      <c r="Y260" s="395"/>
      <c r="Z260" s="395"/>
      <c r="AA260" s="395"/>
      <c r="AB260" s="395"/>
      <c r="AC260" s="395"/>
      <c r="AD260" s="395"/>
      <c r="AE260" s="395"/>
      <c r="AF260" s="395"/>
      <c r="AG260" s="395"/>
      <c r="AH260" s="395"/>
      <c r="AI260" s="395"/>
    </row>
    <row r="261" spans="2:35" ht="11.25" hidden="1" customHeight="1" outlineLevel="1" x14ac:dyDescent="0.35">
      <c r="B261" s="244" t="s">
        <v>5124</v>
      </c>
      <c r="C261" s="245"/>
      <c r="D261" s="279" t="str">
        <f>IF(Y93="","",Y93)</f>
        <v>NA</v>
      </c>
      <c r="E261" s="279" t="str">
        <f>IF(Z93="","",Z93)</f>
        <v>NA</v>
      </c>
      <c r="F261" s="279" t="str">
        <f>IF(AA93="","",AA93)</f>
        <v>NA</v>
      </c>
      <c r="G261" s="279" t="str">
        <f>IF(AB93="","",AB93)</f>
        <v>NA</v>
      </c>
      <c r="H261" s="279" t="str">
        <f>IF(AC93="","",AC93)</f>
        <v>NA</v>
      </c>
      <c r="I261" s="279" t="str">
        <f>IF(AD93="","",AD93)</f>
        <v>NA</v>
      </c>
      <c r="J261" s="279" t="str">
        <f>IF(AE93="","",AE93)</f>
        <v>NA</v>
      </c>
      <c r="K261" s="279" t="str">
        <f>IF(AF93="","",AF93)</f>
        <v>NA</v>
      </c>
      <c r="L261" s="279" t="str">
        <f>IF(AG93="","",AG93)</f>
        <v>NA</v>
      </c>
      <c r="M261" s="279" t="str">
        <f>IF(AH93="","",AH93)</f>
        <v>NA</v>
      </c>
      <c r="N261" s="279" t="str">
        <f>IF(AI93="","",AI93)</f>
        <v>NA</v>
      </c>
      <c r="U261" s="258"/>
      <c r="V261" s="394"/>
      <c r="W261" s="394"/>
      <c r="X261" s="392"/>
      <c r="Y261" s="395"/>
      <c r="Z261" s="395"/>
      <c r="AA261" s="395"/>
      <c r="AB261" s="395"/>
      <c r="AC261" s="395"/>
      <c r="AD261" s="395"/>
      <c r="AE261" s="395"/>
      <c r="AF261" s="395"/>
      <c r="AG261" s="395"/>
      <c r="AH261" s="395"/>
      <c r="AI261" s="395"/>
    </row>
    <row r="262" spans="2:35" ht="11.25" hidden="1" customHeight="1" outlineLevel="1" x14ac:dyDescent="0.35">
      <c r="B262" s="244" t="s">
        <v>5121</v>
      </c>
      <c r="C262" s="245"/>
      <c r="D262" s="279" t="str">
        <f>IF(Y94="","",Y94)</f>
        <v>NA</v>
      </c>
      <c r="E262" s="279" t="str">
        <f>IF(Z94="","",Z94)</f>
        <v>NA</v>
      </c>
      <c r="F262" s="279" t="str">
        <f>IF(AA94="","",AA94)</f>
        <v>NA</v>
      </c>
      <c r="G262" s="279" t="str">
        <f>IF(AB94="","",AB94)</f>
        <v>NA</v>
      </c>
      <c r="H262" s="279" t="str">
        <f>IF(AC94="","",AC94)</f>
        <v>NA</v>
      </c>
      <c r="I262" s="279" t="str">
        <f>IF(AD94="","",AD94)</f>
        <v>NA</v>
      </c>
      <c r="J262" s="279" t="str">
        <f>IF(AE94="","",AE94)</f>
        <v>NA</v>
      </c>
      <c r="K262" s="279" t="str">
        <f>IF(AF94="","",AF94)</f>
        <v>NA</v>
      </c>
      <c r="L262" s="279" t="str">
        <f>IF(AG94="","",AG94)</f>
        <v>NA</v>
      </c>
      <c r="M262" s="279" t="str">
        <f>IF(AH94="","",AH94)</f>
        <v>NA</v>
      </c>
      <c r="N262" s="279" t="str">
        <f>IF(AI94="","",AI94)</f>
        <v>NA</v>
      </c>
      <c r="U262" s="258"/>
      <c r="V262" s="394"/>
      <c r="W262" s="394"/>
      <c r="X262" s="392"/>
      <c r="Y262" s="395"/>
      <c r="Z262" s="395"/>
      <c r="AA262" s="395"/>
      <c r="AB262" s="395"/>
      <c r="AC262" s="395"/>
      <c r="AD262" s="395"/>
      <c r="AE262" s="395"/>
      <c r="AF262" s="395"/>
      <c r="AG262" s="395"/>
      <c r="AH262" s="395"/>
      <c r="AI262" s="395"/>
    </row>
    <row r="263" spans="2:35" ht="11.25" hidden="1" customHeight="1" outlineLevel="1" x14ac:dyDescent="0.35">
      <c r="B263" s="244" t="s">
        <v>5367</v>
      </c>
      <c r="C263" s="245"/>
      <c r="D263" s="279" t="str">
        <f>IF(Y95="","",Y95)</f>
        <v>NA</v>
      </c>
      <c r="E263" s="279" t="str">
        <f>IF(Z95="","",Z95)</f>
        <v>NA</v>
      </c>
      <c r="F263" s="279" t="str">
        <f>IF(AA95="","",AA95)</f>
        <v>NA</v>
      </c>
      <c r="G263" s="279" t="str">
        <f>IF(AB95="","",AB95)</f>
        <v>NA</v>
      </c>
      <c r="H263" s="279" t="str">
        <f>IF(AC95="","",AC95)</f>
        <v>NA</v>
      </c>
      <c r="I263" s="279" t="str">
        <f>IF(AD95="","",AD95)</f>
        <v>NA</v>
      </c>
      <c r="J263" s="279" t="str">
        <f>IF(AE95="","",AE95)</f>
        <v>NA</v>
      </c>
      <c r="K263" s="279" t="str">
        <f>IF(AF95="","",AF95)</f>
        <v>NA</v>
      </c>
      <c r="L263" s="279" t="str">
        <f>IF(AG95="","",AG95)</f>
        <v>NA</v>
      </c>
      <c r="M263" s="279" t="str">
        <f>IF(AH95="","",AH95)</f>
        <v>NA</v>
      </c>
      <c r="N263" s="279" t="str">
        <f>IF(AI95="","",AI95)</f>
        <v>NA</v>
      </c>
      <c r="U263" s="258"/>
      <c r="V263" s="394"/>
      <c r="W263" s="394"/>
      <c r="X263" s="392"/>
      <c r="Y263" s="395"/>
      <c r="Z263" s="395"/>
      <c r="AA263" s="395"/>
      <c r="AB263" s="395"/>
      <c r="AC263" s="395"/>
      <c r="AD263" s="395"/>
      <c r="AE263" s="395"/>
      <c r="AF263" s="395"/>
      <c r="AG263" s="395"/>
      <c r="AH263" s="395"/>
      <c r="AI263" s="395"/>
    </row>
    <row r="264" spans="2:35" ht="11.25" hidden="1" customHeight="1" outlineLevel="1" x14ac:dyDescent="0.35">
      <c r="B264" s="244" t="s">
        <v>5368</v>
      </c>
      <c r="C264" s="245"/>
      <c r="D264" s="279" t="str">
        <f>IF(Y96="","",Y96)</f>
        <v>NA</v>
      </c>
      <c r="E264" s="279" t="str">
        <f>IF(Z96="","",Z96)</f>
        <v>NA</v>
      </c>
      <c r="F264" s="279" t="str">
        <f>IF(AA96="","",AA96)</f>
        <v>NA</v>
      </c>
      <c r="G264" s="279" t="str">
        <f>IF(AB96="","",AB96)</f>
        <v>NA</v>
      </c>
      <c r="H264" s="279" t="str">
        <f>IF(AC96="","",AC96)</f>
        <v>NA</v>
      </c>
      <c r="I264" s="279" t="str">
        <f>IF(AD96="","",AD96)</f>
        <v>NA</v>
      </c>
      <c r="J264" s="279" t="str">
        <f>IF(AE96="","",AE96)</f>
        <v>NA</v>
      </c>
      <c r="K264" s="279" t="str">
        <f>IF(AF96="","",AF96)</f>
        <v>NA</v>
      </c>
      <c r="L264" s="279" t="str">
        <f>IF(AG96="","",AG96)</f>
        <v>NA</v>
      </c>
      <c r="M264" s="279" t="str">
        <f>IF(AH96="","",AH96)</f>
        <v>NA</v>
      </c>
      <c r="N264" s="279" t="str">
        <f>IF(AI96="","",AI96)</f>
        <v>NA</v>
      </c>
      <c r="U264" s="258"/>
      <c r="V264" s="394"/>
      <c r="W264" s="394"/>
      <c r="X264" s="392"/>
      <c r="Y264" s="395"/>
      <c r="Z264" s="395"/>
      <c r="AA264" s="395"/>
      <c r="AB264" s="395"/>
      <c r="AC264" s="395"/>
      <c r="AD264" s="395"/>
      <c r="AE264" s="395"/>
      <c r="AF264" s="395"/>
      <c r="AG264" s="395"/>
      <c r="AH264" s="395"/>
      <c r="AI264" s="395"/>
    </row>
    <row r="265" spans="2:35" ht="11.25" hidden="1" customHeight="1" outlineLevel="1" x14ac:dyDescent="0.35">
      <c r="B265" s="244" t="s">
        <v>5369</v>
      </c>
      <c r="C265" s="245"/>
      <c r="D265" s="279" t="str">
        <f>IF(Y97="","",Y97)</f>
        <v>NA</v>
      </c>
      <c r="E265" s="279" t="str">
        <f>IF(Z97="","",Z97)</f>
        <v>NA</v>
      </c>
      <c r="F265" s="279" t="str">
        <f>IF(AA97="","",AA97)</f>
        <v>NA</v>
      </c>
      <c r="G265" s="279" t="str">
        <f>IF(AB97="","",AB97)</f>
        <v>NA</v>
      </c>
      <c r="H265" s="279" t="str">
        <f>IF(AC97="","",AC97)</f>
        <v>NA</v>
      </c>
      <c r="I265" s="279" t="str">
        <f>IF(AD97="","",AD97)</f>
        <v>NA</v>
      </c>
      <c r="J265" s="279" t="str">
        <f>IF(AE97="","",AE97)</f>
        <v>NA</v>
      </c>
      <c r="K265" s="279" t="str">
        <f>IF(AF97="","",AF97)</f>
        <v>NA</v>
      </c>
      <c r="L265" s="279" t="str">
        <f>IF(AG97="","",AG97)</f>
        <v>NA</v>
      </c>
      <c r="M265" s="279" t="str">
        <f>IF(AH97="","",AH97)</f>
        <v>NA</v>
      </c>
      <c r="N265" s="279" t="str">
        <f>IF(AI97="","",AI97)</f>
        <v>NA</v>
      </c>
      <c r="U265" s="258"/>
      <c r="V265" s="394"/>
      <c r="W265" s="394"/>
      <c r="X265" s="392"/>
      <c r="Y265" s="395"/>
      <c r="Z265" s="395"/>
      <c r="AA265" s="395"/>
      <c r="AB265" s="395"/>
      <c r="AC265" s="395"/>
      <c r="AD265" s="395"/>
      <c r="AE265" s="395"/>
      <c r="AF265" s="395"/>
      <c r="AG265" s="395"/>
      <c r="AH265" s="395"/>
      <c r="AI265" s="395"/>
    </row>
    <row r="266" spans="2:35" ht="11.25" hidden="1" customHeight="1" outlineLevel="1" x14ac:dyDescent="0.35">
      <c r="B266" s="244" t="s">
        <v>5370</v>
      </c>
      <c r="C266" s="245"/>
      <c r="D266" s="279" t="str">
        <f>IF(Y98="","",Y98)</f>
        <v>NA</v>
      </c>
      <c r="E266" s="279" t="str">
        <f>IF(Z98="","",Z98)</f>
        <v>NA</v>
      </c>
      <c r="F266" s="279" t="str">
        <f>IF(AA98="","",AA98)</f>
        <v>NA</v>
      </c>
      <c r="G266" s="279" t="str">
        <f>IF(AB98="","",AB98)</f>
        <v>NA</v>
      </c>
      <c r="H266" s="279" t="str">
        <f>IF(AC98="","",AC98)</f>
        <v>NA</v>
      </c>
      <c r="I266" s="279" t="str">
        <f>IF(AD98="","",AD98)</f>
        <v>NA</v>
      </c>
      <c r="J266" s="279" t="str">
        <f>IF(AE98="","",AE98)</f>
        <v>NA</v>
      </c>
      <c r="K266" s="279" t="str">
        <f>IF(AF98="","",AF98)</f>
        <v>NA</v>
      </c>
      <c r="L266" s="279" t="str">
        <f>IF(AG98="","",AG98)</f>
        <v>NA</v>
      </c>
      <c r="M266" s="279" t="str">
        <f>IF(AH98="","",AH98)</f>
        <v>NA</v>
      </c>
      <c r="N266" s="279" t="str">
        <f>IF(AI98="","",AI98)</f>
        <v>NA</v>
      </c>
      <c r="U266" s="258"/>
      <c r="V266" s="394"/>
      <c r="W266" s="394"/>
      <c r="X266" s="392"/>
      <c r="Y266" s="395"/>
      <c r="Z266" s="395"/>
      <c r="AA266" s="395"/>
      <c r="AB266" s="395"/>
      <c r="AC266" s="395"/>
      <c r="AD266" s="395"/>
      <c r="AE266" s="395"/>
      <c r="AF266" s="395"/>
      <c r="AG266" s="395"/>
      <c r="AH266" s="395"/>
      <c r="AI266" s="395"/>
    </row>
    <row r="267" spans="2:35" ht="11.25" hidden="1" customHeight="1" outlineLevel="1" x14ac:dyDescent="0.35">
      <c r="B267" s="244" t="s">
        <v>5371</v>
      </c>
      <c r="C267" s="247"/>
      <c r="D267" s="279" t="str">
        <f>IF(Y99="","",Y99)</f>
        <v>NA</v>
      </c>
      <c r="E267" s="279" t="str">
        <f>IF(Z99="","",Z99)</f>
        <v>NA</v>
      </c>
      <c r="F267" s="279" t="str">
        <f>IF(AA99="","",AA99)</f>
        <v>NA</v>
      </c>
      <c r="G267" s="279" t="str">
        <f>IF(AB99="","",AB99)</f>
        <v>NA</v>
      </c>
      <c r="H267" s="279" t="str">
        <f>IF(AC99="","",AC99)</f>
        <v>NA</v>
      </c>
      <c r="I267" s="279" t="str">
        <f>IF(AD99="","",AD99)</f>
        <v>NA</v>
      </c>
      <c r="J267" s="279" t="str">
        <f>IF(AE99="","",AE99)</f>
        <v>NA</v>
      </c>
      <c r="K267" s="279" t="str">
        <f>IF(AF99="","",AF99)</f>
        <v>NA</v>
      </c>
      <c r="L267" s="279" t="str">
        <f>IF(AG99="","",AG99)</f>
        <v>NA</v>
      </c>
      <c r="M267" s="279" t="str">
        <f>IF(AH99="","",AH99)</f>
        <v>NA</v>
      </c>
      <c r="N267" s="279" t="str">
        <f>IF(AI99="","",AI99)</f>
        <v>NA</v>
      </c>
      <c r="U267" s="258"/>
      <c r="V267" s="394"/>
      <c r="W267" s="394"/>
      <c r="X267" s="392"/>
      <c r="Y267" s="395"/>
      <c r="Z267" s="395"/>
      <c r="AA267" s="395"/>
      <c r="AB267" s="395"/>
      <c r="AC267" s="395"/>
      <c r="AD267" s="395"/>
      <c r="AE267" s="395"/>
      <c r="AF267" s="395"/>
      <c r="AG267" s="395"/>
      <c r="AH267" s="395"/>
      <c r="AI267" s="395"/>
    </row>
    <row r="268" spans="2:35" ht="11.25" hidden="1" customHeight="1" outlineLevel="1" x14ac:dyDescent="0.35">
      <c r="B268" s="244" t="s">
        <v>5372</v>
      </c>
      <c r="C268" s="245"/>
      <c r="D268" s="279" t="str">
        <f>IF(Y100="","",Y100)</f>
        <v>NA</v>
      </c>
      <c r="E268" s="279" t="str">
        <f>IF(Z100="","",Z100)</f>
        <v>NA</v>
      </c>
      <c r="F268" s="279" t="str">
        <f>IF(AA100="","",AA100)</f>
        <v>NA</v>
      </c>
      <c r="G268" s="279" t="str">
        <f>IF(AB100="","",AB100)</f>
        <v>NA</v>
      </c>
      <c r="H268" s="279" t="str">
        <f>IF(AC100="","",AC100)</f>
        <v>NA</v>
      </c>
      <c r="I268" s="279" t="str">
        <f>IF(AD100="","",AD100)</f>
        <v>NA</v>
      </c>
      <c r="J268" s="279" t="str">
        <f>IF(AE100="","",AE100)</f>
        <v>NA</v>
      </c>
      <c r="K268" s="279" t="str">
        <f>IF(AF100="","",AF100)</f>
        <v>NA</v>
      </c>
      <c r="L268" s="279" t="str">
        <f>IF(AG100="","",AG100)</f>
        <v>NA</v>
      </c>
      <c r="M268" s="279" t="str">
        <f>IF(AH100="","",AH100)</f>
        <v>NA</v>
      </c>
      <c r="N268" s="279" t="str">
        <f>IF(AI100="","",AI100)</f>
        <v>NA</v>
      </c>
      <c r="U268" s="258"/>
      <c r="V268" s="394"/>
      <c r="W268" s="394"/>
      <c r="X268" s="392"/>
      <c r="Y268" s="395"/>
      <c r="Z268" s="395"/>
      <c r="AA268" s="395"/>
      <c r="AB268" s="395"/>
      <c r="AC268" s="395"/>
      <c r="AD268" s="395"/>
      <c r="AE268" s="395"/>
      <c r="AF268" s="395"/>
      <c r="AG268" s="395"/>
      <c r="AH268" s="395"/>
      <c r="AI268" s="395"/>
    </row>
    <row r="269" spans="2:35" ht="11.25" hidden="1" customHeight="1" outlineLevel="1" x14ac:dyDescent="0.35">
      <c r="B269" s="244"/>
      <c r="C269" s="245"/>
      <c r="D269" s="279"/>
      <c r="E269" s="305"/>
      <c r="F269" s="305"/>
      <c r="G269" s="305"/>
      <c r="H269" s="305"/>
      <c r="I269" s="305"/>
      <c r="J269" s="305"/>
      <c r="K269" s="305"/>
      <c r="L269" s="305"/>
      <c r="M269" s="305"/>
      <c r="N269" s="305"/>
    </row>
    <row r="270" spans="2:35" ht="11.25" customHeight="1" collapsed="1" x14ac:dyDescent="0.35">
      <c r="B270" s="244" t="s">
        <v>4962</v>
      </c>
      <c r="C270" s="245">
        <v>123043</v>
      </c>
      <c r="D270" s="279">
        <v>171733049.15720999</v>
      </c>
      <c r="E270" s="305">
        <v>1078495.423</v>
      </c>
      <c r="F270" s="305">
        <v>453532.03200000001</v>
      </c>
      <c r="G270" s="305">
        <v>3240657.966</v>
      </c>
      <c r="H270" s="305">
        <v>146862.307</v>
      </c>
      <c r="I270" s="305">
        <v>465331.17</v>
      </c>
      <c r="J270" s="305">
        <v>331303.12800000003</v>
      </c>
      <c r="K270" s="305">
        <v>270163.70699999999</v>
      </c>
      <c r="L270" s="305">
        <v>15163.477000000001</v>
      </c>
      <c r="M270" s="305">
        <v>192986.84599999999</v>
      </c>
      <c r="N270" s="305">
        <v>149431.16899999999</v>
      </c>
    </row>
    <row r="271" spans="2:35" ht="11.25" customHeight="1" x14ac:dyDescent="0.35">
      <c r="B271" s="244" t="s">
        <v>5100</v>
      </c>
      <c r="C271" s="245">
        <v>123549</v>
      </c>
      <c r="D271" s="279">
        <v>-14987927.450000001</v>
      </c>
      <c r="E271" s="305">
        <v>0</v>
      </c>
      <c r="F271" s="305">
        <v>0</v>
      </c>
      <c r="G271" s="305">
        <v>-43.222999999999999</v>
      </c>
      <c r="H271" s="305">
        <v>0</v>
      </c>
      <c r="I271" s="305">
        <v>-134827.83000000002</v>
      </c>
      <c r="J271" s="305">
        <v>-10074.907999999999</v>
      </c>
      <c r="K271" s="305">
        <v>-16290.699000000001</v>
      </c>
      <c r="L271" s="305">
        <v>0</v>
      </c>
      <c r="M271" s="305">
        <v>1142.2139999999999</v>
      </c>
      <c r="N271" s="305">
        <v>0</v>
      </c>
    </row>
    <row r="272" spans="2:35" ht="11.25" customHeight="1" x14ac:dyDescent="0.35">
      <c r="B272" s="244" t="s">
        <v>4963</v>
      </c>
      <c r="C272" s="245">
        <v>123550</v>
      </c>
      <c r="D272" s="279">
        <v>34270975.314999998</v>
      </c>
      <c r="E272" s="305">
        <v>0</v>
      </c>
      <c r="F272" s="305">
        <v>0</v>
      </c>
      <c r="G272" s="305">
        <v>6173.1750000000002</v>
      </c>
      <c r="H272" s="305">
        <v>0</v>
      </c>
      <c r="I272" s="305">
        <v>0</v>
      </c>
      <c r="J272" s="305">
        <v>19412.155999999999</v>
      </c>
      <c r="K272" s="305">
        <v>73.168000000000006</v>
      </c>
      <c r="L272" s="305">
        <v>0</v>
      </c>
      <c r="M272" s="305">
        <v>0</v>
      </c>
      <c r="N272" s="305">
        <v>0</v>
      </c>
    </row>
    <row r="273" spans="2:14" ht="11.25" customHeight="1" x14ac:dyDescent="0.35">
      <c r="B273" s="244" t="s">
        <v>5099</v>
      </c>
      <c r="C273" s="247">
        <v>123551</v>
      </c>
      <c r="D273" s="279">
        <v>39701638.667160004</v>
      </c>
      <c r="E273" s="305">
        <v>92735.044999999998</v>
      </c>
      <c r="F273" s="305">
        <v>-812470.50600000005</v>
      </c>
      <c r="G273" s="305">
        <v>320974.79300000001</v>
      </c>
      <c r="H273" s="305">
        <v>55506.86</v>
      </c>
      <c r="I273" s="305">
        <v>104817.87</v>
      </c>
      <c r="J273" s="305">
        <v>31614.784</v>
      </c>
      <c r="K273" s="305">
        <v>19305.931</v>
      </c>
      <c r="L273" s="305">
        <v>7113.47</v>
      </c>
      <c r="M273" s="305">
        <v>222119.37900000002</v>
      </c>
      <c r="N273" s="305">
        <v>3430.8710000000001</v>
      </c>
    </row>
    <row r="274" spans="2:14" ht="11.25" customHeight="1" x14ac:dyDescent="0.35">
      <c r="B274" s="246" t="s">
        <v>4933</v>
      </c>
      <c r="C274" s="247">
        <v>123552</v>
      </c>
      <c r="D274" s="279">
        <v>877991644.98000002</v>
      </c>
      <c r="E274" s="305">
        <v>1457085.777</v>
      </c>
      <c r="F274" s="305">
        <v>251320.16099999999</v>
      </c>
      <c r="G274" s="305">
        <v>22930615.962000001</v>
      </c>
      <c r="H274" s="305">
        <v>2388638.3020000001</v>
      </c>
      <c r="I274" s="305">
        <v>1325136.148</v>
      </c>
      <c r="J274" s="305">
        <v>904353.28500000003</v>
      </c>
      <c r="K274" s="305">
        <v>884035.20000000007</v>
      </c>
      <c r="L274" s="305">
        <v>36607.788</v>
      </c>
      <c r="M274" s="305">
        <v>530261.85199999996</v>
      </c>
      <c r="N274" s="305">
        <v>1430333.2550000001</v>
      </c>
    </row>
    <row r="275" spans="2:14" ht="11.25" customHeight="1" x14ac:dyDescent="0.35">
      <c r="B275" s="244" t="s">
        <v>4946</v>
      </c>
      <c r="C275" s="245"/>
      <c r="D275" s="279"/>
      <c r="E275" s="279"/>
      <c r="F275" s="279"/>
      <c r="G275" s="279"/>
      <c r="H275" s="279"/>
      <c r="I275" s="279"/>
      <c r="J275" s="279"/>
      <c r="K275" s="279"/>
      <c r="L275" s="279"/>
      <c r="M275" s="279"/>
      <c r="N275" s="279"/>
    </row>
    <row r="276" spans="2:14" ht="11.25" customHeight="1" x14ac:dyDescent="0.35">
      <c r="B276" s="246" t="s">
        <v>5098</v>
      </c>
      <c r="C276" s="245"/>
      <c r="D276" s="279"/>
      <c r="E276" s="279"/>
      <c r="F276" s="279"/>
      <c r="G276" s="279"/>
      <c r="H276" s="279"/>
      <c r="I276" s="279"/>
      <c r="J276" s="279"/>
      <c r="K276" s="279"/>
      <c r="L276" s="279"/>
      <c r="M276" s="279"/>
      <c r="N276" s="279"/>
    </row>
    <row r="277" spans="2:14" ht="11.25" customHeight="1" x14ac:dyDescent="0.35">
      <c r="B277" s="244" t="s">
        <v>5097</v>
      </c>
      <c r="C277" s="245"/>
      <c r="D277" s="279">
        <f>IF(LEFT(D$6,4)&gt;"2018",SUM(D300,D313,D326,D339,D352,D365,D378),D284)</f>
        <v>66955613.398000002</v>
      </c>
      <c r="E277" s="279">
        <f>IF(LEFT(E$6,4)&gt;"2018",SUM(E300,E313,E326,E339,E352,E365,E378),E284)</f>
        <v>19198.665000000001</v>
      </c>
      <c r="F277" s="279">
        <f>IF(LEFT(F$6,4)&gt;"2018",SUM(F300,F313,F326,F339,F352,F365,F378),F284)</f>
        <v>261603.658</v>
      </c>
      <c r="G277" s="279">
        <f>IF(LEFT(G$6,4)&gt;"2018",SUM(G300,G313,G326,G339,G352,G365,G378),G284)</f>
        <v>337249.89799999999</v>
      </c>
      <c r="H277" s="279">
        <f>IF(LEFT(H$6,4)&gt;"2018",SUM(H300,H313,H326,H339,H352,H365,H378),H284)</f>
        <v>0</v>
      </c>
      <c r="I277" s="279">
        <f>IF(LEFT(I$6,4)&gt;"2018",SUM(I300,I313,I326,I339,I352,I365,I378),I284)</f>
        <v>76821.108000000007</v>
      </c>
      <c r="J277" s="279">
        <f>IF(LEFT(J$6,4)&gt;"2018",SUM(J300,J313,J326,J339,J352,J365,J378),J284)</f>
        <v>26180.562000000002</v>
      </c>
      <c r="K277" s="279">
        <f>IF(LEFT(K$6,4)&gt;"2018",SUM(K300,K313,K326,K339,K352,K365,K378),K284)</f>
        <v>29869.054</v>
      </c>
      <c r="L277" s="279">
        <f>IF(LEFT(L$6,4)&gt;"2018",SUM(L300,L313,L326,L339,L352,L365,L378),L284)</f>
        <v>4765.9290000000001</v>
      </c>
      <c r="M277" s="279">
        <f>IF(LEFT(M$6,4)&gt;"2018",SUM(M300,M313,M326,M339,M352,M365,M378),M284)</f>
        <v>1784.5119999999999</v>
      </c>
      <c r="N277" s="279">
        <f>IF(LEFT(N$6,4)&gt;"2018",SUM(N300,N313,N326,N339,N352,N365,N378),N284)</f>
        <v>85041.178</v>
      </c>
    </row>
    <row r="278" spans="2:14" ht="11.25" customHeight="1" x14ac:dyDescent="0.35">
      <c r="B278" s="244" t="s">
        <v>5096</v>
      </c>
      <c r="C278" s="245"/>
      <c r="D278" s="279">
        <f>IF(LEFT(D$6,4)&gt;"2018",SUM(D301,D314,D327,D340,D353,D366,D379),D285)</f>
        <v>69629650.667999998</v>
      </c>
      <c r="E278" s="279">
        <f>IF(LEFT(E$6,4)&gt;"2018",SUM(E301,E314,E327,E340,E353,E366,E379),E285)</f>
        <v>765587.77600000007</v>
      </c>
      <c r="F278" s="279">
        <f>IF(LEFT(F$6,4)&gt;"2018",SUM(F301,F314,F327,F340,F353,F366,F379),F285)</f>
        <v>255.524</v>
      </c>
      <c r="G278" s="279">
        <f>IF(LEFT(G$6,4)&gt;"2018",SUM(G301,G314,G327,G340,G353,G366,G379),G285)</f>
        <v>6111.902</v>
      </c>
      <c r="H278" s="279">
        <f>IF(LEFT(H$6,4)&gt;"2018",SUM(H301,H314,H327,H340,H353,H366,H379),H285)</f>
        <v>0</v>
      </c>
      <c r="I278" s="279">
        <f>IF(LEFT(I$6,4)&gt;"2018",SUM(I301,I314,I327,I340,I353,I366,I379),I285)</f>
        <v>82510.099000000002</v>
      </c>
      <c r="J278" s="279">
        <f>IF(LEFT(J$6,4)&gt;"2018",SUM(J301,J314,J327,J340,J353,J366,J379),J285)</f>
        <v>129189.152</v>
      </c>
      <c r="K278" s="279">
        <f>IF(LEFT(K$6,4)&gt;"2018",SUM(K301,K314,K327,K340,K353,K366,K379),K285)</f>
        <v>30912.127</v>
      </c>
      <c r="L278" s="279">
        <f>IF(LEFT(L$6,4)&gt;"2018",SUM(L301,L314,L327,L340,L353,L366,L379),L285)</f>
        <v>2000.1670000000001</v>
      </c>
      <c r="M278" s="279">
        <f>IF(LEFT(M$6,4)&gt;"2018",SUM(M301,M314,M327,M340,M353,M366,M379),M285)</f>
        <v>0</v>
      </c>
      <c r="N278" s="279">
        <f>IF(LEFT(N$6,4)&gt;"2018",SUM(N301,N314,N327,N340,N353,N366,N379),N285)</f>
        <v>6.5250000000000004</v>
      </c>
    </row>
    <row r="279" spans="2:14" ht="11.25" customHeight="1" x14ac:dyDescent="0.35">
      <c r="B279" s="244" t="s">
        <v>5095</v>
      </c>
      <c r="C279" s="245"/>
      <c r="D279" s="279">
        <f>IF(LEFT(D$6,4)&gt;"2018",SUM(D296,D309,D322,D335,D348,D361,D374),D286)</f>
        <v>112706930.15700001</v>
      </c>
      <c r="E279" s="279">
        <f>IF(LEFT(E$6,4)&gt;"2018",SUM(E296,E309,E322,E335,E348,E361,E374),E286)</f>
        <v>458970.28399999999</v>
      </c>
      <c r="F279" s="279">
        <f>IF(LEFT(F$6,4)&gt;"2018",SUM(F296,F309,F322,F335,F348,F361,F374),F286)</f>
        <v>-19.619</v>
      </c>
      <c r="G279" s="279">
        <f>IF(LEFT(G$6,4)&gt;"2018",SUM(G296,G309,G322,G335,G348,G361,G374),G286)</f>
        <v>7507362.9860000005</v>
      </c>
      <c r="H279" s="279">
        <f>IF(LEFT(H$6,4)&gt;"2018",SUM(H296,H309,H322,H335,H348,H361,H374),H286)</f>
        <v>1436911.6230000001</v>
      </c>
      <c r="I279" s="279">
        <f>IF(LEFT(I$6,4)&gt;"2018",SUM(I296,I309,I322,I335,I348,I361,I374),I286)</f>
        <v>234203.80100000001</v>
      </c>
      <c r="J279" s="279">
        <f>IF(LEFT(J$6,4)&gt;"2018",SUM(J296,J309,J322,J335,J348,J361,J374),J286)</f>
        <v>107600.97500000001</v>
      </c>
      <c r="K279" s="279">
        <f>IF(LEFT(K$6,4)&gt;"2018",SUM(K296,K309,K322,K335,K348,K361,K374),K286)</f>
        <v>390719.08100000001</v>
      </c>
      <c r="L279" s="279">
        <f>IF(LEFT(L$6,4)&gt;"2018",SUM(L296,L309,L322,L335,L348,L361,L374),L286)</f>
        <v>8846.4889999999996</v>
      </c>
      <c r="M279" s="279">
        <f>IF(LEFT(M$6,4)&gt;"2018",SUM(M296,M309,M322,M335,M348,M361,M374),M286)</f>
        <v>54002.228000000003</v>
      </c>
      <c r="N279" s="279">
        <f>IF(LEFT(N$6,4)&gt;"2018",SUM(N296,N309,N322,N335,N348,N361,N374),N286)</f>
        <v>459491.01900000003</v>
      </c>
    </row>
    <row r="280" spans="2:14" ht="11.25" customHeight="1" x14ac:dyDescent="0.35">
      <c r="B280" s="244" t="s">
        <v>5462</v>
      </c>
      <c r="C280" s="245"/>
      <c r="D280" s="279">
        <f>IF(LEFT(D$6,4)&gt;"2018","NA",D287)</f>
        <v>597746.83200000005</v>
      </c>
      <c r="E280" s="279">
        <f>IF(LEFT(E$6,4)&gt;"2018","NA",E287)</f>
        <v>-0.80300000000000005</v>
      </c>
      <c r="F280" s="279">
        <f>IF(LEFT(F$6,4)&gt;"2018","NA",F287)</f>
        <v>0</v>
      </c>
      <c r="G280" s="279">
        <f>IF(LEFT(G$6,4)&gt;"2018","NA",G287)</f>
        <v>0</v>
      </c>
      <c r="H280" s="279">
        <f>IF(LEFT(H$6,4)&gt;"2018","NA",H287)</f>
        <v>0</v>
      </c>
      <c r="I280" s="279">
        <f>IF(LEFT(I$6,4)&gt;"2018","NA",I287)</f>
        <v>5.8870000000000005</v>
      </c>
      <c r="J280" s="279">
        <f>IF(LEFT(J$6,4)&gt;"2018","NA",J287)</f>
        <v>0</v>
      </c>
      <c r="K280" s="279">
        <f>IF(LEFT(K$6,4)&gt;"2018","NA",K287)</f>
        <v>0</v>
      </c>
      <c r="L280" s="279">
        <f>IF(LEFT(L$6,4)&gt;"2018","NA",L287)</f>
        <v>0</v>
      </c>
      <c r="M280" s="279">
        <f>IF(LEFT(M$6,4)&gt;"2018","NA",M287)</f>
        <v>0</v>
      </c>
      <c r="N280" s="279">
        <f>IF(LEFT(N$6,4)&gt;"2018","NA",N287)</f>
        <v>0</v>
      </c>
    </row>
    <row r="281" spans="2:14" ht="11.25" customHeight="1" x14ac:dyDescent="0.35">
      <c r="B281" s="244" t="s">
        <v>5093</v>
      </c>
      <c r="C281" s="245"/>
      <c r="D281" s="279">
        <f>IF(LEFT(D$6,4)&gt;"2018",SUM(D297:D299,D310:D312,D323:D325,D336:D338,D349:D351,D362:D364,D375:D377),D288)</f>
        <v>1857781.135</v>
      </c>
      <c r="E281" s="279">
        <f>IF(LEFT(E$6,4)&gt;"2018",SUM(E297:E299,E310:E312,E323:E325,E336:E338,E349:E351,E362:E364,E375:E377),E288)</f>
        <v>0</v>
      </c>
      <c r="F281" s="279">
        <f>IF(LEFT(F$6,4)&gt;"2018",SUM(F297:F299,F310:F312,F323:F325,F336:F338,F349:F351,F362:F364,F375:F377),F288)</f>
        <v>7366.1680000000006</v>
      </c>
      <c r="G281" s="279">
        <f>IF(LEFT(G$6,4)&gt;"2018",SUM(G297:G299,G310:G312,G323:G325,G336:G338,G349:G351,G362:G364,G375:G377),G288)</f>
        <v>0</v>
      </c>
      <c r="H281" s="279">
        <f>IF(LEFT(H$6,4)&gt;"2018",SUM(H297:H299,H310:H312,H323:H325,H336:H338,H349:H351,H362:H364,H375:H377),H288)</f>
        <v>0</v>
      </c>
      <c r="I281" s="279">
        <f>IF(LEFT(I$6,4)&gt;"2018",SUM(I297:I299,I310:I312,I323:I325,I336:I338,I349:I351,I362:I364,I375:I377),I288)</f>
        <v>42.276000000000003</v>
      </c>
      <c r="J281" s="279">
        <f>IF(LEFT(J$6,4)&gt;"2018",SUM(J297:J299,J310:J312,J323:J325,J336:J338,J349:J351,J362:J364,J375:J377),J288)</f>
        <v>8612.44</v>
      </c>
      <c r="K281" s="279">
        <f>IF(LEFT(K$6,4)&gt;"2018",SUM(K297:K299,K310:K312,K323:K325,K336:K338,K349:K351,K362:K364,K375:K377),K288)</f>
        <v>7715.7629999999999</v>
      </c>
      <c r="L281" s="279">
        <f>IF(LEFT(L$6,4)&gt;"2018",SUM(L297:L299,L310:L312,L323:L325,L336:L338,L349:L351,L362:L364,L375:L377),L288)</f>
        <v>0</v>
      </c>
      <c r="M281" s="279">
        <f>IF(LEFT(M$6,4)&gt;"2018",SUM(M297:M299,M310:M312,M323:M325,M336:M338,M349:M351,M362:M364,M375:M377),M288)</f>
        <v>0</v>
      </c>
      <c r="N281" s="279">
        <f>IF(LEFT(N$6,4)&gt;"2018",SUM(N297:N299,N310:N312,N323:N325,N336:N338,N349:N351,N362:N364,N375:N377),N288)</f>
        <v>0</v>
      </c>
    </row>
    <row r="282" spans="2:14" ht="11.25" customHeight="1" x14ac:dyDescent="0.35">
      <c r="B282" s="244" t="s">
        <v>5092</v>
      </c>
      <c r="C282" s="245">
        <v>123558</v>
      </c>
      <c r="D282" s="279">
        <v>251752086.87799999</v>
      </c>
      <c r="E282" s="305">
        <v>1243755.9210000001</v>
      </c>
      <c r="F282" s="305">
        <v>269206.038</v>
      </c>
      <c r="G282" s="305">
        <v>7850724.7860000003</v>
      </c>
      <c r="H282" s="305">
        <v>1436911.6230000001</v>
      </c>
      <c r="I282" s="305">
        <v>393583.17</v>
      </c>
      <c r="J282" s="305">
        <v>271583.12900000002</v>
      </c>
      <c r="K282" s="305">
        <v>459216.02500000002</v>
      </c>
      <c r="L282" s="305">
        <v>15612.585000000001</v>
      </c>
      <c r="M282" s="305">
        <v>55786.74</v>
      </c>
      <c r="N282" s="305">
        <v>544538.723</v>
      </c>
    </row>
    <row r="283" spans="2:14" ht="11.25" customHeight="1" x14ac:dyDescent="0.35">
      <c r="B283" s="244"/>
      <c r="C283" s="245"/>
      <c r="D283" s="279"/>
      <c r="E283" s="305"/>
      <c r="F283" s="305"/>
      <c r="G283" s="305"/>
      <c r="H283" s="305"/>
      <c r="I283" s="305"/>
      <c r="J283" s="305"/>
      <c r="K283" s="305"/>
      <c r="L283" s="305"/>
      <c r="M283" s="305"/>
      <c r="N283" s="305"/>
    </row>
    <row r="284" spans="2:14" ht="11.25" hidden="1" customHeight="1" outlineLevel="1" x14ac:dyDescent="0.35">
      <c r="B284" s="244" t="s">
        <v>5097</v>
      </c>
      <c r="C284" s="245">
        <v>123553</v>
      </c>
      <c r="D284" s="279">
        <v>66955613.398000002</v>
      </c>
      <c r="E284" s="305">
        <v>19198.665000000001</v>
      </c>
      <c r="F284" s="305">
        <v>261603.658</v>
      </c>
      <c r="G284" s="305">
        <v>337249.89799999999</v>
      </c>
      <c r="H284" s="305">
        <v>0</v>
      </c>
      <c r="I284" s="305">
        <v>76821.108000000007</v>
      </c>
      <c r="J284" s="305">
        <v>26180.562000000002</v>
      </c>
      <c r="K284" s="305">
        <v>29869.054</v>
      </c>
      <c r="L284" s="305">
        <v>4765.9290000000001</v>
      </c>
      <c r="M284" s="305">
        <v>1784.5119999999999</v>
      </c>
      <c r="N284" s="305">
        <v>85041.178</v>
      </c>
    </row>
    <row r="285" spans="2:14" ht="11.25" hidden="1" customHeight="1" outlineLevel="1" x14ac:dyDescent="0.35">
      <c r="B285" s="244" t="s">
        <v>5096</v>
      </c>
      <c r="C285" s="245">
        <v>123554</v>
      </c>
      <c r="D285" s="279">
        <v>69629650.667999998</v>
      </c>
      <c r="E285" s="305">
        <v>765587.77600000007</v>
      </c>
      <c r="F285" s="305">
        <v>255.524</v>
      </c>
      <c r="G285" s="305">
        <v>6111.902</v>
      </c>
      <c r="H285" s="305">
        <v>0</v>
      </c>
      <c r="I285" s="305">
        <v>82510.099000000002</v>
      </c>
      <c r="J285" s="305">
        <v>129189.152</v>
      </c>
      <c r="K285" s="305">
        <v>30912.127</v>
      </c>
      <c r="L285" s="305">
        <v>2000.1670000000001</v>
      </c>
      <c r="M285" s="305">
        <v>0</v>
      </c>
      <c r="N285" s="305">
        <v>6.5250000000000004</v>
      </c>
    </row>
    <row r="286" spans="2:14" ht="11.25" hidden="1" customHeight="1" outlineLevel="1" x14ac:dyDescent="0.35">
      <c r="B286" s="244" t="s">
        <v>5095</v>
      </c>
      <c r="C286" s="245">
        <v>123555</v>
      </c>
      <c r="D286" s="279">
        <v>112706930.15700001</v>
      </c>
      <c r="E286" s="305">
        <v>458970.28399999999</v>
      </c>
      <c r="F286" s="305">
        <v>-19.619</v>
      </c>
      <c r="G286" s="305">
        <v>7507362.9860000005</v>
      </c>
      <c r="H286" s="305">
        <v>1436911.6230000001</v>
      </c>
      <c r="I286" s="305">
        <v>234203.80100000001</v>
      </c>
      <c r="J286" s="305">
        <v>107600.97500000001</v>
      </c>
      <c r="K286" s="305">
        <v>390719.08100000001</v>
      </c>
      <c r="L286" s="305">
        <v>8846.4889999999996</v>
      </c>
      <c r="M286" s="305">
        <v>54002.228000000003</v>
      </c>
      <c r="N286" s="305">
        <v>459491.01900000003</v>
      </c>
    </row>
    <row r="287" spans="2:14" ht="11.25" hidden="1" customHeight="1" outlineLevel="1" x14ac:dyDescent="0.35">
      <c r="B287" s="244" t="s">
        <v>5094</v>
      </c>
      <c r="C287" s="245">
        <v>123556</v>
      </c>
      <c r="D287" s="279">
        <v>597746.83200000005</v>
      </c>
      <c r="E287" s="305">
        <v>-0.80300000000000005</v>
      </c>
      <c r="F287" s="305">
        <v>0</v>
      </c>
      <c r="G287" s="305">
        <v>0</v>
      </c>
      <c r="H287" s="305">
        <v>0</v>
      </c>
      <c r="I287" s="305">
        <v>5.8870000000000005</v>
      </c>
      <c r="J287" s="305">
        <v>0</v>
      </c>
      <c r="K287" s="305">
        <v>0</v>
      </c>
      <c r="L287" s="305">
        <v>0</v>
      </c>
      <c r="M287" s="305">
        <v>0</v>
      </c>
      <c r="N287" s="305">
        <v>0</v>
      </c>
    </row>
    <row r="288" spans="2:14" ht="11.25" hidden="1" customHeight="1" outlineLevel="1" x14ac:dyDescent="0.35">
      <c r="B288" s="244" t="s">
        <v>5093</v>
      </c>
      <c r="C288" s="245">
        <v>123557</v>
      </c>
      <c r="D288" s="279">
        <v>1857781.135</v>
      </c>
      <c r="E288" s="305">
        <v>0</v>
      </c>
      <c r="F288" s="305">
        <v>7366.1680000000006</v>
      </c>
      <c r="G288" s="305">
        <v>0</v>
      </c>
      <c r="H288" s="305">
        <v>0</v>
      </c>
      <c r="I288" s="305">
        <v>42.276000000000003</v>
      </c>
      <c r="J288" s="305">
        <v>8612.44</v>
      </c>
      <c r="K288" s="305">
        <v>7715.7629999999999</v>
      </c>
      <c r="L288" s="305">
        <v>0</v>
      </c>
      <c r="M288" s="305">
        <v>0</v>
      </c>
      <c r="N288" s="305">
        <v>0</v>
      </c>
    </row>
    <row r="289" spans="2:35" ht="11.25" hidden="1" customHeight="1" outlineLevel="1" x14ac:dyDescent="0.55000000000000004">
      <c r="B289" s="244"/>
      <c r="C289" s="245"/>
      <c r="D289" s="279"/>
      <c r="E289" s="305"/>
      <c r="F289" s="305"/>
      <c r="G289" s="305"/>
      <c r="H289" s="305"/>
      <c r="I289" s="305"/>
      <c r="J289" s="305"/>
      <c r="K289" s="305"/>
      <c r="L289" s="305"/>
      <c r="M289" s="305"/>
      <c r="N289" s="305"/>
      <c r="U289" s="396" t="str">
        <f ca="1">[1]!snltable(287,$Y$289:$AI$289,$V$291:$V$379,$W$291:$W$379,,"Options:Curr=USD, Mag=Thousands, ConvMethod=SNLrecommended")</f>
        <v>SNLTable</v>
      </c>
      <c r="V289" s="397"/>
      <c r="W289" s="397"/>
      <c r="X289" s="397"/>
      <c r="Y289" s="298" t="str">
        <f ca="1">IF(Entity_Code="","",Entity_Code)</f>
        <v>I36</v>
      </c>
      <c r="Z289" s="298" t="str">
        <f ca="1">IF(Entity_C1="","",Entity_C1)</f>
        <v>C2874</v>
      </c>
      <c r="AA289" s="298" t="str">
        <f ca="1">IF(Entity_C2="","",Entity_C2)</f>
        <v>C5004</v>
      </c>
      <c r="AB289" s="298" t="str">
        <f ca="1">IF(Entity_C3="","",Entity_C3)</f>
        <v>C2093</v>
      </c>
      <c r="AC289" s="298" t="str">
        <f ca="1">IF(Entity_C4="","",Entity_C4)</f>
        <v>C2623</v>
      </c>
      <c r="AD289" s="298" t="str">
        <f ca="1">IF(Entity_C5="","",Entity_C5)</f>
        <v>C3048</v>
      </c>
      <c r="AE289" s="298" t="str">
        <f ca="1">IF(Entity_C6="","",Entity_C6)</f>
        <v>C2409</v>
      </c>
      <c r="AF289" s="298" t="str">
        <f ca="1">IF(Entity_C7="","",Entity_C7)</f>
        <v>C2921</v>
      </c>
      <c r="AG289" s="298" t="str">
        <f ca="1">IF(Entity_C8="","",Entity_C8)</f>
        <v>C2284</v>
      </c>
      <c r="AH289" s="298" t="str">
        <f ca="1">IF(Entity_C9="","",Entity_C9)</f>
        <v>C3613</v>
      </c>
      <c r="AI289" s="298" t="str">
        <f ca="1">IF(Entity_C10="","",Entity_C10)</f>
        <v>C2253</v>
      </c>
    </row>
    <row r="290" spans="2:35" ht="11.25" hidden="1" customHeight="1" outlineLevel="1" x14ac:dyDescent="0.55000000000000004">
      <c r="B290" s="246" t="s">
        <v>5463</v>
      </c>
      <c r="C290" s="245"/>
      <c r="D290" s="335"/>
      <c r="E290" s="335"/>
      <c r="F290" s="335"/>
      <c r="G290" s="335"/>
      <c r="H290" s="335"/>
      <c r="I290" s="335"/>
      <c r="J290" s="335"/>
      <c r="K290" s="335"/>
      <c r="L290" s="335"/>
      <c r="M290" s="335"/>
      <c r="N290" s="335"/>
      <c r="U290" s="403"/>
      <c r="V290" s="400"/>
      <c r="W290" s="400"/>
      <c r="X290" s="400"/>
      <c r="Y290" s="402"/>
      <c r="Z290" s="402"/>
      <c r="AA290" s="402"/>
      <c r="AB290" s="402"/>
      <c r="AC290" s="402"/>
      <c r="AD290" s="402"/>
      <c r="AE290" s="402"/>
      <c r="AF290" s="402"/>
      <c r="AG290" s="402"/>
      <c r="AH290" s="402"/>
      <c r="AI290" s="402"/>
    </row>
    <row r="291" spans="2:35" ht="11.25" hidden="1" customHeight="1" outlineLevel="1" x14ac:dyDescent="0.35">
      <c r="B291" s="244" t="s">
        <v>5365</v>
      </c>
      <c r="C291" s="245"/>
      <c r="D291" s="279" t="str">
        <f>IF(Y291="","",Y291)</f>
        <v>NA</v>
      </c>
      <c r="E291" s="279" t="str">
        <f>IF(Z291="","",Z291)</f>
        <v>NA</v>
      </c>
      <c r="F291" s="279" t="str">
        <f>IF(AA291="","",AA291)</f>
        <v>NA</v>
      </c>
      <c r="G291" s="279" t="str">
        <f>IF(AB291="","",AB291)</f>
        <v>NA</v>
      </c>
      <c r="H291" s="279" t="str">
        <f>IF(AC291="","",AC291)</f>
        <v>NA</v>
      </c>
      <c r="I291" s="279" t="str">
        <f>IF(AD291="","",AD291)</f>
        <v>NA</v>
      </c>
      <c r="J291" s="279" t="str">
        <f>IF(AE291="","",AE291)</f>
        <v>NA</v>
      </c>
      <c r="K291" s="279" t="str">
        <f>IF(AF291="","",AF291)</f>
        <v>NA</v>
      </c>
      <c r="L291" s="279" t="str">
        <f>IF(AG291="","",AG291)</f>
        <v>NA</v>
      </c>
      <c r="M291" s="279" t="str">
        <f>IF(AH291="","",AH291)</f>
        <v>NA</v>
      </c>
      <c r="N291" s="279" t="str">
        <f>IF(AI291="","",AI291)</f>
        <v>NA</v>
      </c>
      <c r="U291" s="384" t="s">
        <v>5463</v>
      </c>
      <c r="V291" s="385" t="s">
        <v>5374</v>
      </c>
      <c r="W291" s="385" t="str">
        <f t="shared" ref="W291:W301" si="4">Period</f>
        <v>2014Y</v>
      </c>
      <c r="X291" s="386" t="str">
        <f>[1]!SNLLabel(287,324672,,"&lt;&gt;360")</f>
        <v>AR: Analysis of Operations All Lines</v>
      </c>
      <c r="Y291" s="387" t="s">
        <v>29</v>
      </c>
      <c r="Z291" s="387" t="s">
        <v>29</v>
      </c>
      <c r="AA291" s="387" t="s">
        <v>29</v>
      </c>
      <c r="AB291" s="387" t="s">
        <v>29</v>
      </c>
      <c r="AC291" s="387" t="s">
        <v>29</v>
      </c>
      <c r="AD291" s="387" t="s">
        <v>29</v>
      </c>
      <c r="AE291" s="387" t="s">
        <v>29</v>
      </c>
      <c r="AF291" s="387" t="s">
        <v>29</v>
      </c>
      <c r="AG291" s="387" t="s">
        <v>29</v>
      </c>
      <c r="AH291" s="387" t="s">
        <v>29</v>
      </c>
      <c r="AI291" s="387" t="s">
        <v>29</v>
      </c>
    </row>
    <row r="292" spans="2:35" ht="11.25" hidden="1" customHeight="1" outlineLevel="1" x14ac:dyDescent="0.35">
      <c r="B292" s="244" t="s">
        <v>5366</v>
      </c>
      <c r="C292" s="245"/>
      <c r="D292" s="279" t="str">
        <f>IF(Y292="","",Y292)</f>
        <v>NA</v>
      </c>
      <c r="E292" s="279" t="str">
        <f>IF(Z292="","",Z292)</f>
        <v>NA</v>
      </c>
      <c r="F292" s="279" t="str">
        <f>IF(AA292="","",AA292)</f>
        <v>NA</v>
      </c>
      <c r="G292" s="279" t="str">
        <f>IF(AB292="","",AB292)</f>
        <v>NA</v>
      </c>
      <c r="H292" s="279" t="str">
        <f>IF(AC292="","",AC292)</f>
        <v>NA</v>
      </c>
      <c r="I292" s="279" t="str">
        <f>IF(AD292="","",AD292)</f>
        <v>NA</v>
      </c>
      <c r="J292" s="279" t="str">
        <f>IF(AE292="","",AE292)</f>
        <v>NA</v>
      </c>
      <c r="K292" s="279" t="str">
        <f>IF(AF292="","",AF292)</f>
        <v>NA</v>
      </c>
      <c r="L292" s="279" t="str">
        <f>IF(AG292="","",AG292)</f>
        <v>NA</v>
      </c>
      <c r="M292" s="279" t="str">
        <f>IF(AH292="","",AH292)</f>
        <v>NA</v>
      </c>
      <c r="N292" s="279" t="str">
        <f>IF(AI292="","",AI292)</f>
        <v>NA</v>
      </c>
      <c r="U292" s="388" t="s">
        <v>5463</v>
      </c>
      <c r="V292" s="389" t="s">
        <v>5374</v>
      </c>
      <c r="W292" s="389" t="str">
        <f t="shared" si="4"/>
        <v>2014Y</v>
      </c>
      <c r="X292" s="390" t="str">
        <f>[1]!SNLLabel(287,324672,,"&lt;&gt;361")</f>
        <v>AR: Individual Life</v>
      </c>
      <c r="Y292" s="391" t="s">
        <v>29</v>
      </c>
      <c r="Z292" s="391" t="s">
        <v>29</v>
      </c>
      <c r="AA292" s="391" t="s">
        <v>29</v>
      </c>
      <c r="AB292" s="391" t="s">
        <v>29</v>
      </c>
      <c r="AC292" s="391" t="s">
        <v>29</v>
      </c>
      <c r="AD292" s="391" t="s">
        <v>29</v>
      </c>
      <c r="AE292" s="391" t="s">
        <v>29</v>
      </c>
      <c r="AF292" s="391" t="s">
        <v>29</v>
      </c>
      <c r="AG292" s="391" t="s">
        <v>29</v>
      </c>
      <c r="AH292" s="391" t="s">
        <v>29</v>
      </c>
      <c r="AI292" s="391" t="s">
        <v>29</v>
      </c>
    </row>
    <row r="293" spans="2:35" ht="11.25" hidden="1" customHeight="1" outlineLevel="1" x14ac:dyDescent="0.35">
      <c r="B293" s="244" t="s">
        <v>5122</v>
      </c>
      <c r="C293" s="245"/>
      <c r="D293" s="279" t="str">
        <f>IF(Y293="","",Y293)</f>
        <v>NA</v>
      </c>
      <c r="E293" s="279" t="str">
        <f>IF(Z293="","",Z293)</f>
        <v>NA</v>
      </c>
      <c r="F293" s="279" t="str">
        <f>IF(AA293="","",AA293)</f>
        <v>NA</v>
      </c>
      <c r="G293" s="279" t="str">
        <f>IF(AB293="","",AB293)</f>
        <v>NA</v>
      </c>
      <c r="H293" s="279" t="str">
        <f>IF(AC293="","",AC293)</f>
        <v>NA</v>
      </c>
      <c r="I293" s="279" t="str">
        <f>IF(AD293="","",AD293)</f>
        <v>NA</v>
      </c>
      <c r="J293" s="279" t="str">
        <f>IF(AE293="","",AE293)</f>
        <v>NA</v>
      </c>
      <c r="K293" s="279" t="str">
        <f>IF(AF293="","",AF293)</f>
        <v>NA</v>
      </c>
      <c r="L293" s="279" t="str">
        <f>IF(AG293="","",AG293)</f>
        <v>NA</v>
      </c>
      <c r="M293" s="279" t="str">
        <f>IF(AH293="","",AH293)</f>
        <v>NA</v>
      </c>
      <c r="N293" s="279" t="str">
        <f>IF(AI293="","",AI293)</f>
        <v>NA</v>
      </c>
      <c r="U293" s="388" t="s">
        <v>5463</v>
      </c>
      <c r="V293" s="389" t="s">
        <v>5374</v>
      </c>
      <c r="W293" s="389" t="str">
        <f t="shared" si="4"/>
        <v>2014Y</v>
      </c>
      <c r="X293" s="390" t="str">
        <f>[1]!SNLLabel(287,324672,,"&lt;&gt;362")</f>
        <v>AR: Group Life</v>
      </c>
      <c r="Y293" s="391" t="s">
        <v>29</v>
      </c>
      <c r="Z293" s="391" t="s">
        <v>29</v>
      </c>
      <c r="AA293" s="391" t="s">
        <v>29</v>
      </c>
      <c r="AB293" s="391" t="s">
        <v>29</v>
      </c>
      <c r="AC293" s="391" t="s">
        <v>29</v>
      </c>
      <c r="AD293" s="391" t="s">
        <v>29</v>
      </c>
      <c r="AE293" s="391" t="s">
        <v>29</v>
      </c>
      <c r="AF293" s="391" t="s">
        <v>29</v>
      </c>
      <c r="AG293" s="391" t="s">
        <v>29</v>
      </c>
      <c r="AH293" s="391" t="s">
        <v>29</v>
      </c>
      <c r="AI293" s="391" t="s">
        <v>29</v>
      </c>
    </row>
    <row r="294" spans="2:35" ht="11.25" hidden="1" customHeight="1" outlineLevel="1" x14ac:dyDescent="0.35">
      <c r="B294" s="244" t="s">
        <v>5124</v>
      </c>
      <c r="C294" s="245"/>
      <c r="D294" s="279" t="str">
        <f>IF(Y294="","",Y294)</f>
        <v>NA</v>
      </c>
      <c r="E294" s="279" t="str">
        <f>IF(Z294="","",Z294)</f>
        <v>NA</v>
      </c>
      <c r="F294" s="279" t="str">
        <f>IF(AA294="","",AA294)</f>
        <v>NA</v>
      </c>
      <c r="G294" s="279" t="str">
        <f>IF(AB294="","",AB294)</f>
        <v>NA</v>
      </c>
      <c r="H294" s="279" t="str">
        <f>IF(AC294="","",AC294)</f>
        <v>NA</v>
      </c>
      <c r="I294" s="279" t="str">
        <f>IF(AD294="","",AD294)</f>
        <v>NA</v>
      </c>
      <c r="J294" s="279" t="str">
        <f>IF(AE294="","",AE294)</f>
        <v>NA</v>
      </c>
      <c r="K294" s="279" t="str">
        <f>IF(AF294="","",AF294)</f>
        <v>NA</v>
      </c>
      <c r="L294" s="279" t="str">
        <f>IF(AG294="","",AG294)</f>
        <v>NA</v>
      </c>
      <c r="M294" s="279" t="str">
        <f>IF(AH294="","",AH294)</f>
        <v>NA</v>
      </c>
      <c r="N294" s="279" t="str">
        <f>IF(AI294="","",AI294)</f>
        <v>NA</v>
      </c>
      <c r="U294" s="388" t="s">
        <v>5463</v>
      </c>
      <c r="V294" s="389" t="s">
        <v>5374</v>
      </c>
      <c r="W294" s="389" t="str">
        <f t="shared" si="4"/>
        <v>2014Y</v>
      </c>
      <c r="X294" s="390" t="str">
        <f>[1]!SNLLabel(287,324672,,"&lt;&gt;363")</f>
        <v>AR: Individual Annuities</v>
      </c>
      <c r="Y294" s="391" t="s">
        <v>29</v>
      </c>
      <c r="Z294" s="391" t="s">
        <v>29</v>
      </c>
      <c r="AA294" s="391" t="s">
        <v>29</v>
      </c>
      <c r="AB294" s="391" t="s">
        <v>29</v>
      </c>
      <c r="AC294" s="391" t="s">
        <v>29</v>
      </c>
      <c r="AD294" s="391" t="s">
        <v>29</v>
      </c>
      <c r="AE294" s="391" t="s">
        <v>29</v>
      </c>
      <c r="AF294" s="391" t="s">
        <v>29</v>
      </c>
      <c r="AG294" s="391" t="s">
        <v>29</v>
      </c>
      <c r="AH294" s="391" t="s">
        <v>29</v>
      </c>
      <c r="AI294" s="391" t="s">
        <v>29</v>
      </c>
    </row>
    <row r="295" spans="2:35" ht="11.25" hidden="1" customHeight="1" outlineLevel="1" x14ac:dyDescent="0.35">
      <c r="B295" s="244" t="s">
        <v>5121</v>
      </c>
      <c r="C295" s="245"/>
      <c r="D295" s="279" t="str">
        <f>IF(Y295="","",Y295)</f>
        <v>NA</v>
      </c>
      <c r="E295" s="279" t="str">
        <f>IF(Z295="","",Z295)</f>
        <v>NA</v>
      </c>
      <c r="F295" s="279" t="str">
        <f>IF(AA295="","",AA295)</f>
        <v>NA</v>
      </c>
      <c r="G295" s="279" t="str">
        <f>IF(AB295="","",AB295)</f>
        <v>NA</v>
      </c>
      <c r="H295" s="279" t="str">
        <f>IF(AC295="","",AC295)</f>
        <v>NA</v>
      </c>
      <c r="I295" s="279" t="str">
        <f>IF(AD295="","",AD295)</f>
        <v>NA</v>
      </c>
      <c r="J295" s="279" t="str">
        <f>IF(AE295="","",AE295)</f>
        <v>NA</v>
      </c>
      <c r="K295" s="279" t="str">
        <f>IF(AF295="","",AF295)</f>
        <v>NA</v>
      </c>
      <c r="L295" s="279" t="str">
        <f>IF(AG295="","",AG295)</f>
        <v>NA</v>
      </c>
      <c r="M295" s="279" t="str">
        <f>IF(AH295="","",AH295)</f>
        <v>NA</v>
      </c>
      <c r="N295" s="279" t="str">
        <f>IF(AI295="","",AI295)</f>
        <v>NA</v>
      </c>
      <c r="U295" s="388" t="s">
        <v>5463</v>
      </c>
      <c r="V295" s="389" t="s">
        <v>5374</v>
      </c>
      <c r="W295" s="389" t="str">
        <f t="shared" si="4"/>
        <v>2014Y</v>
      </c>
      <c r="X295" s="390" t="str">
        <f>[1]!SNLLabel(287,324672,,"&lt;&gt;364")</f>
        <v>AR: Group Annuities</v>
      </c>
      <c r="Y295" s="391" t="s">
        <v>29</v>
      </c>
      <c r="Z295" s="391" t="s">
        <v>29</v>
      </c>
      <c r="AA295" s="391" t="s">
        <v>29</v>
      </c>
      <c r="AB295" s="391" t="s">
        <v>29</v>
      </c>
      <c r="AC295" s="391" t="s">
        <v>29</v>
      </c>
      <c r="AD295" s="391" t="s">
        <v>29</v>
      </c>
      <c r="AE295" s="391" t="s">
        <v>29</v>
      </c>
      <c r="AF295" s="391" t="s">
        <v>29</v>
      </c>
      <c r="AG295" s="391" t="s">
        <v>29</v>
      </c>
      <c r="AH295" s="391" t="s">
        <v>29</v>
      </c>
      <c r="AI295" s="391" t="s">
        <v>29</v>
      </c>
    </row>
    <row r="296" spans="2:35" ht="11.25" hidden="1" customHeight="1" outlineLevel="1" x14ac:dyDescent="0.35">
      <c r="B296" s="244" t="s">
        <v>5367</v>
      </c>
      <c r="C296" s="245"/>
      <c r="D296" s="279" t="str">
        <f>IF(Y296="","",Y296)</f>
        <v>NA</v>
      </c>
      <c r="E296" s="279" t="str">
        <f>IF(Z296="","",Z296)</f>
        <v>NA</v>
      </c>
      <c r="F296" s="279" t="str">
        <f>IF(AA296="","",AA296)</f>
        <v>NA</v>
      </c>
      <c r="G296" s="279" t="str">
        <f>IF(AB296="","",AB296)</f>
        <v>NA</v>
      </c>
      <c r="H296" s="279" t="str">
        <f>IF(AC296="","",AC296)</f>
        <v>NA</v>
      </c>
      <c r="I296" s="279" t="str">
        <f>IF(AD296="","",AD296)</f>
        <v>NA</v>
      </c>
      <c r="J296" s="279" t="str">
        <f>IF(AE296="","",AE296)</f>
        <v>NA</v>
      </c>
      <c r="K296" s="279" t="str">
        <f>IF(AF296="","",AF296)</f>
        <v>NA</v>
      </c>
      <c r="L296" s="279" t="str">
        <f>IF(AG296="","",AG296)</f>
        <v>NA</v>
      </c>
      <c r="M296" s="279" t="str">
        <f>IF(AH296="","",AH296)</f>
        <v>NA</v>
      </c>
      <c r="N296" s="279" t="str">
        <f>IF(AI296="","",AI296)</f>
        <v>NA</v>
      </c>
      <c r="U296" s="388" t="s">
        <v>5463</v>
      </c>
      <c r="V296" s="389" t="s">
        <v>5374</v>
      </c>
      <c r="W296" s="389" t="str">
        <f t="shared" si="4"/>
        <v>2014Y</v>
      </c>
      <c r="X296" s="390" t="str">
        <f>[1]!SNLLabel(287,324672,,"&lt;&gt;365")</f>
        <v>AR: Accident and Health</v>
      </c>
      <c r="Y296" s="391" t="s">
        <v>29</v>
      </c>
      <c r="Z296" s="391" t="s">
        <v>29</v>
      </c>
      <c r="AA296" s="391" t="s">
        <v>29</v>
      </c>
      <c r="AB296" s="391" t="s">
        <v>29</v>
      </c>
      <c r="AC296" s="391" t="s">
        <v>29</v>
      </c>
      <c r="AD296" s="391" t="s">
        <v>29</v>
      </c>
      <c r="AE296" s="391" t="s">
        <v>29</v>
      </c>
      <c r="AF296" s="391" t="s">
        <v>29</v>
      </c>
      <c r="AG296" s="391" t="s">
        <v>29</v>
      </c>
      <c r="AH296" s="391" t="s">
        <v>29</v>
      </c>
      <c r="AI296" s="391" t="s">
        <v>29</v>
      </c>
    </row>
    <row r="297" spans="2:35" ht="11.25" hidden="1" customHeight="1" outlineLevel="1" x14ac:dyDescent="0.35">
      <c r="B297" s="244" t="s">
        <v>5368</v>
      </c>
      <c r="C297" s="245"/>
      <c r="D297" s="279" t="str">
        <f>IF(Y297="","",Y297)</f>
        <v>NA</v>
      </c>
      <c r="E297" s="279" t="str">
        <f>IF(Z297="","",Z297)</f>
        <v>NA</v>
      </c>
      <c r="F297" s="279" t="str">
        <f>IF(AA297="","",AA297)</f>
        <v>NA</v>
      </c>
      <c r="G297" s="279" t="str">
        <f>IF(AB297="","",AB297)</f>
        <v>NA</v>
      </c>
      <c r="H297" s="279" t="str">
        <f>IF(AC297="","",AC297)</f>
        <v>NA</v>
      </c>
      <c r="I297" s="279" t="str">
        <f>IF(AD297="","",AD297)</f>
        <v>NA</v>
      </c>
      <c r="J297" s="279" t="str">
        <f>IF(AE297="","",AE297)</f>
        <v>NA</v>
      </c>
      <c r="K297" s="279" t="str">
        <f>IF(AF297="","",AF297)</f>
        <v>NA</v>
      </c>
      <c r="L297" s="279" t="str">
        <f>IF(AG297="","",AG297)</f>
        <v>NA</v>
      </c>
      <c r="M297" s="279" t="str">
        <f>IF(AH297="","",AH297)</f>
        <v>NA</v>
      </c>
      <c r="N297" s="279" t="str">
        <f>IF(AI297="","",AI297)</f>
        <v>NA</v>
      </c>
      <c r="U297" s="388" t="s">
        <v>5463</v>
      </c>
      <c r="V297" s="389" t="s">
        <v>5374</v>
      </c>
      <c r="W297" s="389" t="str">
        <f t="shared" si="4"/>
        <v>2014Y</v>
      </c>
      <c r="X297" s="390" t="str">
        <f>[1]!SNLLabel(287,324672,,"&lt;&gt;366")</f>
        <v>AR: Fraternal</v>
      </c>
      <c r="Y297" s="391" t="s">
        <v>29</v>
      </c>
      <c r="Z297" s="391" t="s">
        <v>29</v>
      </c>
      <c r="AA297" s="391" t="s">
        <v>29</v>
      </c>
      <c r="AB297" s="391" t="s">
        <v>29</v>
      </c>
      <c r="AC297" s="391" t="s">
        <v>29</v>
      </c>
      <c r="AD297" s="391" t="s">
        <v>29</v>
      </c>
      <c r="AE297" s="391" t="s">
        <v>29</v>
      </c>
      <c r="AF297" s="391" t="s">
        <v>29</v>
      </c>
      <c r="AG297" s="391" t="s">
        <v>29</v>
      </c>
      <c r="AH297" s="391" t="s">
        <v>29</v>
      </c>
      <c r="AI297" s="391" t="s">
        <v>29</v>
      </c>
    </row>
    <row r="298" spans="2:35" ht="11.25" hidden="1" customHeight="1" outlineLevel="1" x14ac:dyDescent="0.35">
      <c r="B298" s="244" t="s">
        <v>5369</v>
      </c>
      <c r="C298" s="245"/>
      <c r="D298" s="279" t="str">
        <f>IF(Y298="","",Y298)</f>
        <v>NA</v>
      </c>
      <c r="E298" s="279" t="str">
        <f>IF(Z298="","",Z298)</f>
        <v>NA</v>
      </c>
      <c r="F298" s="279" t="str">
        <f>IF(AA298="","",AA298)</f>
        <v>NA</v>
      </c>
      <c r="G298" s="279" t="str">
        <f>IF(AB298="","",AB298)</f>
        <v>NA</v>
      </c>
      <c r="H298" s="279" t="str">
        <f>IF(AC298="","",AC298)</f>
        <v>NA</v>
      </c>
      <c r="I298" s="279" t="str">
        <f>IF(AD298="","",AD298)</f>
        <v>NA</v>
      </c>
      <c r="J298" s="279" t="str">
        <f>IF(AE298="","",AE298)</f>
        <v>NA</v>
      </c>
      <c r="K298" s="279" t="str">
        <f>IF(AF298="","",AF298)</f>
        <v>NA</v>
      </c>
      <c r="L298" s="279" t="str">
        <f>IF(AG298="","",AG298)</f>
        <v>NA</v>
      </c>
      <c r="M298" s="279" t="str">
        <f>IF(AH298="","",AH298)</f>
        <v>NA</v>
      </c>
      <c r="N298" s="279" t="str">
        <f>IF(AI298="","",AI298)</f>
        <v>NA</v>
      </c>
      <c r="U298" s="388" t="s">
        <v>5463</v>
      </c>
      <c r="V298" s="389" t="s">
        <v>5374</v>
      </c>
      <c r="W298" s="389" t="str">
        <f t="shared" si="4"/>
        <v>2014Y</v>
      </c>
      <c r="X298" s="390" t="str">
        <f>[1]!SNLLabel(287,324672,,"&lt;&gt;367")</f>
        <v>AR: Other Lines of Business</v>
      </c>
      <c r="Y298" s="391" t="s">
        <v>29</v>
      </c>
      <c r="Z298" s="391" t="s">
        <v>29</v>
      </c>
      <c r="AA298" s="391" t="s">
        <v>29</v>
      </c>
      <c r="AB298" s="391" t="s">
        <v>29</v>
      </c>
      <c r="AC298" s="391" t="s">
        <v>29</v>
      </c>
      <c r="AD298" s="391" t="s">
        <v>29</v>
      </c>
      <c r="AE298" s="391" t="s">
        <v>29</v>
      </c>
      <c r="AF298" s="391" t="s">
        <v>29</v>
      </c>
      <c r="AG298" s="391" t="s">
        <v>29</v>
      </c>
      <c r="AH298" s="391" t="s">
        <v>29</v>
      </c>
      <c r="AI298" s="391" t="s">
        <v>29</v>
      </c>
    </row>
    <row r="299" spans="2:35" ht="11.25" hidden="1" customHeight="1" outlineLevel="1" x14ac:dyDescent="0.35">
      <c r="B299" s="244" t="s">
        <v>5370</v>
      </c>
      <c r="C299" s="245"/>
      <c r="D299" s="279" t="str">
        <f>IF(Y299="","",Y299)</f>
        <v>NA</v>
      </c>
      <c r="E299" s="279" t="str">
        <f>IF(Z299="","",Z299)</f>
        <v>NA</v>
      </c>
      <c r="F299" s="279" t="str">
        <f>IF(AA299="","",AA299)</f>
        <v>NA</v>
      </c>
      <c r="G299" s="279" t="str">
        <f>IF(AB299="","",AB299)</f>
        <v>NA</v>
      </c>
      <c r="H299" s="279" t="str">
        <f>IF(AC299="","",AC299)</f>
        <v>NA</v>
      </c>
      <c r="I299" s="279" t="str">
        <f>IF(AD299="","",AD299)</f>
        <v>NA</v>
      </c>
      <c r="J299" s="279" t="str">
        <f>IF(AE299="","",AE299)</f>
        <v>NA</v>
      </c>
      <c r="K299" s="279" t="str">
        <f>IF(AF299="","",AF299)</f>
        <v>NA</v>
      </c>
      <c r="L299" s="279" t="str">
        <f>IF(AG299="","",AG299)</f>
        <v>NA</v>
      </c>
      <c r="M299" s="279" t="str">
        <f>IF(AH299="","",AH299)</f>
        <v>NA</v>
      </c>
      <c r="N299" s="279" t="str">
        <f>IF(AI299="","",AI299)</f>
        <v>NA</v>
      </c>
      <c r="U299" s="388" t="s">
        <v>5463</v>
      </c>
      <c r="V299" s="389" t="s">
        <v>5374</v>
      </c>
      <c r="W299" s="389" t="str">
        <f t="shared" si="4"/>
        <v>2014Y</v>
      </c>
      <c r="X299" s="390" t="str">
        <f>[1]!SNLLabel(287,324672,,"&lt;&gt;368")</f>
        <v>AR: YRT Mortality Risk Only</v>
      </c>
      <c r="Y299" s="391" t="s">
        <v>29</v>
      </c>
      <c r="Z299" s="391" t="s">
        <v>29</v>
      </c>
      <c r="AA299" s="391" t="s">
        <v>29</v>
      </c>
      <c r="AB299" s="391" t="s">
        <v>29</v>
      </c>
      <c r="AC299" s="391" t="s">
        <v>29</v>
      </c>
      <c r="AD299" s="391" t="s">
        <v>29</v>
      </c>
      <c r="AE299" s="391" t="s">
        <v>29</v>
      </c>
      <c r="AF299" s="391" t="s">
        <v>29</v>
      </c>
      <c r="AG299" s="391" t="s">
        <v>29</v>
      </c>
      <c r="AH299" s="391" t="s">
        <v>29</v>
      </c>
      <c r="AI299" s="391" t="s">
        <v>29</v>
      </c>
    </row>
    <row r="300" spans="2:35" ht="11.25" hidden="1" customHeight="1" outlineLevel="1" x14ac:dyDescent="0.35">
      <c r="B300" s="244" t="s">
        <v>5371</v>
      </c>
      <c r="C300" s="245"/>
      <c r="D300" s="279" t="str">
        <f>IF(Y300="","",Y300)</f>
        <v>NA</v>
      </c>
      <c r="E300" s="279" t="str">
        <f>IF(Z300="","",Z300)</f>
        <v>NA</v>
      </c>
      <c r="F300" s="279" t="str">
        <f>IF(AA300="","",AA300)</f>
        <v>NA</v>
      </c>
      <c r="G300" s="279" t="str">
        <f>IF(AB300="","",AB300)</f>
        <v>NA</v>
      </c>
      <c r="H300" s="279" t="str">
        <f>IF(AC300="","",AC300)</f>
        <v>NA</v>
      </c>
      <c r="I300" s="279" t="str">
        <f>IF(AD300="","",AD300)</f>
        <v>NA</v>
      </c>
      <c r="J300" s="279" t="str">
        <f>IF(AE300="","",AE300)</f>
        <v>NA</v>
      </c>
      <c r="K300" s="279" t="str">
        <f>IF(AF300="","",AF300)</f>
        <v>NA</v>
      </c>
      <c r="L300" s="279" t="str">
        <f>IF(AG300="","",AG300)</f>
        <v>NA</v>
      </c>
      <c r="M300" s="279" t="str">
        <f>IF(AH300="","",AH300)</f>
        <v>NA</v>
      </c>
      <c r="N300" s="279" t="str">
        <f>IF(AI300="","",AI300)</f>
        <v>NA</v>
      </c>
      <c r="U300" s="388" t="s">
        <v>5463</v>
      </c>
      <c r="V300" s="389" t="s">
        <v>5374</v>
      </c>
      <c r="W300" s="389" t="str">
        <f t="shared" si="4"/>
        <v>2014Y</v>
      </c>
      <c r="X300" s="390" t="str">
        <f>[1]!SNLLabel(287,324672,,"&lt;&gt;369")</f>
        <v>AR: Individual and Group Life</v>
      </c>
      <c r="Y300" s="391" t="s">
        <v>29</v>
      </c>
      <c r="Z300" s="391" t="s">
        <v>29</v>
      </c>
      <c r="AA300" s="391" t="s">
        <v>29</v>
      </c>
      <c r="AB300" s="391" t="s">
        <v>29</v>
      </c>
      <c r="AC300" s="391" t="s">
        <v>29</v>
      </c>
      <c r="AD300" s="391" t="s">
        <v>29</v>
      </c>
      <c r="AE300" s="391" t="s">
        <v>29</v>
      </c>
      <c r="AF300" s="391" t="s">
        <v>29</v>
      </c>
      <c r="AG300" s="391" t="s">
        <v>29</v>
      </c>
      <c r="AH300" s="391" t="s">
        <v>29</v>
      </c>
      <c r="AI300" s="391" t="s">
        <v>29</v>
      </c>
    </row>
    <row r="301" spans="2:35" ht="11.25" hidden="1" customHeight="1" outlineLevel="1" x14ac:dyDescent="0.35">
      <c r="B301" s="244" t="s">
        <v>5372</v>
      </c>
      <c r="C301" s="245"/>
      <c r="D301" s="279" t="str">
        <f>IF(Y301="","",Y301)</f>
        <v>NA</v>
      </c>
      <c r="E301" s="279" t="str">
        <f>IF(Z301="","",Z301)</f>
        <v>NA</v>
      </c>
      <c r="F301" s="279" t="str">
        <f>IF(AA301="","",AA301)</f>
        <v>NA</v>
      </c>
      <c r="G301" s="279" t="str">
        <f>IF(AB301="","",AB301)</f>
        <v>NA</v>
      </c>
      <c r="H301" s="279" t="str">
        <f>IF(AC301="","",AC301)</f>
        <v>NA</v>
      </c>
      <c r="I301" s="279" t="str">
        <f>IF(AD301="","",AD301)</f>
        <v>NA</v>
      </c>
      <c r="J301" s="279" t="str">
        <f>IF(AE301="","",AE301)</f>
        <v>NA</v>
      </c>
      <c r="K301" s="279" t="str">
        <f>IF(AF301="","",AF301)</f>
        <v>NA</v>
      </c>
      <c r="L301" s="279" t="str">
        <f>IF(AG301="","",AG301)</f>
        <v>NA</v>
      </c>
      <c r="M301" s="279" t="str">
        <f>IF(AH301="","",AH301)</f>
        <v>NA</v>
      </c>
      <c r="N301" s="279" t="str">
        <f>IF(AI301="","",AI301)</f>
        <v>NA</v>
      </c>
      <c r="U301" s="367" t="s">
        <v>5463</v>
      </c>
      <c r="V301" s="368" t="s">
        <v>5374</v>
      </c>
      <c r="W301" s="368" t="str">
        <f t="shared" si="4"/>
        <v>2014Y</v>
      </c>
      <c r="X301" s="369" t="str">
        <f>[1]!SNLLabel(287,324672,,"&lt;&gt;370")</f>
        <v>AR: Individual and Group Annuities</v>
      </c>
      <c r="Y301" s="371" t="s">
        <v>29</v>
      </c>
      <c r="Z301" s="371" t="s">
        <v>29</v>
      </c>
      <c r="AA301" s="371" t="s">
        <v>29</v>
      </c>
      <c r="AB301" s="371" t="s">
        <v>29</v>
      </c>
      <c r="AC301" s="371" t="s">
        <v>29</v>
      </c>
      <c r="AD301" s="371" t="s">
        <v>29</v>
      </c>
      <c r="AE301" s="371" t="s">
        <v>29</v>
      </c>
      <c r="AF301" s="371" t="s">
        <v>29</v>
      </c>
      <c r="AG301" s="371" t="s">
        <v>29</v>
      </c>
      <c r="AH301" s="371" t="s">
        <v>29</v>
      </c>
      <c r="AI301" s="371" t="s">
        <v>29</v>
      </c>
    </row>
    <row r="302" spans="2:35" ht="11.25" hidden="1" customHeight="1" outlineLevel="1" x14ac:dyDescent="0.35">
      <c r="B302" s="294"/>
      <c r="C302" s="329"/>
      <c r="D302" s="322"/>
      <c r="E302" s="322"/>
      <c r="F302" s="322"/>
      <c r="G302" s="322"/>
      <c r="H302" s="322"/>
      <c r="I302" s="322"/>
      <c r="J302" s="322"/>
      <c r="K302" s="322"/>
      <c r="L302" s="322"/>
      <c r="M302" s="322"/>
      <c r="N302" s="322"/>
    </row>
    <row r="303" spans="2:35" ht="11.25" hidden="1" customHeight="1" outlineLevel="1" x14ac:dyDescent="0.35">
      <c r="B303" s="246" t="s">
        <v>5464</v>
      </c>
      <c r="C303" s="245"/>
      <c r="D303" s="279"/>
      <c r="E303" s="305"/>
      <c r="F303" s="305"/>
      <c r="G303" s="305"/>
      <c r="H303" s="305"/>
      <c r="I303" s="305"/>
      <c r="J303" s="305"/>
      <c r="K303" s="305"/>
      <c r="L303" s="305"/>
      <c r="M303" s="305"/>
      <c r="N303" s="305"/>
    </row>
    <row r="304" spans="2:35" ht="11.25" hidden="1" customHeight="1" outlineLevel="1" x14ac:dyDescent="0.35">
      <c r="B304" s="244" t="s">
        <v>5365</v>
      </c>
      <c r="C304" s="245"/>
      <c r="D304" s="279" t="str">
        <f>IF(Y304="","",Y304)</f>
        <v>NA</v>
      </c>
      <c r="E304" s="279" t="str">
        <f>IF(Z304="","",Z304)</f>
        <v>NA</v>
      </c>
      <c r="F304" s="279" t="str">
        <f>IF(AA304="","",AA304)</f>
        <v>NA</v>
      </c>
      <c r="G304" s="279" t="str">
        <f>IF(AB304="","",AB304)</f>
        <v>NA</v>
      </c>
      <c r="H304" s="279" t="str">
        <f>IF(AC304="","",AC304)</f>
        <v>NA</v>
      </c>
      <c r="I304" s="279" t="str">
        <f>IF(AD304="","",AD304)</f>
        <v>NA</v>
      </c>
      <c r="J304" s="279" t="str">
        <f>IF(AE304="","",AE304)</f>
        <v>NA</v>
      </c>
      <c r="K304" s="279" t="str">
        <f>IF(AF304="","",AF304)</f>
        <v>NA</v>
      </c>
      <c r="L304" s="279" t="str">
        <f>IF(AG304="","",AG304)</f>
        <v>NA</v>
      </c>
      <c r="M304" s="279" t="str">
        <f>IF(AH304="","",AH304)</f>
        <v>NA</v>
      </c>
      <c r="N304" s="279" t="str">
        <f>IF(AI304="","",AI304)</f>
        <v>NA</v>
      </c>
      <c r="U304" s="384" t="s">
        <v>5464</v>
      </c>
      <c r="V304" s="385" t="s">
        <v>5375</v>
      </c>
      <c r="W304" s="385" t="str">
        <f t="shared" ref="W304:W327" si="5">Period</f>
        <v>2014Y</v>
      </c>
      <c r="X304" s="386" t="str">
        <f>[1]!SNLLabel(287,324673,,"&lt;&gt;360")</f>
        <v>AR: Analysis of Operations All Lines</v>
      </c>
      <c r="Y304" s="387" t="s">
        <v>29</v>
      </c>
      <c r="Z304" s="387" t="s">
        <v>29</v>
      </c>
      <c r="AA304" s="387" t="s">
        <v>29</v>
      </c>
      <c r="AB304" s="387" t="s">
        <v>29</v>
      </c>
      <c r="AC304" s="387" t="s">
        <v>29</v>
      </c>
      <c r="AD304" s="387" t="s">
        <v>29</v>
      </c>
      <c r="AE304" s="387" t="s">
        <v>29</v>
      </c>
      <c r="AF304" s="387" t="s">
        <v>29</v>
      </c>
      <c r="AG304" s="387" t="s">
        <v>29</v>
      </c>
      <c r="AH304" s="387" t="s">
        <v>29</v>
      </c>
      <c r="AI304" s="387" t="s">
        <v>29</v>
      </c>
    </row>
    <row r="305" spans="2:35" ht="11.25" hidden="1" customHeight="1" outlineLevel="1" x14ac:dyDescent="0.35">
      <c r="B305" s="244" t="s">
        <v>5366</v>
      </c>
      <c r="C305" s="245"/>
      <c r="D305" s="279" t="str">
        <f>IF(Y305="","",Y305)</f>
        <v>NA</v>
      </c>
      <c r="E305" s="279" t="str">
        <f>IF(Z305="","",Z305)</f>
        <v>NA</v>
      </c>
      <c r="F305" s="279" t="str">
        <f>IF(AA305="","",AA305)</f>
        <v>NA</v>
      </c>
      <c r="G305" s="279" t="str">
        <f>IF(AB305="","",AB305)</f>
        <v>NA</v>
      </c>
      <c r="H305" s="279" t="str">
        <f>IF(AC305="","",AC305)</f>
        <v>NA</v>
      </c>
      <c r="I305" s="279" t="str">
        <f>IF(AD305="","",AD305)</f>
        <v>NA</v>
      </c>
      <c r="J305" s="279" t="str">
        <f>IF(AE305="","",AE305)</f>
        <v>NA</v>
      </c>
      <c r="K305" s="279" t="str">
        <f>IF(AF305="","",AF305)</f>
        <v>NA</v>
      </c>
      <c r="L305" s="279" t="str">
        <f>IF(AG305="","",AG305)</f>
        <v>NA</v>
      </c>
      <c r="M305" s="279" t="str">
        <f>IF(AH305="","",AH305)</f>
        <v>NA</v>
      </c>
      <c r="N305" s="279" t="str">
        <f>IF(AI305="","",AI305)</f>
        <v>NA</v>
      </c>
      <c r="U305" s="388" t="s">
        <v>5464</v>
      </c>
      <c r="V305" s="389" t="s">
        <v>5375</v>
      </c>
      <c r="W305" s="389" t="str">
        <f t="shared" si="5"/>
        <v>2014Y</v>
      </c>
      <c r="X305" s="390" t="str">
        <f>[1]!SNLLabel(287,324673,,"&lt;&gt;361")</f>
        <v>AR: Individual Life</v>
      </c>
      <c r="Y305" s="391" t="s">
        <v>29</v>
      </c>
      <c r="Z305" s="391" t="s">
        <v>29</v>
      </c>
      <c r="AA305" s="391" t="s">
        <v>29</v>
      </c>
      <c r="AB305" s="391" t="s">
        <v>29</v>
      </c>
      <c r="AC305" s="391" t="s">
        <v>29</v>
      </c>
      <c r="AD305" s="391" t="s">
        <v>29</v>
      </c>
      <c r="AE305" s="391" t="s">
        <v>29</v>
      </c>
      <c r="AF305" s="391" t="s">
        <v>29</v>
      </c>
      <c r="AG305" s="391" t="s">
        <v>29</v>
      </c>
      <c r="AH305" s="391" t="s">
        <v>29</v>
      </c>
      <c r="AI305" s="391" t="s">
        <v>29</v>
      </c>
    </row>
    <row r="306" spans="2:35" ht="11.25" hidden="1" customHeight="1" outlineLevel="1" x14ac:dyDescent="0.35">
      <c r="B306" s="244" t="s">
        <v>5122</v>
      </c>
      <c r="C306" s="245"/>
      <c r="D306" s="279" t="str">
        <f>IF(Y306="","",Y306)</f>
        <v>NA</v>
      </c>
      <c r="E306" s="279" t="str">
        <f>IF(Z306="","",Z306)</f>
        <v>NA</v>
      </c>
      <c r="F306" s="279" t="str">
        <f>IF(AA306="","",AA306)</f>
        <v>NA</v>
      </c>
      <c r="G306" s="279" t="str">
        <f>IF(AB306="","",AB306)</f>
        <v>NA</v>
      </c>
      <c r="H306" s="279" t="str">
        <f>IF(AC306="","",AC306)</f>
        <v>NA</v>
      </c>
      <c r="I306" s="279" t="str">
        <f>IF(AD306="","",AD306)</f>
        <v>NA</v>
      </c>
      <c r="J306" s="279" t="str">
        <f>IF(AE306="","",AE306)</f>
        <v>NA</v>
      </c>
      <c r="K306" s="279" t="str">
        <f>IF(AF306="","",AF306)</f>
        <v>NA</v>
      </c>
      <c r="L306" s="279" t="str">
        <f>IF(AG306="","",AG306)</f>
        <v>NA</v>
      </c>
      <c r="M306" s="279" t="str">
        <f>IF(AH306="","",AH306)</f>
        <v>NA</v>
      </c>
      <c r="N306" s="279" t="str">
        <f>IF(AI306="","",AI306)</f>
        <v>NA</v>
      </c>
      <c r="U306" s="388" t="s">
        <v>5464</v>
      </c>
      <c r="V306" s="389" t="s">
        <v>5375</v>
      </c>
      <c r="W306" s="389" t="str">
        <f t="shared" si="5"/>
        <v>2014Y</v>
      </c>
      <c r="X306" s="390" t="str">
        <f>[1]!SNLLabel(287,324673,,"&lt;&gt;362")</f>
        <v>AR: Group Life</v>
      </c>
      <c r="Y306" s="391" t="s">
        <v>29</v>
      </c>
      <c r="Z306" s="391" t="s">
        <v>29</v>
      </c>
      <c r="AA306" s="391" t="s">
        <v>29</v>
      </c>
      <c r="AB306" s="391" t="s">
        <v>29</v>
      </c>
      <c r="AC306" s="391" t="s">
        <v>29</v>
      </c>
      <c r="AD306" s="391" t="s">
        <v>29</v>
      </c>
      <c r="AE306" s="391" t="s">
        <v>29</v>
      </c>
      <c r="AF306" s="391" t="s">
        <v>29</v>
      </c>
      <c r="AG306" s="391" t="s">
        <v>29</v>
      </c>
      <c r="AH306" s="391" t="s">
        <v>29</v>
      </c>
      <c r="AI306" s="391" t="s">
        <v>29</v>
      </c>
    </row>
    <row r="307" spans="2:35" ht="11.25" hidden="1" customHeight="1" outlineLevel="1" x14ac:dyDescent="0.35">
      <c r="B307" s="244" t="s">
        <v>5124</v>
      </c>
      <c r="C307" s="245"/>
      <c r="D307" s="279" t="str">
        <f>IF(Y307="","",Y307)</f>
        <v>NA</v>
      </c>
      <c r="E307" s="279" t="str">
        <f>IF(Z307="","",Z307)</f>
        <v>NA</v>
      </c>
      <c r="F307" s="279" t="str">
        <f>IF(AA307="","",AA307)</f>
        <v>NA</v>
      </c>
      <c r="G307" s="279" t="str">
        <f>IF(AB307="","",AB307)</f>
        <v>NA</v>
      </c>
      <c r="H307" s="279" t="str">
        <f>IF(AC307="","",AC307)</f>
        <v>NA</v>
      </c>
      <c r="I307" s="279" t="str">
        <f>IF(AD307="","",AD307)</f>
        <v>NA</v>
      </c>
      <c r="J307" s="279" t="str">
        <f>IF(AE307="","",AE307)</f>
        <v>NA</v>
      </c>
      <c r="K307" s="279" t="str">
        <f>IF(AF307="","",AF307)</f>
        <v>NA</v>
      </c>
      <c r="L307" s="279" t="str">
        <f>IF(AG307="","",AG307)</f>
        <v>NA</v>
      </c>
      <c r="M307" s="279" t="str">
        <f>IF(AH307="","",AH307)</f>
        <v>NA</v>
      </c>
      <c r="N307" s="279" t="str">
        <f>IF(AI307="","",AI307)</f>
        <v>NA</v>
      </c>
      <c r="U307" s="388" t="s">
        <v>5464</v>
      </c>
      <c r="V307" s="389" t="s">
        <v>5375</v>
      </c>
      <c r="W307" s="389" t="str">
        <f t="shared" si="5"/>
        <v>2014Y</v>
      </c>
      <c r="X307" s="390" t="str">
        <f>[1]!SNLLabel(287,324673,,"&lt;&gt;363")</f>
        <v>AR: Individual Annuities</v>
      </c>
      <c r="Y307" s="391" t="s">
        <v>29</v>
      </c>
      <c r="Z307" s="391" t="s">
        <v>29</v>
      </c>
      <c r="AA307" s="391" t="s">
        <v>29</v>
      </c>
      <c r="AB307" s="391" t="s">
        <v>29</v>
      </c>
      <c r="AC307" s="391" t="s">
        <v>29</v>
      </c>
      <c r="AD307" s="391" t="s">
        <v>29</v>
      </c>
      <c r="AE307" s="391" t="s">
        <v>29</v>
      </c>
      <c r="AF307" s="391" t="s">
        <v>29</v>
      </c>
      <c r="AG307" s="391" t="s">
        <v>29</v>
      </c>
      <c r="AH307" s="391" t="s">
        <v>29</v>
      </c>
      <c r="AI307" s="391" t="s">
        <v>29</v>
      </c>
    </row>
    <row r="308" spans="2:35" ht="11.25" hidden="1" customHeight="1" outlineLevel="1" x14ac:dyDescent="0.35">
      <c r="B308" s="244" t="s">
        <v>5121</v>
      </c>
      <c r="C308" s="245"/>
      <c r="D308" s="279" t="str">
        <f>IF(Y308="","",Y308)</f>
        <v>NA</v>
      </c>
      <c r="E308" s="279" t="str">
        <f>IF(Z308="","",Z308)</f>
        <v>NA</v>
      </c>
      <c r="F308" s="279" t="str">
        <f>IF(AA308="","",AA308)</f>
        <v>NA</v>
      </c>
      <c r="G308" s="279" t="str">
        <f>IF(AB308="","",AB308)</f>
        <v>NA</v>
      </c>
      <c r="H308" s="279" t="str">
        <f>IF(AC308="","",AC308)</f>
        <v>NA</v>
      </c>
      <c r="I308" s="279" t="str">
        <f>IF(AD308="","",AD308)</f>
        <v>NA</v>
      </c>
      <c r="J308" s="279" t="str">
        <f>IF(AE308="","",AE308)</f>
        <v>NA</v>
      </c>
      <c r="K308" s="279" t="str">
        <f>IF(AF308="","",AF308)</f>
        <v>NA</v>
      </c>
      <c r="L308" s="279" t="str">
        <f>IF(AG308="","",AG308)</f>
        <v>NA</v>
      </c>
      <c r="M308" s="279" t="str">
        <f>IF(AH308="","",AH308)</f>
        <v>NA</v>
      </c>
      <c r="N308" s="279" t="str">
        <f>IF(AI308="","",AI308)</f>
        <v>NA</v>
      </c>
      <c r="U308" s="388" t="s">
        <v>5464</v>
      </c>
      <c r="V308" s="389" t="s">
        <v>5375</v>
      </c>
      <c r="W308" s="389" t="str">
        <f t="shared" si="5"/>
        <v>2014Y</v>
      </c>
      <c r="X308" s="390" t="str">
        <f>[1]!SNLLabel(287,324673,,"&lt;&gt;364")</f>
        <v>AR: Group Annuities</v>
      </c>
      <c r="Y308" s="391" t="s">
        <v>29</v>
      </c>
      <c r="Z308" s="391" t="s">
        <v>29</v>
      </c>
      <c r="AA308" s="391" t="s">
        <v>29</v>
      </c>
      <c r="AB308" s="391" t="s">
        <v>29</v>
      </c>
      <c r="AC308" s="391" t="s">
        <v>29</v>
      </c>
      <c r="AD308" s="391" t="s">
        <v>29</v>
      </c>
      <c r="AE308" s="391" t="s">
        <v>29</v>
      </c>
      <c r="AF308" s="391" t="s">
        <v>29</v>
      </c>
      <c r="AG308" s="391" t="s">
        <v>29</v>
      </c>
      <c r="AH308" s="391" t="s">
        <v>29</v>
      </c>
      <c r="AI308" s="391" t="s">
        <v>29</v>
      </c>
    </row>
    <row r="309" spans="2:35" ht="11.25" hidden="1" customHeight="1" outlineLevel="1" x14ac:dyDescent="0.35">
      <c r="B309" s="244" t="s">
        <v>5367</v>
      </c>
      <c r="C309" s="245"/>
      <c r="D309" s="279" t="str">
        <f>IF(Y309="","",Y309)</f>
        <v>NA</v>
      </c>
      <c r="E309" s="279" t="str">
        <f>IF(Z309="","",Z309)</f>
        <v>NA</v>
      </c>
      <c r="F309" s="279" t="str">
        <f>IF(AA309="","",AA309)</f>
        <v>NA</v>
      </c>
      <c r="G309" s="279" t="str">
        <f>IF(AB309="","",AB309)</f>
        <v>NA</v>
      </c>
      <c r="H309" s="279" t="str">
        <f>IF(AC309="","",AC309)</f>
        <v>NA</v>
      </c>
      <c r="I309" s="279" t="str">
        <f>IF(AD309="","",AD309)</f>
        <v>NA</v>
      </c>
      <c r="J309" s="279" t="str">
        <f>IF(AE309="","",AE309)</f>
        <v>NA</v>
      </c>
      <c r="K309" s="279" t="str">
        <f>IF(AF309="","",AF309)</f>
        <v>NA</v>
      </c>
      <c r="L309" s="279" t="str">
        <f>IF(AG309="","",AG309)</f>
        <v>NA</v>
      </c>
      <c r="M309" s="279" t="str">
        <f>IF(AH309="","",AH309)</f>
        <v>NA</v>
      </c>
      <c r="N309" s="279" t="str">
        <f>IF(AI309="","",AI309)</f>
        <v>NA</v>
      </c>
      <c r="U309" s="388" t="s">
        <v>5464</v>
      </c>
      <c r="V309" s="389" t="s">
        <v>5375</v>
      </c>
      <c r="W309" s="389" t="str">
        <f t="shared" si="5"/>
        <v>2014Y</v>
      </c>
      <c r="X309" s="390" t="str">
        <f>[1]!SNLLabel(287,324673,,"&lt;&gt;365")</f>
        <v>AR: Accident and Health</v>
      </c>
      <c r="Y309" s="391" t="s">
        <v>29</v>
      </c>
      <c r="Z309" s="391" t="s">
        <v>29</v>
      </c>
      <c r="AA309" s="391" t="s">
        <v>29</v>
      </c>
      <c r="AB309" s="391" t="s">
        <v>29</v>
      </c>
      <c r="AC309" s="391" t="s">
        <v>29</v>
      </c>
      <c r="AD309" s="391" t="s">
        <v>29</v>
      </c>
      <c r="AE309" s="391" t="s">
        <v>29</v>
      </c>
      <c r="AF309" s="391" t="s">
        <v>29</v>
      </c>
      <c r="AG309" s="391" t="s">
        <v>29</v>
      </c>
      <c r="AH309" s="391" t="s">
        <v>29</v>
      </c>
      <c r="AI309" s="391" t="s">
        <v>29</v>
      </c>
    </row>
    <row r="310" spans="2:35" ht="11.25" hidden="1" customHeight="1" outlineLevel="1" x14ac:dyDescent="0.35">
      <c r="B310" s="244" t="s">
        <v>5368</v>
      </c>
      <c r="C310" s="245"/>
      <c r="D310" s="279" t="str">
        <f>IF(Y310="","",Y310)</f>
        <v>NA</v>
      </c>
      <c r="E310" s="279" t="str">
        <f>IF(Z310="","",Z310)</f>
        <v>NA</v>
      </c>
      <c r="F310" s="279" t="str">
        <f>IF(AA310="","",AA310)</f>
        <v>NA</v>
      </c>
      <c r="G310" s="279" t="str">
        <f>IF(AB310="","",AB310)</f>
        <v>NA</v>
      </c>
      <c r="H310" s="279" t="str">
        <f>IF(AC310="","",AC310)</f>
        <v>NA</v>
      </c>
      <c r="I310" s="279" t="str">
        <f>IF(AD310="","",AD310)</f>
        <v>NA</v>
      </c>
      <c r="J310" s="279" t="str">
        <f>IF(AE310="","",AE310)</f>
        <v>NA</v>
      </c>
      <c r="K310" s="279" t="str">
        <f>IF(AF310="","",AF310)</f>
        <v>NA</v>
      </c>
      <c r="L310" s="279" t="str">
        <f>IF(AG310="","",AG310)</f>
        <v>NA</v>
      </c>
      <c r="M310" s="279" t="str">
        <f>IF(AH310="","",AH310)</f>
        <v>NA</v>
      </c>
      <c r="N310" s="279" t="str">
        <f>IF(AI310="","",AI310)</f>
        <v>NA</v>
      </c>
      <c r="U310" s="388" t="s">
        <v>5464</v>
      </c>
      <c r="V310" s="389" t="s">
        <v>5375</v>
      </c>
      <c r="W310" s="389" t="str">
        <f t="shared" si="5"/>
        <v>2014Y</v>
      </c>
      <c r="X310" s="390" t="str">
        <f>[1]!SNLLabel(287,324673,,"&lt;&gt;366")</f>
        <v>AR: Fraternal</v>
      </c>
      <c r="Y310" s="391" t="s">
        <v>29</v>
      </c>
      <c r="Z310" s="391" t="s">
        <v>29</v>
      </c>
      <c r="AA310" s="391" t="s">
        <v>29</v>
      </c>
      <c r="AB310" s="391" t="s">
        <v>29</v>
      </c>
      <c r="AC310" s="391" t="s">
        <v>29</v>
      </c>
      <c r="AD310" s="391" t="s">
        <v>29</v>
      </c>
      <c r="AE310" s="391" t="s">
        <v>29</v>
      </c>
      <c r="AF310" s="391" t="s">
        <v>29</v>
      </c>
      <c r="AG310" s="391" t="s">
        <v>29</v>
      </c>
      <c r="AH310" s="391" t="s">
        <v>29</v>
      </c>
      <c r="AI310" s="391" t="s">
        <v>29</v>
      </c>
    </row>
    <row r="311" spans="2:35" ht="11.25" hidden="1" customHeight="1" outlineLevel="1" x14ac:dyDescent="0.35">
      <c r="B311" s="244" t="s">
        <v>5369</v>
      </c>
      <c r="C311" s="245"/>
      <c r="D311" s="279" t="str">
        <f>IF(Y311="","",Y311)</f>
        <v>NA</v>
      </c>
      <c r="E311" s="279" t="str">
        <f>IF(Z311="","",Z311)</f>
        <v>NA</v>
      </c>
      <c r="F311" s="279" t="str">
        <f>IF(AA311="","",AA311)</f>
        <v>NA</v>
      </c>
      <c r="G311" s="279" t="str">
        <f>IF(AB311="","",AB311)</f>
        <v>NA</v>
      </c>
      <c r="H311" s="279" t="str">
        <f>IF(AC311="","",AC311)</f>
        <v>NA</v>
      </c>
      <c r="I311" s="279" t="str">
        <f>IF(AD311="","",AD311)</f>
        <v>NA</v>
      </c>
      <c r="J311" s="279" t="str">
        <f>IF(AE311="","",AE311)</f>
        <v>NA</v>
      </c>
      <c r="K311" s="279" t="str">
        <f>IF(AF311="","",AF311)</f>
        <v>NA</v>
      </c>
      <c r="L311" s="279" t="str">
        <f>IF(AG311="","",AG311)</f>
        <v>NA</v>
      </c>
      <c r="M311" s="279" t="str">
        <f>IF(AH311="","",AH311)</f>
        <v>NA</v>
      </c>
      <c r="N311" s="279" t="str">
        <f>IF(AI311="","",AI311)</f>
        <v>NA</v>
      </c>
      <c r="U311" s="388" t="s">
        <v>5464</v>
      </c>
      <c r="V311" s="389" t="s">
        <v>5375</v>
      </c>
      <c r="W311" s="389" t="str">
        <f t="shared" si="5"/>
        <v>2014Y</v>
      </c>
      <c r="X311" s="390" t="str">
        <f>[1]!SNLLabel(287,324673,,"&lt;&gt;367")</f>
        <v>AR: Other Lines of Business</v>
      </c>
      <c r="Y311" s="391" t="s">
        <v>29</v>
      </c>
      <c r="Z311" s="391" t="s">
        <v>29</v>
      </c>
      <c r="AA311" s="391" t="s">
        <v>29</v>
      </c>
      <c r="AB311" s="391" t="s">
        <v>29</v>
      </c>
      <c r="AC311" s="391" t="s">
        <v>29</v>
      </c>
      <c r="AD311" s="391" t="s">
        <v>29</v>
      </c>
      <c r="AE311" s="391" t="s">
        <v>29</v>
      </c>
      <c r="AF311" s="391" t="s">
        <v>29</v>
      </c>
      <c r="AG311" s="391" t="s">
        <v>29</v>
      </c>
      <c r="AH311" s="391" t="s">
        <v>29</v>
      </c>
      <c r="AI311" s="391" t="s">
        <v>29</v>
      </c>
    </row>
    <row r="312" spans="2:35" ht="11.25" hidden="1" customHeight="1" outlineLevel="1" x14ac:dyDescent="0.35">
      <c r="B312" s="244" t="s">
        <v>5370</v>
      </c>
      <c r="C312" s="245"/>
      <c r="D312" s="279" t="str">
        <f>IF(Y312="","",Y312)</f>
        <v>NA</v>
      </c>
      <c r="E312" s="279" t="str">
        <f>IF(Z312="","",Z312)</f>
        <v>NA</v>
      </c>
      <c r="F312" s="279" t="str">
        <f>IF(AA312="","",AA312)</f>
        <v>NA</v>
      </c>
      <c r="G312" s="279" t="str">
        <f>IF(AB312="","",AB312)</f>
        <v>NA</v>
      </c>
      <c r="H312" s="279" t="str">
        <f>IF(AC312="","",AC312)</f>
        <v>NA</v>
      </c>
      <c r="I312" s="279" t="str">
        <f>IF(AD312="","",AD312)</f>
        <v>NA</v>
      </c>
      <c r="J312" s="279" t="str">
        <f>IF(AE312="","",AE312)</f>
        <v>NA</v>
      </c>
      <c r="K312" s="279" t="str">
        <f>IF(AF312="","",AF312)</f>
        <v>NA</v>
      </c>
      <c r="L312" s="279" t="str">
        <f>IF(AG312="","",AG312)</f>
        <v>NA</v>
      </c>
      <c r="M312" s="279" t="str">
        <f>IF(AH312="","",AH312)</f>
        <v>NA</v>
      </c>
      <c r="N312" s="279" t="str">
        <f>IF(AI312="","",AI312)</f>
        <v>NA</v>
      </c>
      <c r="U312" s="388" t="s">
        <v>5464</v>
      </c>
      <c r="V312" s="389" t="s">
        <v>5375</v>
      </c>
      <c r="W312" s="389" t="str">
        <f t="shared" si="5"/>
        <v>2014Y</v>
      </c>
      <c r="X312" s="390" t="str">
        <f>[1]!SNLLabel(287,324673,,"&lt;&gt;368")</f>
        <v>AR: YRT Mortality Risk Only</v>
      </c>
      <c r="Y312" s="391" t="s">
        <v>29</v>
      </c>
      <c r="Z312" s="391" t="s">
        <v>29</v>
      </c>
      <c r="AA312" s="391" t="s">
        <v>29</v>
      </c>
      <c r="AB312" s="391" t="s">
        <v>29</v>
      </c>
      <c r="AC312" s="391" t="s">
        <v>29</v>
      </c>
      <c r="AD312" s="391" t="s">
        <v>29</v>
      </c>
      <c r="AE312" s="391" t="s">
        <v>29</v>
      </c>
      <c r="AF312" s="391" t="s">
        <v>29</v>
      </c>
      <c r="AG312" s="391" t="s">
        <v>29</v>
      </c>
      <c r="AH312" s="391" t="s">
        <v>29</v>
      </c>
      <c r="AI312" s="391" t="s">
        <v>29</v>
      </c>
    </row>
    <row r="313" spans="2:35" ht="11.25" hidden="1" customHeight="1" outlineLevel="1" x14ac:dyDescent="0.35">
      <c r="B313" s="244" t="s">
        <v>5371</v>
      </c>
      <c r="C313" s="245"/>
      <c r="D313" s="279" t="str">
        <f>IF(Y313="","",Y313)</f>
        <v>NA</v>
      </c>
      <c r="E313" s="279" t="str">
        <f>IF(Z313="","",Z313)</f>
        <v>NA</v>
      </c>
      <c r="F313" s="279" t="str">
        <f>IF(AA313="","",AA313)</f>
        <v>NA</v>
      </c>
      <c r="G313" s="279" t="str">
        <f>IF(AB313="","",AB313)</f>
        <v>NA</v>
      </c>
      <c r="H313" s="279" t="str">
        <f>IF(AC313="","",AC313)</f>
        <v>NA</v>
      </c>
      <c r="I313" s="279" t="str">
        <f>IF(AD313="","",AD313)</f>
        <v>NA</v>
      </c>
      <c r="J313" s="279" t="str">
        <f>IF(AE313="","",AE313)</f>
        <v>NA</v>
      </c>
      <c r="K313" s="279" t="str">
        <f>IF(AF313="","",AF313)</f>
        <v>NA</v>
      </c>
      <c r="L313" s="279" t="str">
        <f>IF(AG313="","",AG313)</f>
        <v>NA</v>
      </c>
      <c r="M313" s="279" t="str">
        <f>IF(AH313="","",AH313)</f>
        <v>NA</v>
      </c>
      <c r="N313" s="279" t="str">
        <f>IF(AI313="","",AI313)</f>
        <v>NA</v>
      </c>
      <c r="U313" s="388" t="s">
        <v>5464</v>
      </c>
      <c r="V313" s="389" t="s">
        <v>5375</v>
      </c>
      <c r="W313" s="389" t="str">
        <f t="shared" si="5"/>
        <v>2014Y</v>
      </c>
      <c r="X313" s="390" t="str">
        <f>[1]!SNLLabel(287,324673,,"&lt;&gt;369")</f>
        <v>AR: Individual and Group Life</v>
      </c>
      <c r="Y313" s="391" t="s">
        <v>29</v>
      </c>
      <c r="Z313" s="391" t="s">
        <v>29</v>
      </c>
      <c r="AA313" s="391" t="s">
        <v>29</v>
      </c>
      <c r="AB313" s="391" t="s">
        <v>29</v>
      </c>
      <c r="AC313" s="391" t="s">
        <v>29</v>
      </c>
      <c r="AD313" s="391" t="s">
        <v>29</v>
      </c>
      <c r="AE313" s="391" t="s">
        <v>29</v>
      </c>
      <c r="AF313" s="391" t="s">
        <v>29</v>
      </c>
      <c r="AG313" s="391" t="s">
        <v>29</v>
      </c>
      <c r="AH313" s="391" t="s">
        <v>29</v>
      </c>
      <c r="AI313" s="391" t="s">
        <v>29</v>
      </c>
    </row>
    <row r="314" spans="2:35" ht="11.25" hidden="1" customHeight="1" outlineLevel="1" x14ac:dyDescent="0.35">
      <c r="B314" s="244" t="s">
        <v>5372</v>
      </c>
      <c r="C314" s="245"/>
      <c r="D314" s="279" t="str">
        <f>IF(Y314="","",Y314)</f>
        <v>NA</v>
      </c>
      <c r="E314" s="279" t="str">
        <f>IF(Z314="","",Z314)</f>
        <v>NA</v>
      </c>
      <c r="F314" s="279" t="str">
        <f>IF(AA314="","",AA314)</f>
        <v>NA</v>
      </c>
      <c r="G314" s="279" t="str">
        <f>IF(AB314="","",AB314)</f>
        <v>NA</v>
      </c>
      <c r="H314" s="279" t="str">
        <f>IF(AC314="","",AC314)</f>
        <v>NA</v>
      </c>
      <c r="I314" s="279" t="str">
        <f>IF(AD314="","",AD314)</f>
        <v>NA</v>
      </c>
      <c r="J314" s="279" t="str">
        <f>IF(AE314="","",AE314)</f>
        <v>NA</v>
      </c>
      <c r="K314" s="279" t="str">
        <f>IF(AF314="","",AF314)</f>
        <v>NA</v>
      </c>
      <c r="L314" s="279" t="str">
        <f>IF(AG314="","",AG314)</f>
        <v>NA</v>
      </c>
      <c r="M314" s="279" t="str">
        <f>IF(AH314="","",AH314)</f>
        <v>NA</v>
      </c>
      <c r="N314" s="279" t="str">
        <f>IF(AI314="","",AI314)</f>
        <v>NA</v>
      </c>
      <c r="U314" s="367" t="s">
        <v>5464</v>
      </c>
      <c r="V314" s="368" t="s">
        <v>5375</v>
      </c>
      <c r="W314" s="368" t="str">
        <f t="shared" si="5"/>
        <v>2014Y</v>
      </c>
      <c r="X314" s="369" t="str">
        <f>[1]!SNLLabel(287,324673,,"&lt;&gt;370")</f>
        <v>AR: Individual and Group Annuities</v>
      </c>
      <c r="Y314" s="371" t="s">
        <v>29</v>
      </c>
      <c r="Z314" s="371" t="s">
        <v>29</v>
      </c>
      <c r="AA314" s="371" t="s">
        <v>29</v>
      </c>
      <c r="AB314" s="371" t="s">
        <v>29</v>
      </c>
      <c r="AC314" s="371" t="s">
        <v>29</v>
      </c>
      <c r="AD314" s="371" t="s">
        <v>29</v>
      </c>
      <c r="AE314" s="371" t="s">
        <v>29</v>
      </c>
      <c r="AF314" s="371" t="s">
        <v>29</v>
      </c>
      <c r="AG314" s="371" t="s">
        <v>29</v>
      </c>
      <c r="AH314" s="371" t="s">
        <v>29</v>
      </c>
      <c r="AI314" s="371" t="s">
        <v>29</v>
      </c>
    </row>
    <row r="315" spans="2:35" ht="11.25" hidden="1" customHeight="1" outlineLevel="1" x14ac:dyDescent="0.35">
      <c r="B315" s="244"/>
      <c r="C315" s="245"/>
      <c r="D315" s="279"/>
      <c r="E315" s="305"/>
      <c r="F315" s="305"/>
      <c r="G315" s="305"/>
      <c r="H315" s="305"/>
      <c r="I315" s="305"/>
      <c r="J315" s="305"/>
      <c r="K315" s="305"/>
      <c r="L315" s="305"/>
      <c r="M315" s="305"/>
      <c r="N315" s="305"/>
    </row>
    <row r="316" spans="2:35" ht="11.25" hidden="1" customHeight="1" outlineLevel="1" x14ac:dyDescent="0.35">
      <c r="B316" s="246" t="s">
        <v>5465</v>
      </c>
      <c r="C316" s="245"/>
      <c r="D316" s="279"/>
      <c r="E316" s="305"/>
      <c r="F316" s="305"/>
      <c r="G316" s="305"/>
      <c r="H316" s="305"/>
      <c r="I316" s="305"/>
      <c r="J316" s="305"/>
      <c r="K316" s="305"/>
      <c r="L316" s="305"/>
      <c r="M316" s="305"/>
      <c r="N316" s="305"/>
    </row>
    <row r="317" spans="2:35" ht="11.25" hidden="1" customHeight="1" outlineLevel="1" x14ac:dyDescent="0.35">
      <c r="B317" s="244" t="s">
        <v>5365</v>
      </c>
      <c r="C317" s="245"/>
      <c r="D317" s="279" t="str">
        <f>IF(Y317="","",Y317)</f>
        <v>NA</v>
      </c>
      <c r="E317" s="279" t="str">
        <f>IF(Z317="","",Z317)</f>
        <v>NA</v>
      </c>
      <c r="F317" s="279" t="str">
        <f>IF(AA317="","",AA317)</f>
        <v>NA</v>
      </c>
      <c r="G317" s="279" t="str">
        <f>IF(AB317="","",AB317)</f>
        <v>NA</v>
      </c>
      <c r="H317" s="279" t="str">
        <f>IF(AC317="","",AC317)</f>
        <v>NA</v>
      </c>
      <c r="I317" s="279" t="str">
        <f>IF(AD317="","",AD317)</f>
        <v>NA</v>
      </c>
      <c r="J317" s="279" t="str">
        <f>IF(AE317="","",AE317)</f>
        <v>NA</v>
      </c>
      <c r="K317" s="279" t="str">
        <f>IF(AF317="","",AF317)</f>
        <v>NA</v>
      </c>
      <c r="L317" s="279" t="str">
        <f>IF(AG317="","",AG317)</f>
        <v>NA</v>
      </c>
      <c r="M317" s="279" t="str">
        <f>IF(AH317="","",AH317)</f>
        <v>NA</v>
      </c>
      <c r="N317" s="279" t="str">
        <f>IF(AI317="","",AI317)</f>
        <v>NA</v>
      </c>
      <c r="U317" s="384" t="s">
        <v>5465</v>
      </c>
      <c r="V317" s="385" t="s">
        <v>5376</v>
      </c>
      <c r="W317" s="385" t="str">
        <f t="shared" si="5"/>
        <v>2014Y</v>
      </c>
      <c r="X317" s="386" t="str">
        <f>[1]!SNLLabel(287,324674,,"&lt;&gt;360")</f>
        <v>AR: Analysis of Operations All Lines</v>
      </c>
      <c r="Y317" s="387" t="s">
        <v>29</v>
      </c>
      <c r="Z317" s="387" t="s">
        <v>29</v>
      </c>
      <c r="AA317" s="387" t="s">
        <v>29</v>
      </c>
      <c r="AB317" s="387" t="s">
        <v>29</v>
      </c>
      <c r="AC317" s="387" t="s">
        <v>29</v>
      </c>
      <c r="AD317" s="387" t="s">
        <v>29</v>
      </c>
      <c r="AE317" s="387" t="s">
        <v>29</v>
      </c>
      <c r="AF317" s="387" t="s">
        <v>29</v>
      </c>
      <c r="AG317" s="387" t="s">
        <v>29</v>
      </c>
      <c r="AH317" s="387" t="s">
        <v>29</v>
      </c>
      <c r="AI317" s="387" t="s">
        <v>29</v>
      </c>
    </row>
    <row r="318" spans="2:35" ht="11.25" hidden="1" customHeight="1" outlineLevel="1" x14ac:dyDescent="0.35">
      <c r="B318" s="244" t="s">
        <v>5366</v>
      </c>
      <c r="C318" s="245"/>
      <c r="D318" s="279" t="str">
        <f>IF(Y318="","",Y318)</f>
        <v>NA</v>
      </c>
      <c r="E318" s="279" t="str">
        <f>IF(Z318="","",Z318)</f>
        <v>NA</v>
      </c>
      <c r="F318" s="279" t="str">
        <f>IF(AA318="","",AA318)</f>
        <v>NA</v>
      </c>
      <c r="G318" s="279" t="str">
        <f>IF(AB318="","",AB318)</f>
        <v>NA</v>
      </c>
      <c r="H318" s="279" t="str">
        <f>IF(AC318="","",AC318)</f>
        <v>NA</v>
      </c>
      <c r="I318" s="279" t="str">
        <f>IF(AD318="","",AD318)</f>
        <v>NA</v>
      </c>
      <c r="J318" s="279" t="str">
        <f>IF(AE318="","",AE318)</f>
        <v>NA</v>
      </c>
      <c r="K318" s="279" t="str">
        <f>IF(AF318="","",AF318)</f>
        <v>NA</v>
      </c>
      <c r="L318" s="279" t="str">
        <f>IF(AG318="","",AG318)</f>
        <v>NA</v>
      </c>
      <c r="M318" s="279" t="str">
        <f>IF(AH318="","",AH318)</f>
        <v>NA</v>
      </c>
      <c r="N318" s="279" t="str">
        <f>IF(AI318="","",AI318)</f>
        <v>NA</v>
      </c>
      <c r="U318" s="388" t="s">
        <v>5465</v>
      </c>
      <c r="V318" s="389" t="s">
        <v>5376</v>
      </c>
      <c r="W318" s="389" t="str">
        <f t="shared" si="5"/>
        <v>2014Y</v>
      </c>
      <c r="X318" s="390" t="str">
        <f>[1]!SNLLabel(287,324674,,"&lt;&gt;361")</f>
        <v>AR: Individual Life</v>
      </c>
      <c r="Y318" s="391" t="s">
        <v>29</v>
      </c>
      <c r="Z318" s="391" t="s">
        <v>29</v>
      </c>
      <c r="AA318" s="391" t="s">
        <v>29</v>
      </c>
      <c r="AB318" s="391" t="s">
        <v>29</v>
      </c>
      <c r="AC318" s="391" t="s">
        <v>29</v>
      </c>
      <c r="AD318" s="391" t="s">
        <v>29</v>
      </c>
      <c r="AE318" s="391" t="s">
        <v>29</v>
      </c>
      <c r="AF318" s="391" t="s">
        <v>29</v>
      </c>
      <c r="AG318" s="391" t="s">
        <v>29</v>
      </c>
      <c r="AH318" s="391" t="s">
        <v>29</v>
      </c>
      <c r="AI318" s="391" t="s">
        <v>29</v>
      </c>
    </row>
    <row r="319" spans="2:35" ht="11.25" hidden="1" customHeight="1" outlineLevel="1" x14ac:dyDescent="0.35">
      <c r="B319" s="244" t="s">
        <v>5122</v>
      </c>
      <c r="C319" s="245"/>
      <c r="D319" s="279" t="str">
        <f>IF(Y319="","",Y319)</f>
        <v>NA</v>
      </c>
      <c r="E319" s="279" t="str">
        <f>IF(Z319="","",Z319)</f>
        <v>NA</v>
      </c>
      <c r="F319" s="279" t="str">
        <f>IF(AA319="","",AA319)</f>
        <v>NA</v>
      </c>
      <c r="G319" s="279" t="str">
        <f>IF(AB319="","",AB319)</f>
        <v>NA</v>
      </c>
      <c r="H319" s="279" t="str">
        <f>IF(AC319="","",AC319)</f>
        <v>NA</v>
      </c>
      <c r="I319" s="279" t="str">
        <f>IF(AD319="","",AD319)</f>
        <v>NA</v>
      </c>
      <c r="J319" s="279" t="str">
        <f>IF(AE319="","",AE319)</f>
        <v>NA</v>
      </c>
      <c r="K319" s="279" t="str">
        <f>IF(AF319="","",AF319)</f>
        <v>NA</v>
      </c>
      <c r="L319" s="279" t="str">
        <f>IF(AG319="","",AG319)</f>
        <v>NA</v>
      </c>
      <c r="M319" s="279" t="str">
        <f>IF(AH319="","",AH319)</f>
        <v>NA</v>
      </c>
      <c r="N319" s="279" t="str">
        <f>IF(AI319="","",AI319)</f>
        <v>NA</v>
      </c>
      <c r="U319" s="388" t="s">
        <v>5465</v>
      </c>
      <c r="V319" s="389" t="s">
        <v>5376</v>
      </c>
      <c r="W319" s="389" t="str">
        <f t="shared" si="5"/>
        <v>2014Y</v>
      </c>
      <c r="X319" s="390" t="str">
        <f>[1]!SNLLabel(287,324674,,"&lt;&gt;362")</f>
        <v>AR: Group Life</v>
      </c>
      <c r="Y319" s="391" t="s">
        <v>29</v>
      </c>
      <c r="Z319" s="391" t="s">
        <v>29</v>
      </c>
      <c r="AA319" s="391" t="s">
        <v>29</v>
      </c>
      <c r="AB319" s="391" t="s">
        <v>29</v>
      </c>
      <c r="AC319" s="391" t="s">
        <v>29</v>
      </c>
      <c r="AD319" s="391" t="s">
        <v>29</v>
      </c>
      <c r="AE319" s="391" t="s">
        <v>29</v>
      </c>
      <c r="AF319" s="391" t="s">
        <v>29</v>
      </c>
      <c r="AG319" s="391" t="s">
        <v>29</v>
      </c>
      <c r="AH319" s="391" t="s">
        <v>29</v>
      </c>
      <c r="AI319" s="391" t="s">
        <v>29</v>
      </c>
    </row>
    <row r="320" spans="2:35" ht="11.25" hidden="1" customHeight="1" outlineLevel="1" x14ac:dyDescent="0.35">
      <c r="B320" s="244" t="s">
        <v>5124</v>
      </c>
      <c r="C320" s="245"/>
      <c r="D320" s="279" t="str">
        <f>IF(Y320="","",Y320)</f>
        <v>NA</v>
      </c>
      <c r="E320" s="279" t="str">
        <f>IF(Z320="","",Z320)</f>
        <v>NA</v>
      </c>
      <c r="F320" s="279" t="str">
        <f>IF(AA320="","",AA320)</f>
        <v>NA</v>
      </c>
      <c r="G320" s="279" t="str">
        <f>IF(AB320="","",AB320)</f>
        <v>NA</v>
      </c>
      <c r="H320" s="279" t="str">
        <f>IF(AC320="","",AC320)</f>
        <v>NA</v>
      </c>
      <c r="I320" s="279" t="str">
        <f>IF(AD320="","",AD320)</f>
        <v>NA</v>
      </c>
      <c r="J320" s="279" t="str">
        <f>IF(AE320="","",AE320)</f>
        <v>NA</v>
      </c>
      <c r="K320" s="279" t="str">
        <f>IF(AF320="","",AF320)</f>
        <v>NA</v>
      </c>
      <c r="L320" s="279" t="str">
        <f>IF(AG320="","",AG320)</f>
        <v>NA</v>
      </c>
      <c r="M320" s="279" t="str">
        <f>IF(AH320="","",AH320)</f>
        <v>NA</v>
      </c>
      <c r="N320" s="279" t="str">
        <f>IF(AI320="","",AI320)</f>
        <v>NA</v>
      </c>
      <c r="U320" s="388" t="s">
        <v>5465</v>
      </c>
      <c r="V320" s="389" t="s">
        <v>5376</v>
      </c>
      <c r="W320" s="389" t="str">
        <f t="shared" si="5"/>
        <v>2014Y</v>
      </c>
      <c r="X320" s="390" t="str">
        <f>[1]!SNLLabel(287,324674,,"&lt;&gt;363")</f>
        <v>AR: Individual Annuities</v>
      </c>
      <c r="Y320" s="391" t="s">
        <v>29</v>
      </c>
      <c r="Z320" s="391" t="s">
        <v>29</v>
      </c>
      <c r="AA320" s="391" t="s">
        <v>29</v>
      </c>
      <c r="AB320" s="391" t="s">
        <v>29</v>
      </c>
      <c r="AC320" s="391" t="s">
        <v>29</v>
      </c>
      <c r="AD320" s="391" t="s">
        <v>29</v>
      </c>
      <c r="AE320" s="391" t="s">
        <v>29</v>
      </c>
      <c r="AF320" s="391" t="s">
        <v>29</v>
      </c>
      <c r="AG320" s="391" t="s">
        <v>29</v>
      </c>
      <c r="AH320" s="391" t="s">
        <v>29</v>
      </c>
      <c r="AI320" s="391" t="s">
        <v>29</v>
      </c>
    </row>
    <row r="321" spans="2:35" ht="11.25" hidden="1" customHeight="1" outlineLevel="1" x14ac:dyDescent="0.35">
      <c r="B321" s="244" t="s">
        <v>5121</v>
      </c>
      <c r="C321" s="245"/>
      <c r="D321" s="279" t="str">
        <f>IF(Y321="","",Y321)</f>
        <v>NA</v>
      </c>
      <c r="E321" s="279" t="str">
        <f>IF(Z321="","",Z321)</f>
        <v>NA</v>
      </c>
      <c r="F321" s="279" t="str">
        <f>IF(AA321="","",AA321)</f>
        <v>NA</v>
      </c>
      <c r="G321" s="279" t="str">
        <f>IF(AB321="","",AB321)</f>
        <v>NA</v>
      </c>
      <c r="H321" s="279" t="str">
        <f>IF(AC321="","",AC321)</f>
        <v>NA</v>
      </c>
      <c r="I321" s="279" t="str">
        <f>IF(AD321="","",AD321)</f>
        <v>NA</v>
      </c>
      <c r="J321" s="279" t="str">
        <f>IF(AE321="","",AE321)</f>
        <v>NA</v>
      </c>
      <c r="K321" s="279" t="str">
        <f>IF(AF321="","",AF321)</f>
        <v>NA</v>
      </c>
      <c r="L321" s="279" t="str">
        <f>IF(AG321="","",AG321)</f>
        <v>NA</v>
      </c>
      <c r="M321" s="279" t="str">
        <f>IF(AH321="","",AH321)</f>
        <v>NA</v>
      </c>
      <c r="N321" s="279" t="str">
        <f>IF(AI321="","",AI321)</f>
        <v>NA</v>
      </c>
      <c r="U321" s="388" t="s">
        <v>5465</v>
      </c>
      <c r="V321" s="389" t="s">
        <v>5376</v>
      </c>
      <c r="W321" s="389" t="str">
        <f t="shared" si="5"/>
        <v>2014Y</v>
      </c>
      <c r="X321" s="390" t="str">
        <f>[1]!SNLLabel(287,324674,,"&lt;&gt;364")</f>
        <v>AR: Group Annuities</v>
      </c>
      <c r="Y321" s="391" t="s">
        <v>29</v>
      </c>
      <c r="Z321" s="391" t="s">
        <v>29</v>
      </c>
      <c r="AA321" s="391" t="s">
        <v>29</v>
      </c>
      <c r="AB321" s="391" t="s">
        <v>29</v>
      </c>
      <c r="AC321" s="391" t="s">
        <v>29</v>
      </c>
      <c r="AD321" s="391" t="s">
        <v>29</v>
      </c>
      <c r="AE321" s="391" t="s">
        <v>29</v>
      </c>
      <c r="AF321" s="391" t="s">
        <v>29</v>
      </c>
      <c r="AG321" s="391" t="s">
        <v>29</v>
      </c>
      <c r="AH321" s="391" t="s">
        <v>29</v>
      </c>
      <c r="AI321" s="391" t="s">
        <v>29</v>
      </c>
    </row>
    <row r="322" spans="2:35" ht="11.25" hidden="1" customHeight="1" outlineLevel="1" x14ac:dyDescent="0.35">
      <c r="B322" s="244" t="s">
        <v>5367</v>
      </c>
      <c r="C322" s="245"/>
      <c r="D322" s="279" t="str">
        <f>IF(Y322="","",Y322)</f>
        <v>NA</v>
      </c>
      <c r="E322" s="279" t="str">
        <f>IF(Z322="","",Z322)</f>
        <v>NA</v>
      </c>
      <c r="F322" s="279" t="str">
        <f>IF(AA322="","",AA322)</f>
        <v>NA</v>
      </c>
      <c r="G322" s="279" t="str">
        <f>IF(AB322="","",AB322)</f>
        <v>NA</v>
      </c>
      <c r="H322" s="279" t="str">
        <f>IF(AC322="","",AC322)</f>
        <v>NA</v>
      </c>
      <c r="I322" s="279" t="str">
        <f>IF(AD322="","",AD322)</f>
        <v>NA</v>
      </c>
      <c r="J322" s="279" t="str">
        <f>IF(AE322="","",AE322)</f>
        <v>NA</v>
      </c>
      <c r="K322" s="279" t="str">
        <f>IF(AF322="","",AF322)</f>
        <v>NA</v>
      </c>
      <c r="L322" s="279" t="str">
        <f>IF(AG322="","",AG322)</f>
        <v>NA</v>
      </c>
      <c r="M322" s="279" t="str">
        <f>IF(AH322="","",AH322)</f>
        <v>NA</v>
      </c>
      <c r="N322" s="279" t="str">
        <f>IF(AI322="","",AI322)</f>
        <v>NA</v>
      </c>
      <c r="U322" s="388" t="s">
        <v>5465</v>
      </c>
      <c r="V322" s="389" t="s">
        <v>5376</v>
      </c>
      <c r="W322" s="389" t="str">
        <f t="shared" si="5"/>
        <v>2014Y</v>
      </c>
      <c r="X322" s="390" t="str">
        <f>[1]!SNLLabel(287,324674,,"&lt;&gt;365")</f>
        <v>AR: Accident and Health</v>
      </c>
      <c r="Y322" s="391" t="s">
        <v>29</v>
      </c>
      <c r="Z322" s="391" t="s">
        <v>29</v>
      </c>
      <c r="AA322" s="391" t="s">
        <v>29</v>
      </c>
      <c r="AB322" s="391" t="s">
        <v>29</v>
      </c>
      <c r="AC322" s="391" t="s">
        <v>29</v>
      </c>
      <c r="AD322" s="391" t="s">
        <v>29</v>
      </c>
      <c r="AE322" s="391" t="s">
        <v>29</v>
      </c>
      <c r="AF322" s="391" t="s">
        <v>29</v>
      </c>
      <c r="AG322" s="391" t="s">
        <v>29</v>
      </c>
      <c r="AH322" s="391" t="s">
        <v>29</v>
      </c>
      <c r="AI322" s="391" t="s">
        <v>29</v>
      </c>
    </row>
    <row r="323" spans="2:35" ht="11.25" hidden="1" customHeight="1" outlineLevel="1" x14ac:dyDescent="0.35">
      <c r="B323" s="244" t="s">
        <v>5368</v>
      </c>
      <c r="C323" s="245"/>
      <c r="D323" s="279" t="str">
        <f>IF(Y323="","",Y323)</f>
        <v>NA</v>
      </c>
      <c r="E323" s="279" t="str">
        <f>IF(Z323="","",Z323)</f>
        <v>NA</v>
      </c>
      <c r="F323" s="279" t="str">
        <f>IF(AA323="","",AA323)</f>
        <v>NA</v>
      </c>
      <c r="G323" s="279" t="str">
        <f>IF(AB323="","",AB323)</f>
        <v>NA</v>
      </c>
      <c r="H323" s="279" t="str">
        <f>IF(AC323="","",AC323)</f>
        <v>NA</v>
      </c>
      <c r="I323" s="279" t="str">
        <f>IF(AD323="","",AD323)</f>
        <v>NA</v>
      </c>
      <c r="J323" s="279" t="str">
        <f>IF(AE323="","",AE323)</f>
        <v>NA</v>
      </c>
      <c r="K323" s="279" t="str">
        <f>IF(AF323="","",AF323)</f>
        <v>NA</v>
      </c>
      <c r="L323" s="279" t="str">
        <f>IF(AG323="","",AG323)</f>
        <v>NA</v>
      </c>
      <c r="M323" s="279" t="str">
        <f>IF(AH323="","",AH323)</f>
        <v>NA</v>
      </c>
      <c r="N323" s="279" t="str">
        <f>IF(AI323="","",AI323)</f>
        <v>NA</v>
      </c>
      <c r="U323" s="388" t="s">
        <v>5465</v>
      </c>
      <c r="V323" s="389" t="s">
        <v>5376</v>
      </c>
      <c r="W323" s="389" t="str">
        <f t="shared" si="5"/>
        <v>2014Y</v>
      </c>
      <c r="X323" s="390" t="str">
        <f>[1]!SNLLabel(287,324674,,"&lt;&gt;366")</f>
        <v>AR: Fraternal</v>
      </c>
      <c r="Y323" s="391" t="s">
        <v>29</v>
      </c>
      <c r="Z323" s="391" t="s">
        <v>29</v>
      </c>
      <c r="AA323" s="391" t="s">
        <v>29</v>
      </c>
      <c r="AB323" s="391" t="s">
        <v>29</v>
      </c>
      <c r="AC323" s="391" t="s">
        <v>29</v>
      </c>
      <c r="AD323" s="391" t="s">
        <v>29</v>
      </c>
      <c r="AE323" s="391" t="s">
        <v>29</v>
      </c>
      <c r="AF323" s="391" t="s">
        <v>29</v>
      </c>
      <c r="AG323" s="391" t="s">
        <v>29</v>
      </c>
      <c r="AH323" s="391" t="s">
        <v>29</v>
      </c>
      <c r="AI323" s="391" t="s">
        <v>29</v>
      </c>
    </row>
    <row r="324" spans="2:35" ht="11.25" hidden="1" customHeight="1" outlineLevel="1" x14ac:dyDescent="0.35">
      <c r="B324" s="244" t="s">
        <v>5369</v>
      </c>
      <c r="C324" s="245"/>
      <c r="D324" s="279" t="str">
        <f>IF(Y324="","",Y324)</f>
        <v>NA</v>
      </c>
      <c r="E324" s="279" t="str">
        <f>IF(Z324="","",Z324)</f>
        <v>NA</v>
      </c>
      <c r="F324" s="279" t="str">
        <f>IF(AA324="","",AA324)</f>
        <v>NA</v>
      </c>
      <c r="G324" s="279" t="str">
        <f>IF(AB324="","",AB324)</f>
        <v>NA</v>
      </c>
      <c r="H324" s="279" t="str">
        <f>IF(AC324="","",AC324)</f>
        <v>NA</v>
      </c>
      <c r="I324" s="279" t="str">
        <f>IF(AD324="","",AD324)</f>
        <v>NA</v>
      </c>
      <c r="J324" s="279" t="str">
        <f>IF(AE324="","",AE324)</f>
        <v>NA</v>
      </c>
      <c r="K324" s="279" t="str">
        <f>IF(AF324="","",AF324)</f>
        <v>NA</v>
      </c>
      <c r="L324" s="279" t="str">
        <f>IF(AG324="","",AG324)</f>
        <v>NA</v>
      </c>
      <c r="M324" s="279" t="str">
        <f>IF(AH324="","",AH324)</f>
        <v>NA</v>
      </c>
      <c r="N324" s="279" t="str">
        <f>IF(AI324="","",AI324)</f>
        <v>NA</v>
      </c>
      <c r="U324" s="388" t="s">
        <v>5465</v>
      </c>
      <c r="V324" s="389" t="s">
        <v>5376</v>
      </c>
      <c r="W324" s="389" t="str">
        <f t="shared" si="5"/>
        <v>2014Y</v>
      </c>
      <c r="X324" s="390" t="str">
        <f>[1]!SNLLabel(287,324674,,"&lt;&gt;367")</f>
        <v>AR: Other Lines of Business</v>
      </c>
      <c r="Y324" s="391" t="s">
        <v>29</v>
      </c>
      <c r="Z324" s="391" t="s">
        <v>29</v>
      </c>
      <c r="AA324" s="391" t="s">
        <v>29</v>
      </c>
      <c r="AB324" s="391" t="s">
        <v>29</v>
      </c>
      <c r="AC324" s="391" t="s">
        <v>29</v>
      </c>
      <c r="AD324" s="391" t="s">
        <v>29</v>
      </c>
      <c r="AE324" s="391" t="s">
        <v>29</v>
      </c>
      <c r="AF324" s="391" t="s">
        <v>29</v>
      </c>
      <c r="AG324" s="391" t="s">
        <v>29</v>
      </c>
      <c r="AH324" s="391" t="s">
        <v>29</v>
      </c>
      <c r="AI324" s="391" t="s">
        <v>29</v>
      </c>
    </row>
    <row r="325" spans="2:35" ht="11.25" hidden="1" customHeight="1" outlineLevel="1" x14ac:dyDescent="0.35">
      <c r="B325" s="244" t="s">
        <v>5370</v>
      </c>
      <c r="C325" s="245"/>
      <c r="D325" s="279" t="str">
        <f>IF(Y325="","",Y325)</f>
        <v>NA</v>
      </c>
      <c r="E325" s="279" t="str">
        <f>IF(Z325="","",Z325)</f>
        <v>NA</v>
      </c>
      <c r="F325" s="279" t="str">
        <f>IF(AA325="","",AA325)</f>
        <v>NA</v>
      </c>
      <c r="G325" s="279" t="str">
        <f>IF(AB325="","",AB325)</f>
        <v>NA</v>
      </c>
      <c r="H325" s="279" t="str">
        <f>IF(AC325="","",AC325)</f>
        <v>NA</v>
      </c>
      <c r="I325" s="279" t="str">
        <f>IF(AD325="","",AD325)</f>
        <v>NA</v>
      </c>
      <c r="J325" s="279" t="str">
        <f>IF(AE325="","",AE325)</f>
        <v>NA</v>
      </c>
      <c r="K325" s="279" t="str">
        <f>IF(AF325="","",AF325)</f>
        <v>NA</v>
      </c>
      <c r="L325" s="279" t="str">
        <f>IF(AG325="","",AG325)</f>
        <v>NA</v>
      </c>
      <c r="M325" s="279" t="str">
        <f>IF(AH325="","",AH325)</f>
        <v>NA</v>
      </c>
      <c r="N325" s="279" t="str">
        <f>IF(AI325="","",AI325)</f>
        <v>NA</v>
      </c>
      <c r="U325" s="388" t="s">
        <v>5465</v>
      </c>
      <c r="V325" s="389" t="s">
        <v>5376</v>
      </c>
      <c r="W325" s="389" t="str">
        <f t="shared" si="5"/>
        <v>2014Y</v>
      </c>
      <c r="X325" s="390" t="str">
        <f>[1]!SNLLabel(287,324674,,"&lt;&gt;368")</f>
        <v>AR: YRT Mortality Risk Only</v>
      </c>
      <c r="Y325" s="391" t="s">
        <v>29</v>
      </c>
      <c r="Z325" s="391" t="s">
        <v>29</v>
      </c>
      <c r="AA325" s="391" t="s">
        <v>29</v>
      </c>
      <c r="AB325" s="391" t="s">
        <v>29</v>
      </c>
      <c r="AC325" s="391" t="s">
        <v>29</v>
      </c>
      <c r="AD325" s="391" t="s">
        <v>29</v>
      </c>
      <c r="AE325" s="391" t="s">
        <v>29</v>
      </c>
      <c r="AF325" s="391" t="s">
        <v>29</v>
      </c>
      <c r="AG325" s="391" t="s">
        <v>29</v>
      </c>
      <c r="AH325" s="391" t="s">
        <v>29</v>
      </c>
      <c r="AI325" s="391" t="s">
        <v>29</v>
      </c>
    </row>
    <row r="326" spans="2:35" ht="11.25" hidden="1" customHeight="1" outlineLevel="1" x14ac:dyDescent="0.35">
      <c r="B326" s="244" t="s">
        <v>5371</v>
      </c>
      <c r="C326" s="245"/>
      <c r="D326" s="279" t="str">
        <f>IF(Y326="","",Y326)</f>
        <v>NA</v>
      </c>
      <c r="E326" s="279" t="str">
        <f>IF(Z326="","",Z326)</f>
        <v>NA</v>
      </c>
      <c r="F326" s="279" t="str">
        <f>IF(AA326="","",AA326)</f>
        <v>NA</v>
      </c>
      <c r="G326" s="279" t="str">
        <f>IF(AB326="","",AB326)</f>
        <v>NA</v>
      </c>
      <c r="H326" s="279" t="str">
        <f>IF(AC326="","",AC326)</f>
        <v>NA</v>
      </c>
      <c r="I326" s="279" t="str">
        <f>IF(AD326="","",AD326)</f>
        <v>NA</v>
      </c>
      <c r="J326" s="279" t="str">
        <f>IF(AE326="","",AE326)</f>
        <v>NA</v>
      </c>
      <c r="K326" s="279" t="str">
        <f>IF(AF326="","",AF326)</f>
        <v>NA</v>
      </c>
      <c r="L326" s="279" t="str">
        <f>IF(AG326="","",AG326)</f>
        <v>NA</v>
      </c>
      <c r="M326" s="279" t="str">
        <f>IF(AH326="","",AH326)</f>
        <v>NA</v>
      </c>
      <c r="N326" s="279" t="str">
        <f>IF(AI326="","",AI326)</f>
        <v>NA</v>
      </c>
      <c r="U326" s="388" t="s">
        <v>5465</v>
      </c>
      <c r="V326" s="389" t="s">
        <v>5376</v>
      </c>
      <c r="W326" s="389" t="str">
        <f t="shared" si="5"/>
        <v>2014Y</v>
      </c>
      <c r="X326" s="390" t="str">
        <f>[1]!SNLLabel(287,324674,,"&lt;&gt;369")</f>
        <v>AR: Individual and Group Life</v>
      </c>
      <c r="Y326" s="391" t="s">
        <v>29</v>
      </c>
      <c r="Z326" s="391" t="s">
        <v>29</v>
      </c>
      <c r="AA326" s="391" t="s">
        <v>29</v>
      </c>
      <c r="AB326" s="391" t="s">
        <v>29</v>
      </c>
      <c r="AC326" s="391" t="s">
        <v>29</v>
      </c>
      <c r="AD326" s="391" t="s">
        <v>29</v>
      </c>
      <c r="AE326" s="391" t="s">
        <v>29</v>
      </c>
      <c r="AF326" s="391" t="s">
        <v>29</v>
      </c>
      <c r="AG326" s="391" t="s">
        <v>29</v>
      </c>
      <c r="AH326" s="391" t="s">
        <v>29</v>
      </c>
      <c r="AI326" s="391" t="s">
        <v>29</v>
      </c>
    </row>
    <row r="327" spans="2:35" ht="11.25" hidden="1" customHeight="1" outlineLevel="1" x14ac:dyDescent="0.35">
      <c r="B327" s="244" t="s">
        <v>5372</v>
      </c>
      <c r="C327" s="245"/>
      <c r="D327" s="279" t="str">
        <f>IF(Y327="","",Y327)</f>
        <v>NA</v>
      </c>
      <c r="E327" s="279" t="str">
        <f>IF(Z327="","",Z327)</f>
        <v>NA</v>
      </c>
      <c r="F327" s="279" t="str">
        <f>IF(AA327="","",AA327)</f>
        <v>NA</v>
      </c>
      <c r="G327" s="279" t="str">
        <f>IF(AB327="","",AB327)</f>
        <v>NA</v>
      </c>
      <c r="H327" s="279" t="str">
        <f>IF(AC327="","",AC327)</f>
        <v>NA</v>
      </c>
      <c r="I327" s="279" t="str">
        <f>IF(AD327="","",AD327)</f>
        <v>NA</v>
      </c>
      <c r="J327" s="279" t="str">
        <f>IF(AE327="","",AE327)</f>
        <v>NA</v>
      </c>
      <c r="K327" s="279" t="str">
        <f>IF(AF327="","",AF327)</f>
        <v>NA</v>
      </c>
      <c r="L327" s="279" t="str">
        <f>IF(AG327="","",AG327)</f>
        <v>NA</v>
      </c>
      <c r="M327" s="279" t="str">
        <f>IF(AH327="","",AH327)</f>
        <v>NA</v>
      </c>
      <c r="N327" s="279" t="str">
        <f>IF(AI327="","",AI327)</f>
        <v>NA</v>
      </c>
      <c r="U327" s="367" t="s">
        <v>5465</v>
      </c>
      <c r="V327" s="368" t="s">
        <v>5376</v>
      </c>
      <c r="W327" s="368" t="str">
        <f t="shared" si="5"/>
        <v>2014Y</v>
      </c>
      <c r="X327" s="369" t="str">
        <f>[1]!SNLLabel(287,324674,,"&lt;&gt;370")</f>
        <v>AR: Individual and Group Annuities</v>
      </c>
      <c r="Y327" s="371" t="s">
        <v>29</v>
      </c>
      <c r="Z327" s="371" t="s">
        <v>29</v>
      </c>
      <c r="AA327" s="371" t="s">
        <v>29</v>
      </c>
      <c r="AB327" s="371" t="s">
        <v>29</v>
      </c>
      <c r="AC327" s="371" t="s">
        <v>29</v>
      </c>
      <c r="AD327" s="371" t="s">
        <v>29</v>
      </c>
      <c r="AE327" s="371" t="s">
        <v>29</v>
      </c>
      <c r="AF327" s="371" t="s">
        <v>29</v>
      </c>
      <c r="AG327" s="371" t="s">
        <v>29</v>
      </c>
      <c r="AH327" s="371" t="s">
        <v>29</v>
      </c>
      <c r="AI327" s="371" t="s">
        <v>29</v>
      </c>
    </row>
    <row r="328" spans="2:35" ht="11.25" hidden="1" customHeight="1" outlineLevel="1" x14ac:dyDescent="0.35">
      <c r="B328" s="244"/>
      <c r="C328" s="245"/>
      <c r="D328" s="279"/>
      <c r="E328" s="305"/>
      <c r="F328" s="305"/>
      <c r="G328" s="305"/>
      <c r="H328" s="305"/>
      <c r="I328" s="305"/>
      <c r="J328" s="305"/>
      <c r="K328" s="305"/>
      <c r="L328" s="305"/>
      <c r="M328" s="305"/>
      <c r="N328" s="305"/>
    </row>
    <row r="329" spans="2:35" ht="11.25" hidden="1" customHeight="1" outlineLevel="1" x14ac:dyDescent="0.35">
      <c r="B329" s="246" t="s">
        <v>5466</v>
      </c>
      <c r="C329" s="245"/>
      <c r="D329" s="279"/>
      <c r="E329" s="305"/>
      <c r="F329" s="305"/>
      <c r="G329" s="305"/>
      <c r="H329" s="305"/>
      <c r="I329" s="305"/>
      <c r="J329" s="305"/>
      <c r="K329" s="305"/>
      <c r="L329" s="305"/>
      <c r="M329" s="305"/>
      <c r="N329" s="305"/>
    </row>
    <row r="330" spans="2:35" ht="11.25" hidden="1" customHeight="1" outlineLevel="1" x14ac:dyDescent="0.35">
      <c r="B330" s="244" t="s">
        <v>5365</v>
      </c>
      <c r="C330" s="245"/>
      <c r="D330" s="279" t="str">
        <f>IF(Y330="","",Y330)</f>
        <v>NA</v>
      </c>
      <c r="E330" s="279" t="str">
        <f>IF(Z330="","",Z330)</f>
        <v>NA</v>
      </c>
      <c r="F330" s="279" t="str">
        <f>IF(AA330="","",AA330)</f>
        <v>NA</v>
      </c>
      <c r="G330" s="279" t="str">
        <f>IF(AB330="","",AB330)</f>
        <v>NA</v>
      </c>
      <c r="H330" s="279" t="str">
        <f>IF(AC330="","",AC330)</f>
        <v>NA</v>
      </c>
      <c r="I330" s="279" t="str">
        <f>IF(AD330="","",AD330)</f>
        <v>NA</v>
      </c>
      <c r="J330" s="279" t="str">
        <f>IF(AE330="","",AE330)</f>
        <v>NA</v>
      </c>
      <c r="K330" s="279" t="str">
        <f>IF(AF330="","",AF330)</f>
        <v>NA</v>
      </c>
      <c r="L330" s="279" t="str">
        <f>IF(AG330="","",AG330)</f>
        <v>NA</v>
      </c>
      <c r="M330" s="279" t="str">
        <f>IF(AH330="","",AH330)</f>
        <v>NA</v>
      </c>
      <c r="N330" s="279" t="str">
        <f>IF(AI330="","",AI330)</f>
        <v>NA</v>
      </c>
      <c r="U330" s="384" t="s">
        <v>5466</v>
      </c>
      <c r="V330" s="385" t="s">
        <v>5377</v>
      </c>
      <c r="W330" s="385" t="str">
        <f t="shared" ref="W330:W340" si="6">Period</f>
        <v>2014Y</v>
      </c>
      <c r="X330" s="386" t="str">
        <f>[1]!SNLLabel(287,324675,,"&lt;&gt;360")</f>
        <v>AR: Analysis of Operations All Lines</v>
      </c>
      <c r="Y330" s="387" t="s">
        <v>29</v>
      </c>
      <c r="Z330" s="387" t="s">
        <v>29</v>
      </c>
      <c r="AA330" s="387" t="s">
        <v>29</v>
      </c>
      <c r="AB330" s="387" t="s">
        <v>29</v>
      </c>
      <c r="AC330" s="387" t="s">
        <v>29</v>
      </c>
      <c r="AD330" s="387" t="s">
        <v>29</v>
      </c>
      <c r="AE330" s="387" t="s">
        <v>29</v>
      </c>
      <c r="AF330" s="387" t="s">
        <v>29</v>
      </c>
      <c r="AG330" s="387" t="s">
        <v>29</v>
      </c>
      <c r="AH330" s="387" t="s">
        <v>29</v>
      </c>
      <c r="AI330" s="387" t="s">
        <v>29</v>
      </c>
    </row>
    <row r="331" spans="2:35" ht="11.25" hidden="1" customHeight="1" outlineLevel="1" x14ac:dyDescent="0.35">
      <c r="B331" s="244" t="s">
        <v>5366</v>
      </c>
      <c r="C331" s="245"/>
      <c r="D331" s="279" t="str">
        <f>IF(Y331="","",Y331)</f>
        <v>NA</v>
      </c>
      <c r="E331" s="279" t="str">
        <f>IF(Z331="","",Z331)</f>
        <v>NA</v>
      </c>
      <c r="F331" s="279" t="str">
        <f>IF(AA331="","",AA331)</f>
        <v>NA</v>
      </c>
      <c r="G331" s="279" t="str">
        <f>IF(AB331="","",AB331)</f>
        <v>NA</v>
      </c>
      <c r="H331" s="279" t="str">
        <f>IF(AC331="","",AC331)</f>
        <v>NA</v>
      </c>
      <c r="I331" s="279" t="str">
        <f>IF(AD331="","",AD331)</f>
        <v>NA</v>
      </c>
      <c r="J331" s="279" t="str">
        <f>IF(AE331="","",AE331)</f>
        <v>NA</v>
      </c>
      <c r="K331" s="279" t="str">
        <f>IF(AF331="","",AF331)</f>
        <v>NA</v>
      </c>
      <c r="L331" s="279" t="str">
        <f>IF(AG331="","",AG331)</f>
        <v>NA</v>
      </c>
      <c r="M331" s="279" t="str">
        <f>IF(AH331="","",AH331)</f>
        <v>NA</v>
      </c>
      <c r="N331" s="279" t="str">
        <f>IF(AI331="","",AI331)</f>
        <v>NA</v>
      </c>
      <c r="U331" s="388" t="s">
        <v>5466</v>
      </c>
      <c r="V331" s="389" t="s">
        <v>5377</v>
      </c>
      <c r="W331" s="389" t="str">
        <f t="shared" si="6"/>
        <v>2014Y</v>
      </c>
      <c r="X331" s="390" t="str">
        <f>[1]!SNLLabel(287,324675,,"&lt;&gt;361")</f>
        <v>AR: Individual Life</v>
      </c>
      <c r="Y331" s="391" t="s">
        <v>29</v>
      </c>
      <c r="Z331" s="391" t="s">
        <v>29</v>
      </c>
      <c r="AA331" s="391" t="s">
        <v>29</v>
      </c>
      <c r="AB331" s="391" t="s">
        <v>29</v>
      </c>
      <c r="AC331" s="391" t="s">
        <v>29</v>
      </c>
      <c r="AD331" s="391" t="s">
        <v>29</v>
      </c>
      <c r="AE331" s="391" t="s">
        <v>29</v>
      </c>
      <c r="AF331" s="391" t="s">
        <v>29</v>
      </c>
      <c r="AG331" s="391" t="s">
        <v>29</v>
      </c>
      <c r="AH331" s="391" t="s">
        <v>29</v>
      </c>
      <c r="AI331" s="391" t="s">
        <v>29</v>
      </c>
    </row>
    <row r="332" spans="2:35" ht="11.25" hidden="1" customHeight="1" outlineLevel="1" x14ac:dyDescent="0.35">
      <c r="B332" s="244" t="s">
        <v>5122</v>
      </c>
      <c r="C332" s="245"/>
      <c r="D332" s="279" t="str">
        <f>IF(Y332="","",Y332)</f>
        <v>NA</v>
      </c>
      <c r="E332" s="279" t="str">
        <f>IF(Z332="","",Z332)</f>
        <v>NA</v>
      </c>
      <c r="F332" s="279" t="str">
        <f>IF(AA332="","",AA332)</f>
        <v>NA</v>
      </c>
      <c r="G332" s="279" t="str">
        <f>IF(AB332="","",AB332)</f>
        <v>NA</v>
      </c>
      <c r="H332" s="279" t="str">
        <f>IF(AC332="","",AC332)</f>
        <v>NA</v>
      </c>
      <c r="I332" s="279" t="str">
        <f>IF(AD332="","",AD332)</f>
        <v>NA</v>
      </c>
      <c r="J332" s="279" t="str">
        <f>IF(AE332="","",AE332)</f>
        <v>NA</v>
      </c>
      <c r="K332" s="279" t="str">
        <f>IF(AF332="","",AF332)</f>
        <v>NA</v>
      </c>
      <c r="L332" s="279" t="str">
        <f>IF(AG332="","",AG332)</f>
        <v>NA</v>
      </c>
      <c r="M332" s="279" t="str">
        <f>IF(AH332="","",AH332)</f>
        <v>NA</v>
      </c>
      <c r="N332" s="279" t="str">
        <f>IF(AI332="","",AI332)</f>
        <v>NA</v>
      </c>
      <c r="U332" s="388" t="s">
        <v>5466</v>
      </c>
      <c r="V332" s="389" t="s">
        <v>5377</v>
      </c>
      <c r="W332" s="389" t="str">
        <f t="shared" si="6"/>
        <v>2014Y</v>
      </c>
      <c r="X332" s="390" t="str">
        <f>[1]!SNLLabel(287,324675,,"&lt;&gt;362")</f>
        <v>AR: Group Life</v>
      </c>
      <c r="Y332" s="391" t="s">
        <v>29</v>
      </c>
      <c r="Z332" s="391" t="s">
        <v>29</v>
      </c>
      <c r="AA332" s="391" t="s">
        <v>29</v>
      </c>
      <c r="AB332" s="391" t="s">
        <v>29</v>
      </c>
      <c r="AC332" s="391" t="s">
        <v>29</v>
      </c>
      <c r="AD332" s="391" t="s">
        <v>29</v>
      </c>
      <c r="AE332" s="391" t="s">
        <v>29</v>
      </c>
      <c r="AF332" s="391" t="s">
        <v>29</v>
      </c>
      <c r="AG332" s="391" t="s">
        <v>29</v>
      </c>
      <c r="AH332" s="391" t="s">
        <v>29</v>
      </c>
      <c r="AI332" s="391" t="s">
        <v>29</v>
      </c>
    </row>
    <row r="333" spans="2:35" ht="11.25" hidden="1" customHeight="1" outlineLevel="1" x14ac:dyDescent="0.35">
      <c r="B333" s="244" t="s">
        <v>5124</v>
      </c>
      <c r="C333" s="245"/>
      <c r="D333" s="279" t="str">
        <f>IF(Y333="","",Y333)</f>
        <v>NA</v>
      </c>
      <c r="E333" s="279" t="str">
        <f>IF(Z333="","",Z333)</f>
        <v>NA</v>
      </c>
      <c r="F333" s="279" t="str">
        <f>IF(AA333="","",AA333)</f>
        <v>NA</v>
      </c>
      <c r="G333" s="279" t="str">
        <f>IF(AB333="","",AB333)</f>
        <v>NA</v>
      </c>
      <c r="H333" s="279" t="str">
        <f>IF(AC333="","",AC333)</f>
        <v>NA</v>
      </c>
      <c r="I333" s="279" t="str">
        <f>IF(AD333="","",AD333)</f>
        <v>NA</v>
      </c>
      <c r="J333" s="279" t="str">
        <f>IF(AE333="","",AE333)</f>
        <v>NA</v>
      </c>
      <c r="K333" s="279" t="str">
        <f>IF(AF333="","",AF333)</f>
        <v>NA</v>
      </c>
      <c r="L333" s="279" t="str">
        <f>IF(AG333="","",AG333)</f>
        <v>NA</v>
      </c>
      <c r="M333" s="279" t="str">
        <f>IF(AH333="","",AH333)</f>
        <v>NA</v>
      </c>
      <c r="N333" s="279" t="str">
        <f>IF(AI333="","",AI333)</f>
        <v>NA</v>
      </c>
      <c r="U333" s="388" t="s">
        <v>5466</v>
      </c>
      <c r="V333" s="389" t="s">
        <v>5377</v>
      </c>
      <c r="W333" s="389" t="str">
        <f t="shared" si="6"/>
        <v>2014Y</v>
      </c>
      <c r="X333" s="390" t="str">
        <f>[1]!SNLLabel(287,324675,,"&lt;&gt;363")</f>
        <v>AR: Individual Annuities</v>
      </c>
      <c r="Y333" s="391" t="s">
        <v>29</v>
      </c>
      <c r="Z333" s="391" t="s">
        <v>29</v>
      </c>
      <c r="AA333" s="391" t="s">
        <v>29</v>
      </c>
      <c r="AB333" s="391" t="s">
        <v>29</v>
      </c>
      <c r="AC333" s="391" t="s">
        <v>29</v>
      </c>
      <c r="AD333" s="391" t="s">
        <v>29</v>
      </c>
      <c r="AE333" s="391" t="s">
        <v>29</v>
      </c>
      <c r="AF333" s="391" t="s">
        <v>29</v>
      </c>
      <c r="AG333" s="391" t="s">
        <v>29</v>
      </c>
      <c r="AH333" s="391" t="s">
        <v>29</v>
      </c>
      <c r="AI333" s="391" t="s">
        <v>29</v>
      </c>
    </row>
    <row r="334" spans="2:35" ht="11.25" hidden="1" customHeight="1" outlineLevel="1" x14ac:dyDescent="0.35">
      <c r="B334" s="244" t="s">
        <v>5121</v>
      </c>
      <c r="C334" s="245"/>
      <c r="D334" s="279" t="str">
        <f>IF(Y334="","",Y334)</f>
        <v>NA</v>
      </c>
      <c r="E334" s="279" t="str">
        <f>IF(Z334="","",Z334)</f>
        <v>NA</v>
      </c>
      <c r="F334" s="279" t="str">
        <f>IF(AA334="","",AA334)</f>
        <v>NA</v>
      </c>
      <c r="G334" s="279" t="str">
        <f>IF(AB334="","",AB334)</f>
        <v>NA</v>
      </c>
      <c r="H334" s="279" t="str">
        <f>IF(AC334="","",AC334)</f>
        <v>NA</v>
      </c>
      <c r="I334" s="279" t="str">
        <f>IF(AD334="","",AD334)</f>
        <v>NA</v>
      </c>
      <c r="J334" s="279" t="str">
        <f>IF(AE334="","",AE334)</f>
        <v>NA</v>
      </c>
      <c r="K334" s="279" t="str">
        <f>IF(AF334="","",AF334)</f>
        <v>NA</v>
      </c>
      <c r="L334" s="279" t="str">
        <f>IF(AG334="","",AG334)</f>
        <v>NA</v>
      </c>
      <c r="M334" s="279" t="str">
        <f>IF(AH334="","",AH334)</f>
        <v>NA</v>
      </c>
      <c r="N334" s="279" t="str">
        <f>IF(AI334="","",AI334)</f>
        <v>NA</v>
      </c>
      <c r="U334" s="388" t="s">
        <v>5466</v>
      </c>
      <c r="V334" s="389" t="s">
        <v>5377</v>
      </c>
      <c r="W334" s="389" t="str">
        <f t="shared" si="6"/>
        <v>2014Y</v>
      </c>
      <c r="X334" s="390" t="str">
        <f>[1]!SNLLabel(287,324675,,"&lt;&gt;364")</f>
        <v>AR: Group Annuities</v>
      </c>
      <c r="Y334" s="391" t="s">
        <v>29</v>
      </c>
      <c r="Z334" s="391" t="s">
        <v>29</v>
      </c>
      <c r="AA334" s="391" t="s">
        <v>29</v>
      </c>
      <c r="AB334" s="391" t="s">
        <v>29</v>
      </c>
      <c r="AC334" s="391" t="s">
        <v>29</v>
      </c>
      <c r="AD334" s="391" t="s">
        <v>29</v>
      </c>
      <c r="AE334" s="391" t="s">
        <v>29</v>
      </c>
      <c r="AF334" s="391" t="s">
        <v>29</v>
      </c>
      <c r="AG334" s="391" t="s">
        <v>29</v>
      </c>
      <c r="AH334" s="391" t="s">
        <v>29</v>
      </c>
      <c r="AI334" s="391" t="s">
        <v>29</v>
      </c>
    </row>
    <row r="335" spans="2:35" ht="11.25" hidden="1" customHeight="1" outlineLevel="1" x14ac:dyDescent="0.35">
      <c r="B335" s="244" t="s">
        <v>5367</v>
      </c>
      <c r="C335" s="245"/>
      <c r="D335" s="279" t="str">
        <f>IF(Y335="","",Y335)</f>
        <v>NA</v>
      </c>
      <c r="E335" s="279" t="str">
        <f>IF(Z335="","",Z335)</f>
        <v>NA</v>
      </c>
      <c r="F335" s="279" t="str">
        <f>IF(AA335="","",AA335)</f>
        <v>NA</v>
      </c>
      <c r="G335" s="279" t="str">
        <f>IF(AB335="","",AB335)</f>
        <v>NA</v>
      </c>
      <c r="H335" s="279" t="str">
        <f>IF(AC335="","",AC335)</f>
        <v>NA</v>
      </c>
      <c r="I335" s="279" t="str">
        <f>IF(AD335="","",AD335)</f>
        <v>NA</v>
      </c>
      <c r="J335" s="279" t="str">
        <f>IF(AE335="","",AE335)</f>
        <v>NA</v>
      </c>
      <c r="K335" s="279" t="str">
        <f>IF(AF335="","",AF335)</f>
        <v>NA</v>
      </c>
      <c r="L335" s="279" t="str">
        <f>IF(AG335="","",AG335)</f>
        <v>NA</v>
      </c>
      <c r="M335" s="279" t="str">
        <f>IF(AH335="","",AH335)</f>
        <v>NA</v>
      </c>
      <c r="N335" s="279" t="str">
        <f>IF(AI335="","",AI335)</f>
        <v>NA</v>
      </c>
      <c r="U335" s="388" t="s">
        <v>5466</v>
      </c>
      <c r="V335" s="389" t="s">
        <v>5377</v>
      </c>
      <c r="W335" s="389" t="str">
        <f t="shared" si="6"/>
        <v>2014Y</v>
      </c>
      <c r="X335" s="390" t="str">
        <f>[1]!SNLLabel(287,324675,,"&lt;&gt;365")</f>
        <v>AR: Accident and Health</v>
      </c>
      <c r="Y335" s="391" t="s">
        <v>29</v>
      </c>
      <c r="Z335" s="391" t="s">
        <v>29</v>
      </c>
      <c r="AA335" s="391" t="s">
        <v>29</v>
      </c>
      <c r="AB335" s="391" t="s">
        <v>29</v>
      </c>
      <c r="AC335" s="391" t="s">
        <v>29</v>
      </c>
      <c r="AD335" s="391" t="s">
        <v>29</v>
      </c>
      <c r="AE335" s="391" t="s">
        <v>29</v>
      </c>
      <c r="AF335" s="391" t="s">
        <v>29</v>
      </c>
      <c r="AG335" s="391" t="s">
        <v>29</v>
      </c>
      <c r="AH335" s="391" t="s">
        <v>29</v>
      </c>
      <c r="AI335" s="391" t="s">
        <v>29</v>
      </c>
    </row>
    <row r="336" spans="2:35" ht="11.25" hidden="1" customHeight="1" outlineLevel="1" x14ac:dyDescent="0.35">
      <c r="B336" s="244" t="s">
        <v>5368</v>
      </c>
      <c r="C336" s="245"/>
      <c r="D336" s="279" t="str">
        <f>IF(Y336="","",Y336)</f>
        <v>NA</v>
      </c>
      <c r="E336" s="279" t="str">
        <f>IF(Z336="","",Z336)</f>
        <v>NA</v>
      </c>
      <c r="F336" s="279" t="str">
        <f>IF(AA336="","",AA336)</f>
        <v>NA</v>
      </c>
      <c r="G336" s="279" t="str">
        <f>IF(AB336="","",AB336)</f>
        <v>NA</v>
      </c>
      <c r="H336" s="279" t="str">
        <f>IF(AC336="","",AC336)</f>
        <v>NA</v>
      </c>
      <c r="I336" s="279" t="str">
        <f>IF(AD336="","",AD336)</f>
        <v>NA</v>
      </c>
      <c r="J336" s="279" t="str">
        <f>IF(AE336="","",AE336)</f>
        <v>NA</v>
      </c>
      <c r="K336" s="279" t="str">
        <f>IF(AF336="","",AF336)</f>
        <v>NA</v>
      </c>
      <c r="L336" s="279" t="str">
        <f>IF(AG336="","",AG336)</f>
        <v>NA</v>
      </c>
      <c r="M336" s="279" t="str">
        <f>IF(AH336="","",AH336)</f>
        <v>NA</v>
      </c>
      <c r="N336" s="279" t="str">
        <f>IF(AI336="","",AI336)</f>
        <v>NA</v>
      </c>
      <c r="U336" s="388" t="s">
        <v>5466</v>
      </c>
      <c r="V336" s="389" t="s">
        <v>5377</v>
      </c>
      <c r="W336" s="389" t="str">
        <f t="shared" si="6"/>
        <v>2014Y</v>
      </c>
      <c r="X336" s="390" t="str">
        <f>[1]!SNLLabel(287,324675,,"&lt;&gt;366")</f>
        <v>AR: Fraternal</v>
      </c>
      <c r="Y336" s="391" t="s">
        <v>29</v>
      </c>
      <c r="Z336" s="391" t="s">
        <v>29</v>
      </c>
      <c r="AA336" s="391" t="s">
        <v>29</v>
      </c>
      <c r="AB336" s="391" t="s">
        <v>29</v>
      </c>
      <c r="AC336" s="391" t="s">
        <v>29</v>
      </c>
      <c r="AD336" s="391" t="s">
        <v>29</v>
      </c>
      <c r="AE336" s="391" t="s">
        <v>29</v>
      </c>
      <c r="AF336" s="391" t="s">
        <v>29</v>
      </c>
      <c r="AG336" s="391" t="s">
        <v>29</v>
      </c>
      <c r="AH336" s="391" t="s">
        <v>29</v>
      </c>
      <c r="AI336" s="391" t="s">
        <v>29</v>
      </c>
    </row>
    <row r="337" spans="2:35" ht="11.25" hidden="1" customHeight="1" outlineLevel="1" x14ac:dyDescent="0.35">
      <c r="B337" s="244" t="s">
        <v>5369</v>
      </c>
      <c r="C337" s="245"/>
      <c r="D337" s="279" t="str">
        <f>IF(Y337="","",Y337)</f>
        <v>NA</v>
      </c>
      <c r="E337" s="279" t="str">
        <f>IF(Z337="","",Z337)</f>
        <v>NA</v>
      </c>
      <c r="F337" s="279" t="str">
        <f>IF(AA337="","",AA337)</f>
        <v>NA</v>
      </c>
      <c r="G337" s="279" t="str">
        <f>IF(AB337="","",AB337)</f>
        <v>NA</v>
      </c>
      <c r="H337" s="279" t="str">
        <f>IF(AC337="","",AC337)</f>
        <v>NA</v>
      </c>
      <c r="I337" s="279" t="str">
        <f>IF(AD337="","",AD337)</f>
        <v>NA</v>
      </c>
      <c r="J337" s="279" t="str">
        <f>IF(AE337="","",AE337)</f>
        <v>NA</v>
      </c>
      <c r="K337" s="279" t="str">
        <f>IF(AF337="","",AF337)</f>
        <v>NA</v>
      </c>
      <c r="L337" s="279" t="str">
        <f>IF(AG337="","",AG337)</f>
        <v>NA</v>
      </c>
      <c r="M337" s="279" t="str">
        <f>IF(AH337="","",AH337)</f>
        <v>NA</v>
      </c>
      <c r="N337" s="279" t="str">
        <f>IF(AI337="","",AI337)</f>
        <v>NA</v>
      </c>
      <c r="U337" s="388" t="s">
        <v>5466</v>
      </c>
      <c r="V337" s="389" t="s">
        <v>5377</v>
      </c>
      <c r="W337" s="389" t="str">
        <f t="shared" si="6"/>
        <v>2014Y</v>
      </c>
      <c r="X337" s="390" t="str">
        <f>[1]!SNLLabel(287,324675,,"&lt;&gt;367")</f>
        <v>AR: Other Lines of Business</v>
      </c>
      <c r="Y337" s="391" t="s">
        <v>29</v>
      </c>
      <c r="Z337" s="391" t="s">
        <v>29</v>
      </c>
      <c r="AA337" s="391" t="s">
        <v>29</v>
      </c>
      <c r="AB337" s="391" t="s">
        <v>29</v>
      </c>
      <c r="AC337" s="391" t="s">
        <v>29</v>
      </c>
      <c r="AD337" s="391" t="s">
        <v>29</v>
      </c>
      <c r="AE337" s="391" t="s">
        <v>29</v>
      </c>
      <c r="AF337" s="391" t="s">
        <v>29</v>
      </c>
      <c r="AG337" s="391" t="s">
        <v>29</v>
      </c>
      <c r="AH337" s="391" t="s">
        <v>29</v>
      </c>
      <c r="AI337" s="391" t="s">
        <v>29</v>
      </c>
    </row>
    <row r="338" spans="2:35" ht="11.25" hidden="1" customHeight="1" outlineLevel="1" x14ac:dyDescent="0.35">
      <c r="B338" s="244" t="s">
        <v>5370</v>
      </c>
      <c r="C338" s="245"/>
      <c r="D338" s="279" t="str">
        <f>IF(Y338="","",Y338)</f>
        <v>NA</v>
      </c>
      <c r="E338" s="279" t="str">
        <f>IF(Z338="","",Z338)</f>
        <v>NA</v>
      </c>
      <c r="F338" s="279" t="str">
        <f>IF(AA338="","",AA338)</f>
        <v>NA</v>
      </c>
      <c r="G338" s="279" t="str">
        <f>IF(AB338="","",AB338)</f>
        <v>NA</v>
      </c>
      <c r="H338" s="279" t="str">
        <f>IF(AC338="","",AC338)</f>
        <v>NA</v>
      </c>
      <c r="I338" s="279" t="str">
        <f>IF(AD338="","",AD338)</f>
        <v>NA</v>
      </c>
      <c r="J338" s="279" t="str">
        <f>IF(AE338="","",AE338)</f>
        <v>NA</v>
      </c>
      <c r="K338" s="279" t="str">
        <f>IF(AF338="","",AF338)</f>
        <v>NA</v>
      </c>
      <c r="L338" s="279" t="str">
        <f>IF(AG338="","",AG338)</f>
        <v>NA</v>
      </c>
      <c r="M338" s="279" t="str">
        <f>IF(AH338="","",AH338)</f>
        <v>NA</v>
      </c>
      <c r="N338" s="279" t="str">
        <f>IF(AI338="","",AI338)</f>
        <v>NA</v>
      </c>
      <c r="U338" s="388" t="s">
        <v>5466</v>
      </c>
      <c r="V338" s="389" t="s">
        <v>5377</v>
      </c>
      <c r="W338" s="389" t="str">
        <f t="shared" si="6"/>
        <v>2014Y</v>
      </c>
      <c r="X338" s="390" t="str">
        <f>[1]!SNLLabel(287,324675,,"&lt;&gt;368")</f>
        <v>AR: YRT Mortality Risk Only</v>
      </c>
      <c r="Y338" s="391" t="s">
        <v>29</v>
      </c>
      <c r="Z338" s="391" t="s">
        <v>29</v>
      </c>
      <c r="AA338" s="391" t="s">
        <v>29</v>
      </c>
      <c r="AB338" s="391" t="s">
        <v>29</v>
      </c>
      <c r="AC338" s="391" t="s">
        <v>29</v>
      </c>
      <c r="AD338" s="391" t="s">
        <v>29</v>
      </c>
      <c r="AE338" s="391" t="s">
        <v>29</v>
      </c>
      <c r="AF338" s="391" t="s">
        <v>29</v>
      </c>
      <c r="AG338" s="391" t="s">
        <v>29</v>
      </c>
      <c r="AH338" s="391" t="s">
        <v>29</v>
      </c>
      <c r="AI338" s="391" t="s">
        <v>29</v>
      </c>
    </row>
    <row r="339" spans="2:35" ht="11.25" hidden="1" customHeight="1" outlineLevel="1" x14ac:dyDescent="0.35">
      <c r="B339" s="244" t="s">
        <v>5371</v>
      </c>
      <c r="C339" s="245"/>
      <c r="D339" s="279" t="str">
        <f>IF(Y339="","",Y339)</f>
        <v>NA</v>
      </c>
      <c r="E339" s="279" t="str">
        <f>IF(Z339="","",Z339)</f>
        <v>NA</v>
      </c>
      <c r="F339" s="279" t="str">
        <f>IF(AA339="","",AA339)</f>
        <v>NA</v>
      </c>
      <c r="G339" s="279" t="str">
        <f>IF(AB339="","",AB339)</f>
        <v>NA</v>
      </c>
      <c r="H339" s="279" t="str">
        <f>IF(AC339="","",AC339)</f>
        <v>NA</v>
      </c>
      <c r="I339" s="279" t="str">
        <f>IF(AD339="","",AD339)</f>
        <v>NA</v>
      </c>
      <c r="J339" s="279" t="str">
        <f>IF(AE339="","",AE339)</f>
        <v>NA</v>
      </c>
      <c r="K339" s="279" t="str">
        <f>IF(AF339="","",AF339)</f>
        <v>NA</v>
      </c>
      <c r="L339" s="279" t="str">
        <f>IF(AG339="","",AG339)</f>
        <v>NA</v>
      </c>
      <c r="M339" s="279" t="str">
        <f>IF(AH339="","",AH339)</f>
        <v>NA</v>
      </c>
      <c r="N339" s="279" t="str">
        <f>IF(AI339="","",AI339)</f>
        <v>NA</v>
      </c>
      <c r="U339" s="388" t="s">
        <v>5466</v>
      </c>
      <c r="V339" s="389" t="s">
        <v>5377</v>
      </c>
      <c r="W339" s="389" t="str">
        <f t="shared" si="6"/>
        <v>2014Y</v>
      </c>
      <c r="X339" s="390" t="str">
        <f>[1]!SNLLabel(287,324675,,"&lt;&gt;369")</f>
        <v>AR: Individual and Group Life</v>
      </c>
      <c r="Y339" s="391" t="s">
        <v>29</v>
      </c>
      <c r="Z339" s="391" t="s">
        <v>29</v>
      </c>
      <c r="AA339" s="391" t="s">
        <v>29</v>
      </c>
      <c r="AB339" s="391" t="s">
        <v>29</v>
      </c>
      <c r="AC339" s="391" t="s">
        <v>29</v>
      </c>
      <c r="AD339" s="391" t="s">
        <v>29</v>
      </c>
      <c r="AE339" s="391" t="s">
        <v>29</v>
      </c>
      <c r="AF339" s="391" t="s">
        <v>29</v>
      </c>
      <c r="AG339" s="391" t="s">
        <v>29</v>
      </c>
      <c r="AH339" s="391" t="s">
        <v>29</v>
      </c>
      <c r="AI339" s="391" t="s">
        <v>29</v>
      </c>
    </row>
    <row r="340" spans="2:35" ht="11.25" hidden="1" customHeight="1" outlineLevel="1" x14ac:dyDescent="0.35">
      <c r="B340" s="244" t="s">
        <v>5372</v>
      </c>
      <c r="C340" s="245"/>
      <c r="D340" s="279" t="str">
        <f>IF(Y340="","",Y340)</f>
        <v>NA</v>
      </c>
      <c r="E340" s="279" t="str">
        <f>IF(Z340="","",Z340)</f>
        <v>NA</v>
      </c>
      <c r="F340" s="279" t="str">
        <f>IF(AA340="","",AA340)</f>
        <v>NA</v>
      </c>
      <c r="G340" s="279" t="str">
        <f>IF(AB340="","",AB340)</f>
        <v>NA</v>
      </c>
      <c r="H340" s="279" t="str">
        <f>IF(AC340="","",AC340)</f>
        <v>NA</v>
      </c>
      <c r="I340" s="279" t="str">
        <f>IF(AD340="","",AD340)</f>
        <v>NA</v>
      </c>
      <c r="J340" s="279" t="str">
        <f>IF(AE340="","",AE340)</f>
        <v>NA</v>
      </c>
      <c r="K340" s="279" t="str">
        <f>IF(AF340="","",AF340)</f>
        <v>NA</v>
      </c>
      <c r="L340" s="279" t="str">
        <f>IF(AG340="","",AG340)</f>
        <v>NA</v>
      </c>
      <c r="M340" s="279" t="str">
        <f>IF(AH340="","",AH340)</f>
        <v>NA</v>
      </c>
      <c r="N340" s="279" t="str">
        <f>IF(AI340="","",AI340)</f>
        <v>NA</v>
      </c>
      <c r="U340" s="367" t="s">
        <v>5466</v>
      </c>
      <c r="V340" s="368" t="s">
        <v>5377</v>
      </c>
      <c r="W340" s="368" t="str">
        <f t="shared" si="6"/>
        <v>2014Y</v>
      </c>
      <c r="X340" s="369" t="str">
        <f>[1]!SNLLabel(287,324675,,"&lt;&gt;370")</f>
        <v>AR: Individual and Group Annuities</v>
      </c>
      <c r="Y340" s="371" t="s">
        <v>29</v>
      </c>
      <c r="Z340" s="371" t="s">
        <v>29</v>
      </c>
      <c r="AA340" s="371" t="s">
        <v>29</v>
      </c>
      <c r="AB340" s="371" t="s">
        <v>29</v>
      </c>
      <c r="AC340" s="371" t="s">
        <v>29</v>
      </c>
      <c r="AD340" s="371" t="s">
        <v>29</v>
      </c>
      <c r="AE340" s="371" t="s">
        <v>29</v>
      </c>
      <c r="AF340" s="371" t="s">
        <v>29</v>
      </c>
      <c r="AG340" s="371" t="s">
        <v>29</v>
      </c>
      <c r="AH340" s="371" t="s">
        <v>29</v>
      </c>
      <c r="AI340" s="371" t="s">
        <v>29</v>
      </c>
    </row>
    <row r="341" spans="2:35" ht="11.25" hidden="1" customHeight="1" outlineLevel="1" x14ac:dyDescent="0.35">
      <c r="B341" s="244"/>
      <c r="C341" s="245"/>
      <c r="D341" s="279"/>
      <c r="E341" s="305"/>
      <c r="F341" s="305"/>
      <c r="G341" s="305"/>
      <c r="H341" s="305"/>
      <c r="I341" s="305"/>
      <c r="J341" s="305"/>
      <c r="K341" s="305"/>
      <c r="L341" s="305"/>
      <c r="M341" s="305"/>
      <c r="N341" s="305"/>
    </row>
    <row r="342" spans="2:35" ht="11.25" hidden="1" customHeight="1" outlineLevel="1" x14ac:dyDescent="0.35">
      <c r="B342" s="246" t="s">
        <v>5467</v>
      </c>
      <c r="C342" s="245"/>
      <c r="D342" s="279"/>
      <c r="E342" s="305"/>
      <c r="F342" s="305"/>
      <c r="G342" s="305"/>
      <c r="H342" s="305"/>
      <c r="I342" s="305"/>
      <c r="J342" s="305"/>
      <c r="K342" s="305"/>
      <c r="L342" s="305"/>
      <c r="M342" s="305"/>
      <c r="N342" s="305"/>
    </row>
    <row r="343" spans="2:35" ht="11.25" hidden="1" customHeight="1" outlineLevel="1" x14ac:dyDescent="0.35">
      <c r="B343" s="244" t="s">
        <v>5365</v>
      </c>
      <c r="C343" s="245"/>
      <c r="D343" s="279" t="str">
        <f>IF(Y343="","",Y343)</f>
        <v>NA</v>
      </c>
      <c r="E343" s="279" t="str">
        <f>IF(Z343="","",Z343)</f>
        <v>NA</v>
      </c>
      <c r="F343" s="279" t="str">
        <f>IF(AA343="","",AA343)</f>
        <v>NA</v>
      </c>
      <c r="G343" s="279" t="str">
        <f>IF(AB343="","",AB343)</f>
        <v>NA</v>
      </c>
      <c r="H343" s="279" t="str">
        <f>IF(AC343="","",AC343)</f>
        <v>NA</v>
      </c>
      <c r="I343" s="279" t="str">
        <f>IF(AD343="","",AD343)</f>
        <v>NA</v>
      </c>
      <c r="J343" s="279" t="str">
        <f>IF(AE343="","",AE343)</f>
        <v>NA</v>
      </c>
      <c r="K343" s="279" t="str">
        <f>IF(AF343="","",AF343)</f>
        <v>NA</v>
      </c>
      <c r="L343" s="279" t="str">
        <f>IF(AG343="","",AG343)</f>
        <v>NA</v>
      </c>
      <c r="M343" s="279" t="str">
        <f>IF(AH343="","",AH343)</f>
        <v>NA</v>
      </c>
      <c r="N343" s="279" t="str">
        <f>IF(AI343="","",AI343)</f>
        <v>NA</v>
      </c>
      <c r="U343" s="384" t="s">
        <v>5467</v>
      </c>
      <c r="V343" s="385" t="s">
        <v>5378</v>
      </c>
      <c r="W343" s="385" t="str">
        <f t="shared" ref="W343:W353" si="7">Period</f>
        <v>2014Y</v>
      </c>
      <c r="X343" s="386" t="str">
        <f>[1]!SNLLabel(287,324676,,"&lt;&gt;360")</f>
        <v>AR: Analysis of Operations All Lines</v>
      </c>
      <c r="Y343" s="387" t="s">
        <v>29</v>
      </c>
      <c r="Z343" s="387" t="s">
        <v>29</v>
      </c>
      <c r="AA343" s="387" t="s">
        <v>29</v>
      </c>
      <c r="AB343" s="387" t="s">
        <v>29</v>
      </c>
      <c r="AC343" s="387" t="s">
        <v>29</v>
      </c>
      <c r="AD343" s="387" t="s">
        <v>29</v>
      </c>
      <c r="AE343" s="387" t="s">
        <v>29</v>
      </c>
      <c r="AF343" s="387" t="s">
        <v>29</v>
      </c>
      <c r="AG343" s="387" t="s">
        <v>29</v>
      </c>
      <c r="AH343" s="387" t="s">
        <v>29</v>
      </c>
      <c r="AI343" s="387" t="s">
        <v>29</v>
      </c>
    </row>
    <row r="344" spans="2:35" ht="11.25" hidden="1" customHeight="1" outlineLevel="1" x14ac:dyDescent="0.35">
      <c r="B344" s="244" t="s">
        <v>5366</v>
      </c>
      <c r="C344" s="245"/>
      <c r="D344" s="279" t="str">
        <f>IF(Y344="","",Y344)</f>
        <v>NA</v>
      </c>
      <c r="E344" s="279" t="str">
        <f>IF(Z344="","",Z344)</f>
        <v>NA</v>
      </c>
      <c r="F344" s="279" t="str">
        <f>IF(AA344="","",AA344)</f>
        <v>NA</v>
      </c>
      <c r="G344" s="279" t="str">
        <f>IF(AB344="","",AB344)</f>
        <v>NA</v>
      </c>
      <c r="H344" s="279" t="str">
        <f>IF(AC344="","",AC344)</f>
        <v>NA</v>
      </c>
      <c r="I344" s="279" t="str">
        <f>IF(AD344="","",AD344)</f>
        <v>NA</v>
      </c>
      <c r="J344" s="279" t="str">
        <f>IF(AE344="","",AE344)</f>
        <v>NA</v>
      </c>
      <c r="K344" s="279" t="str">
        <f>IF(AF344="","",AF344)</f>
        <v>NA</v>
      </c>
      <c r="L344" s="279" t="str">
        <f>IF(AG344="","",AG344)</f>
        <v>NA</v>
      </c>
      <c r="M344" s="279" t="str">
        <f>IF(AH344="","",AH344)</f>
        <v>NA</v>
      </c>
      <c r="N344" s="279" t="str">
        <f>IF(AI344="","",AI344)</f>
        <v>NA</v>
      </c>
      <c r="U344" s="388" t="s">
        <v>5467</v>
      </c>
      <c r="V344" s="389" t="s">
        <v>5378</v>
      </c>
      <c r="W344" s="389" t="str">
        <f t="shared" si="7"/>
        <v>2014Y</v>
      </c>
      <c r="X344" s="390" t="str">
        <f>[1]!SNLLabel(287,324676,,"&lt;&gt;361")</f>
        <v>AR: Individual Life</v>
      </c>
      <c r="Y344" s="391" t="s">
        <v>29</v>
      </c>
      <c r="Z344" s="391" t="s">
        <v>29</v>
      </c>
      <c r="AA344" s="391" t="s">
        <v>29</v>
      </c>
      <c r="AB344" s="391" t="s">
        <v>29</v>
      </c>
      <c r="AC344" s="391" t="s">
        <v>29</v>
      </c>
      <c r="AD344" s="391" t="s">
        <v>29</v>
      </c>
      <c r="AE344" s="391" t="s">
        <v>29</v>
      </c>
      <c r="AF344" s="391" t="s">
        <v>29</v>
      </c>
      <c r="AG344" s="391" t="s">
        <v>29</v>
      </c>
      <c r="AH344" s="391" t="s">
        <v>29</v>
      </c>
      <c r="AI344" s="391" t="s">
        <v>29</v>
      </c>
    </row>
    <row r="345" spans="2:35" ht="11.25" hidden="1" customHeight="1" outlineLevel="1" x14ac:dyDescent="0.35">
      <c r="B345" s="244" t="s">
        <v>5122</v>
      </c>
      <c r="C345" s="245"/>
      <c r="D345" s="279" t="str">
        <f>IF(Y345="","",Y345)</f>
        <v>NA</v>
      </c>
      <c r="E345" s="279" t="str">
        <f>IF(Z345="","",Z345)</f>
        <v>NA</v>
      </c>
      <c r="F345" s="279" t="str">
        <f>IF(AA345="","",AA345)</f>
        <v>NA</v>
      </c>
      <c r="G345" s="279" t="str">
        <f>IF(AB345="","",AB345)</f>
        <v>NA</v>
      </c>
      <c r="H345" s="279" t="str">
        <f>IF(AC345="","",AC345)</f>
        <v>NA</v>
      </c>
      <c r="I345" s="279" t="str">
        <f>IF(AD345="","",AD345)</f>
        <v>NA</v>
      </c>
      <c r="J345" s="279" t="str">
        <f>IF(AE345="","",AE345)</f>
        <v>NA</v>
      </c>
      <c r="K345" s="279" t="str">
        <f>IF(AF345="","",AF345)</f>
        <v>NA</v>
      </c>
      <c r="L345" s="279" t="str">
        <f>IF(AG345="","",AG345)</f>
        <v>NA</v>
      </c>
      <c r="M345" s="279" t="str">
        <f>IF(AH345="","",AH345)</f>
        <v>NA</v>
      </c>
      <c r="N345" s="279" t="str">
        <f>IF(AI345="","",AI345)</f>
        <v>NA</v>
      </c>
      <c r="U345" s="388" t="s">
        <v>5467</v>
      </c>
      <c r="V345" s="389" t="s">
        <v>5378</v>
      </c>
      <c r="W345" s="389" t="str">
        <f t="shared" si="7"/>
        <v>2014Y</v>
      </c>
      <c r="X345" s="390" t="str">
        <f>[1]!SNLLabel(287,324676,,"&lt;&gt;362")</f>
        <v>AR: Group Life</v>
      </c>
      <c r="Y345" s="391" t="s">
        <v>29</v>
      </c>
      <c r="Z345" s="391" t="s">
        <v>29</v>
      </c>
      <c r="AA345" s="391" t="s">
        <v>29</v>
      </c>
      <c r="AB345" s="391" t="s">
        <v>29</v>
      </c>
      <c r="AC345" s="391" t="s">
        <v>29</v>
      </c>
      <c r="AD345" s="391" t="s">
        <v>29</v>
      </c>
      <c r="AE345" s="391" t="s">
        <v>29</v>
      </c>
      <c r="AF345" s="391" t="s">
        <v>29</v>
      </c>
      <c r="AG345" s="391" t="s">
        <v>29</v>
      </c>
      <c r="AH345" s="391" t="s">
        <v>29</v>
      </c>
      <c r="AI345" s="391" t="s">
        <v>29</v>
      </c>
    </row>
    <row r="346" spans="2:35" ht="11.25" hidden="1" customHeight="1" outlineLevel="1" x14ac:dyDescent="0.35">
      <c r="B346" s="244" t="s">
        <v>5124</v>
      </c>
      <c r="C346" s="245"/>
      <c r="D346" s="279" t="str">
        <f>IF(Y346="","",Y346)</f>
        <v>NA</v>
      </c>
      <c r="E346" s="279" t="str">
        <f>IF(Z346="","",Z346)</f>
        <v>NA</v>
      </c>
      <c r="F346" s="279" t="str">
        <f>IF(AA346="","",AA346)</f>
        <v>NA</v>
      </c>
      <c r="G346" s="279" t="str">
        <f>IF(AB346="","",AB346)</f>
        <v>NA</v>
      </c>
      <c r="H346" s="279" t="str">
        <f>IF(AC346="","",AC346)</f>
        <v>NA</v>
      </c>
      <c r="I346" s="279" t="str">
        <f>IF(AD346="","",AD346)</f>
        <v>NA</v>
      </c>
      <c r="J346" s="279" t="str">
        <f>IF(AE346="","",AE346)</f>
        <v>NA</v>
      </c>
      <c r="K346" s="279" t="str">
        <f>IF(AF346="","",AF346)</f>
        <v>NA</v>
      </c>
      <c r="L346" s="279" t="str">
        <f>IF(AG346="","",AG346)</f>
        <v>NA</v>
      </c>
      <c r="M346" s="279" t="str">
        <f>IF(AH346="","",AH346)</f>
        <v>NA</v>
      </c>
      <c r="N346" s="279" t="str">
        <f>IF(AI346="","",AI346)</f>
        <v>NA</v>
      </c>
      <c r="U346" s="388" t="s">
        <v>5467</v>
      </c>
      <c r="V346" s="389" t="s">
        <v>5378</v>
      </c>
      <c r="W346" s="389" t="str">
        <f t="shared" si="7"/>
        <v>2014Y</v>
      </c>
      <c r="X346" s="390" t="str">
        <f>[1]!SNLLabel(287,324676,,"&lt;&gt;363")</f>
        <v>AR: Individual Annuities</v>
      </c>
      <c r="Y346" s="391" t="s">
        <v>29</v>
      </c>
      <c r="Z346" s="391" t="s">
        <v>29</v>
      </c>
      <c r="AA346" s="391" t="s">
        <v>29</v>
      </c>
      <c r="AB346" s="391" t="s">
        <v>29</v>
      </c>
      <c r="AC346" s="391" t="s">
        <v>29</v>
      </c>
      <c r="AD346" s="391" t="s">
        <v>29</v>
      </c>
      <c r="AE346" s="391" t="s">
        <v>29</v>
      </c>
      <c r="AF346" s="391" t="s">
        <v>29</v>
      </c>
      <c r="AG346" s="391" t="s">
        <v>29</v>
      </c>
      <c r="AH346" s="391" t="s">
        <v>29</v>
      </c>
      <c r="AI346" s="391" t="s">
        <v>29</v>
      </c>
    </row>
    <row r="347" spans="2:35" ht="11.25" hidden="1" customHeight="1" outlineLevel="1" x14ac:dyDescent="0.35">
      <c r="B347" s="244" t="s">
        <v>5121</v>
      </c>
      <c r="C347" s="245"/>
      <c r="D347" s="279" t="str">
        <f>IF(Y347="","",Y347)</f>
        <v>NA</v>
      </c>
      <c r="E347" s="279" t="str">
        <f>IF(Z347="","",Z347)</f>
        <v>NA</v>
      </c>
      <c r="F347" s="279" t="str">
        <f>IF(AA347="","",AA347)</f>
        <v>NA</v>
      </c>
      <c r="G347" s="279" t="str">
        <f>IF(AB347="","",AB347)</f>
        <v>NA</v>
      </c>
      <c r="H347" s="279" t="str">
        <f>IF(AC347="","",AC347)</f>
        <v>NA</v>
      </c>
      <c r="I347" s="279" t="str">
        <f>IF(AD347="","",AD347)</f>
        <v>NA</v>
      </c>
      <c r="J347" s="279" t="str">
        <f>IF(AE347="","",AE347)</f>
        <v>NA</v>
      </c>
      <c r="K347" s="279" t="str">
        <f>IF(AF347="","",AF347)</f>
        <v>NA</v>
      </c>
      <c r="L347" s="279" t="str">
        <f>IF(AG347="","",AG347)</f>
        <v>NA</v>
      </c>
      <c r="M347" s="279" t="str">
        <f>IF(AH347="","",AH347)</f>
        <v>NA</v>
      </c>
      <c r="N347" s="279" t="str">
        <f>IF(AI347="","",AI347)</f>
        <v>NA</v>
      </c>
      <c r="U347" s="388" t="s">
        <v>5467</v>
      </c>
      <c r="V347" s="389" t="s">
        <v>5378</v>
      </c>
      <c r="W347" s="389" t="str">
        <f t="shared" si="7"/>
        <v>2014Y</v>
      </c>
      <c r="X347" s="390" t="str">
        <f>[1]!SNLLabel(287,324676,,"&lt;&gt;364")</f>
        <v>AR: Group Annuities</v>
      </c>
      <c r="Y347" s="391" t="s">
        <v>29</v>
      </c>
      <c r="Z347" s="391" t="s">
        <v>29</v>
      </c>
      <c r="AA347" s="391" t="s">
        <v>29</v>
      </c>
      <c r="AB347" s="391" t="s">
        <v>29</v>
      </c>
      <c r="AC347" s="391" t="s">
        <v>29</v>
      </c>
      <c r="AD347" s="391" t="s">
        <v>29</v>
      </c>
      <c r="AE347" s="391" t="s">
        <v>29</v>
      </c>
      <c r="AF347" s="391" t="s">
        <v>29</v>
      </c>
      <c r="AG347" s="391" t="s">
        <v>29</v>
      </c>
      <c r="AH347" s="391" t="s">
        <v>29</v>
      </c>
      <c r="AI347" s="391" t="s">
        <v>29</v>
      </c>
    </row>
    <row r="348" spans="2:35" ht="11.25" hidden="1" customHeight="1" outlineLevel="1" x14ac:dyDescent="0.35">
      <c r="B348" s="244" t="s">
        <v>5367</v>
      </c>
      <c r="C348" s="245"/>
      <c r="D348" s="279" t="str">
        <f>IF(Y348="","",Y348)</f>
        <v>NA</v>
      </c>
      <c r="E348" s="279" t="str">
        <f>IF(Z348="","",Z348)</f>
        <v>NA</v>
      </c>
      <c r="F348" s="279" t="str">
        <f>IF(AA348="","",AA348)</f>
        <v>NA</v>
      </c>
      <c r="G348" s="279" t="str">
        <f>IF(AB348="","",AB348)</f>
        <v>NA</v>
      </c>
      <c r="H348" s="279" t="str">
        <f>IF(AC348="","",AC348)</f>
        <v>NA</v>
      </c>
      <c r="I348" s="279" t="str">
        <f>IF(AD348="","",AD348)</f>
        <v>NA</v>
      </c>
      <c r="J348" s="279" t="str">
        <f>IF(AE348="","",AE348)</f>
        <v>NA</v>
      </c>
      <c r="K348" s="279" t="str">
        <f>IF(AF348="","",AF348)</f>
        <v>NA</v>
      </c>
      <c r="L348" s="279" t="str">
        <f>IF(AG348="","",AG348)</f>
        <v>NA</v>
      </c>
      <c r="M348" s="279" t="str">
        <f>IF(AH348="","",AH348)</f>
        <v>NA</v>
      </c>
      <c r="N348" s="279" t="str">
        <f>IF(AI348="","",AI348)</f>
        <v>NA</v>
      </c>
      <c r="U348" s="388" t="s">
        <v>5467</v>
      </c>
      <c r="V348" s="389" t="s">
        <v>5378</v>
      </c>
      <c r="W348" s="389" t="str">
        <f t="shared" si="7"/>
        <v>2014Y</v>
      </c>
      <c r="X348" s="390" t="str">
        <f>[1]!SNLLabel(287,324676,,"&lt;&gt;365")</f>
        <v>AR: Accident and Health</v>
      </c>
      <c r="Y348" s="391" t="s">
        <v>29</v>
      </c>
      <c r="Z348" s="391" t="s">
        <v>29</v>
      </c>
      <c r="AA348" s="391" t="s">
        <v>29</v>
      </c>
      <c r="AB348" s="391" t="s">
        <v>29</v>
      </c>
      <c r="AC348" s="391" t="s">
        <v>29</v>
      </c>
      <c r="AD348" s="391" t="s">
        <v>29</v>
      </c>
      <c r="AE348" s="391" t="s">
        <v>29</v>
      </c>
      <c r="AF348" s="391" t="s">
        <v>29</v>
      </c>
      <c r="AG348" s="391" t="s">
        <v>29</v>
      </c>
      <c r="AH348" s="391" t="s">
        <v>29</v>
      </c>
      <c r="AI348" s="391" t="s">
        <v>29</v>
      </c>
    </row>
    <row r="349" spans="2:35" ht="11.25" hidden="1" customHeight="1" outlineLevel="1" x14ac:dyDescent="0.35">
      <c r="B349" s="244" t="s">
        <v>5368</v>
      </c>
      <c r="C349" s="245"/>
      <c r="D349" s="279" t="str">
        <f>IF(Y349="","",Y349)</f>
        <v>NA</v>
      </c>
      <c r="E349" s="279" t="str">
        <f>IF(Z349="","",Z349)</f>
        <v>NA</v>
      </c>
      <c r="F349" s="279" t="str">
        <f>IF(AA349="","",AA349)</f>
        <v>NA</v>
      </c>
      <c r="G349" s="279" t="str">
        <f>IF(AB349="","",AB349)</f>
        <v>NA</v>
      </c>
      <c r="H349" s="279" t="str">
        <f>IF(AC349="","",AC349)</f>
        <v>NA</v>
      </c>
      <c r="I349" s="279" t="str">
        <f>IF(AD349="","",AD349)</f>
        <v>NA</v>
      </c>
      <c r="J349" s="279" t="str">
        <f>IF(AE349="","",AE349)</f>
        <v>NA</v>
      </c>
      <c r="K349" s="279" t="str">
        <f>IF(AF349="","",AF349)</f>
        <v>NA</v>
      </c>
      <c r="L349" s="279" t="str">
        <f>IF(AG349="","",AG349)</f>
        <v>NA</v>
      </c>
      <c r="M349" s="279" t="str">
        <f>IF(AH349="","",AH349)</f>
        <v>NA</v>
      </c>
      <c r="N349" s="279" t="str">
        <f>IF(AI349="","",AI349)</f>
        <v>NA</v>
      </c>
      <c r="U349" s="388" t="s">
        <v>5467</v>
      </c>
      <c r="V349" s="389" t="s">
        <v>5378</v>
      </c>
      <c r="W349" s="389" t="str">
        <f t="shared" si="7"/>
        <v>2014Y</v>
      </c>
      <c r="X349" s="390" t="str">
        <f>[1]!SNLLabel(287,324676,,"&lt;&gt;366")</f>
        <v>AR: Fraternal</v>
      </c>
      <c r="Y349" s="391" t="s">
        <v>29</v>
      </c>
      <c r="Z349" s="391" t="s">
        <v>29</v>
      </c>
      <c r="AA349" s="391" t="s">
        <v>29</v>
      </c>
      <c r="AB349" s="391" t="s">
        <v>29</v>
      </c>
      <c r="AC349" s="391" t="s">
        <v>29</v>
      </c>
      <c r="AD349" s="391" t="s">
        <v>29</v>
      </c>
      <c r="AE349" s="391" t="s">
        <v>29</v>
      </c>
      <c r="AF349" s="391" t="s">
        <v>29</v>
      </c>
      <c r="AG349" s="391" t="s">
        <v>29</v>
      </c>
      <c r="AH349" s="391" t="s">
        <v>29</v>
      </c>
      <c r="AI349" s="391" t="s">
        <v>29</v>
      </c>
    </row>
    <row r="350" spans="2:35" ht="11.25" hidden="1" customHeight="1" outlineLevel="1" x14ac:dyDescent="0.35">
      <c r="B350" s="244" t="s">
        <v>5369</v>
      </c>
      <c r="C350" s="245"/>
      <c r="D350" s="279" t="str">
        <f>IF(Y350="","",Y350)</f>
        <v>NA</v>
      </c>
      <c r="E350" s="279" t="str">
        <f>IF(Z350="","",Z350)</f>
        <v>NA</v>
      </c>
      <c r="F350" s="279" t="str">
        <f>IF(AA350="","",AA350)</f>
        <v>NA</v>
      </c>
      <c r="G350" s="279" t="str">
        <f>IF(AB350="","",AB350)</f>
        <v>NA</v>
      </c>
      <c r="H350" s="279" t="str">
        <f>IF(AC350="","",AC350)</f>
        <v>NA</v>
      </c>
      <c r="I350" s="279" t="str">
        <f>IF(AD350="","",AD350)</f>
        <v>NA</v>
      </c>
      <c r="J350" s="279" t="str">
        <f>IF(AE350="","",AE350)</f>
        <v>NA</v>
      </c>
      <c r="K350" s="279" t="str">
        <f>IF(AF350="","",AF350)</f>
        <v>NA</v>
      </c>
      <c r="L350" s="279" t="str">
        <f>IF(AG350="","",AG350)</f>
        <v>NA</v>
      </c>
      <c r="M350" s="279" t="str">
        <f>IF(AH350="","",AH350)</f>
        <v>NA</v>
      </c>
      <c r="N350" s="279" t="str">
        <f>IF(AI350="","",AI350)</f>
        <v>NA</v>
      </c>
      <c r="U350" s="388" t="s">
        <v>5467</v>
      </c>
      <c r="V350" s="389" t="s">
        <v>5378</v>
      </c>
      <c r="W350" s="389" t="str">
        <f t="shared" si="7"/>
        <v>2014Y</v>
      </c>
      <c r="X350" s="390" t="str">
        <f>[1]!SNLLabel(287,324676,,"&lt;&gt;367")</f>
        <v>AR: Other Lines of Business</v>
      </c>
      <c r="Y350" s="391" t="s">
        <v>29</v>
      </c>
      <c r="Z350" s="391" t="s">
        <v>29</v>
      </c>
      <c r="AA350" s="391" t="s">
        <v>29</v>
      </c>
      <c r="AB350" s="391" t="s">
        <v>29</v>
      </c>
      <c r="AC350" s="391" t="s">
        <v>29</v>
      </c>
      <c r="AD350" s="391" t="s">
        <v>29</v>
      </c>
      <c r="AE350" s="391" t="s">
        <v>29</v>
      </c>
      <c r="AF350" s="391" t="s">
        <v>29</v>
      </c>
      <c r="AG350" s="391" t="s">
        <v>29</v>
      </c>
      <c r="AH350" s="391" t="s">
        <v>29</v>
      </c>
      <c r="AI350" s="391" t="s">
        <v>29</v>
      </c>
    </row>
    <row r="351" spans="2:35" ht="11.25" hidden="1" customHeight="1" outlineLevel="1" x14ac:dyDescent="0.35">
      <c r="B351" s="244" t="s">
        <v>5370</v>
      </c>
      <c r="C351" s="245"/>
      <c r="D351" s="279" t="str">
        <f>IF(Y351="","",Y351)</f>
        <v>NA</v>
      </c>
      <c r="E351" s="279" t="str">
        <f>IF(Z351="","",Z351)</f>
        <v>NA</v>
      </c>
      <c r="F351" s="279" t="str">
        <f>IF(AA351="","",AA351)</f>
        <v>NA</v>
      </c>
      <c r="G351" s="279" t="str">
        <f>IF(AB351="","",AB351)</f>
        <v>NA</v>
      </c>
      <c r="H351" s="279" t="str">
        <f>IF(AC351="","",AC351)</f>
        <v>NA</v>
      </c>
      <c r="I351" s="279" t="str">
        <f>IF(AD351="","",AD351)</f>
        <v>NA</v>
      </c>
      <c r="J351" s="279" t="str">
        <f>IF(AE351="","",AE351)</f>
        <v>NA</v>
      </c>
      <c r="K351" s="279" t="str">
        <f>IF(AF351="","",AF351)</f>
        <v>NA</v>
      </c>
      <c r="L351" s="279" t="str">
        <f>IF(AG351="","",AG351)</f>
        <v>NA</v>
      </c>
      <c r="M351" s="279" t="str">
        <f>IF(AH351="","",AH351)</f>
        <v>NA</v>
      </c>
      <c r="N351" s="279" t="str">
        <f>IF(AI351="","",AI351)</f>
        <v>NA</v>
      </c>
      <c r="U351" s="388" t="s">
        <v>5467</v>
      </c>
      <c r="V351" s="389" t="s">
        <v>5378</v>
      </c>
      <c r="W351" s="389" t="str">
        <f t="shared" si="7"/>
        <v>2014Y</v>
      </c>
      <c r="X351" s="390" t="str">
        <f>[1]!SNLLabel(287,324676,,"&lt;&gt;368")</f>
        <v>AR: YRT Mortality Risk Only</v>
      </c>
      <c r="Y351" s="391" t="s">
        <v>29</v>
      </c>
      <c r="Z351" s="391" t="s">
        <v>29</v>
      </c>
      <c r="AA351" s="391" t="s">
        <v>29</v>
      </c>
      <c r="AB351" s="391" t="s">
        <v>29</v>
      </c>
      <c r="AC351" s="391" t="s">
        <v>29</v>
      </c>
      <c r="AD351" s="391" t="s">
        <v>29</v>
      </c>
      <c r="AE351" s="391" t="s">
        <v>29</v>
      </c>
      <c r="AF351" s="391" t="s">
        <v>29</v>
      </c>
      <c r="AG351" s="391" t="s">
        <v>29</v>
      </c>
      <c r="AH351" s="391" t="s">
        <v>29</v>
      </c>
      <c r="AI351" s="391" t="s">
        <v>29</v>
      </c>
    </row>
    <row r="352" spans="2:35" ht="11.25" hidden="1" customHeight="1" outlineLevel="1" x14ac:dyDescent="0.35">
      <c r="B352" s="244" t="s">
        <v>5371</v>
      </c>
      <c r="C352" s="245"/>
      <c r="D352" s="279" t="str">
        <f>IF(Y352="","",Y352)</f>
        <v>NA</v>
      </c>
      <c r="E352" s="279" t="str">
        <f>IF(Z352="","",Z352)</f>
        <v>NA</v>
      </c>
      <c r="F352" s="279" t="str">
        <f>IF(AA352="","",AA352)</f>
        <v>NA</v>
      </c>
      <c r="G352" s="279" t="str">
        <f>IF(AB352="","",AB352)</f>
        <v>NA</v>
      </c>
      <c r="H352" s="279" t="str">
        <f>IF(AC352="","",AC352)</f>
        <v>NA</v>
      </c>
      <c r="I352" s="279" t="str">
        <f>IF(AD352="","",AD352)</f>
        <v>NA</v>
      </c>
      <c r="J352" s="279" t="str">
        <f>IF(AE352="","",AE352)</f>
        <v>NA</v>
      </c>
      <c r="K352" s="279" t="str">
        <f>IF(AF352="","",AF352)</f>
        <v>NA</v>
      </c>
      <c r="L352" s="279" t="str">
        <f>IF(AG352="","",AG352)</f>
        <v>NA</v>
      </c>
      <c r="M352" s="279" t="str">
        <f>IF(AH352="","",AH352)</f>
        <v>NA</v>
      </c>
      <c r="N352" s="279" t="str">
        <f>IF(AI352="","",AI352)</f>
        <v>NA</v>
      </c>
      <c r="U352" s="388" t="s">
        <v>5467</v>
      </c>
      <c r="V352" s="389" t="s">
        <v>5378</v>
      </c>
      <c r="W352" s="389" t="str">
        <f t="shared" si="7"/>
        <v>2014Y</v>
      </c>
      <c r="X352" s="390" t="str">
        <f>[1]!SNLLabel(287,324676,,"&lt;&gt;369")</f>
        <v>AR: Individual and Group Life</v>
      </c>
      <c r="Y352" s="391" t="s">
        <v>29</v>
      </c>
      <c r="Z352" s="391" t="s">
        <v>29</v>
      </c>
      <c r="AA352" s="391" t="s">
        <v>29</v>
      </c>
      <c r="AB352" s="391" t="s">
        <v>29</v>
      </c>
      <c r="AC352" s="391" t="s">
        <v>29</v>
      </c>
      <c r="AD352" s="391" t="s">
        <v>29</v>
      </c>
      <c r="AE352" s="391" t="s">
        <v>29</v>
      </c>
      <c r="AF352" s="391" t="s">
        <v>29</v>
      </c>
      <c r="AG352" s="391" t="s">
        <v>29</v>
      </c>
      <c r="AH352" s="391" t="s">
        <v>29</v>
      </c>
      <c r="AI352" s="391" t="s">
        <v>29</v>
      </c>
    </row>
    <row r="353" spans="2:35" ht="11.25" hidden="1" customHeight="1" outlineLevel="1" x14ac:dyDescent="0.35">
      <c r="B353" s="244" t="s">
        <v>5372</v>
      </c>
      <c r="C353" s="245"/>
      <c r="D353" s="279" t="str">
        <f>IF(Y353="","",Y353)</f>
        <v>NA</v>
      </c>
      <c r="E353" s="279" t="str">
        <f>IF(Z353="","",Z353)</f>
        <v>NA</v>
      </c>
      <c r="F353" s="279" t="str">
        <f>IF(AA353="","",AA353)</f>
        <v>NA</v>
      </c>
      <c r="G353" s="279" t="str">
        <f>IF(AB353="","",AB353)</f>
        <v>NA</v>
      </c>
      <c r="H353" s="279" t="str">
        <f>IF(AC353="","",AC353)</f>
        <v>NA</v>
      </c>
      <c r="I353" s="279" t="str">
        <f>IF(AD353="","",AD353)</f>
        <v>NA</v>
      </c>
      <c r="J353" s="279" t="str">
        <f>IF(AE353="","",AE353)</f>
        <v>NA</v>
      </c>
      <c r="K353" s="279" t="str">
        <f>IF(AF353="","",AF353)</f>
        <v>NA</v>
      </c>
      <c r="L353" s="279" t="str">
        <f>IF(AG353="","",AG353)</f>
        <v>NA</v>
      </c>
      <c r="M353" s="279" t="str">
        <f>IF(AH353="","",AH353)</f>
        <v>NA</v>
      </c>
      <c r="N353" s="279" t="str">
        <f>IF(AI353="","",AI353)</f>
        <v>NA</v>
      </c>
      <c r="U353" s="367" t="s">
        <v>5467</v>
      </c>
      <c r="V353" s="368" t="s">
        <v>5378</v>
      </c>
      <c r="W353" s="368" t="str">
        <f t="shared" si="7"/>
        <v>2014Y</v>
      </c>
      <c r="X353" s="369" t="str">
        <f>[1]!SNLLabel(287,324676,,"&lt;&gt;370")</f>
        <v>AR: Individual and Group Annuities</v>
      </c>
      <c r="Y353" s="371" t="s">
        <v>29</v>
      </c>
      <c r="Z353" s="371" t="s">
        <v>29</v>
      </c>
      <c r="AA353" s="371" t="s">
        <v>29</v>
      </c>
      <c r="AB353" s="371" t="s">
        <v>29</v>
      </c>
      <c r="AC353" s="371" t="s">
        <v>29</v>
      </c>
      <c r="AD353" s="371" t="s">
        <v>29</v>
      </c>
      <c r="AE353" s="371" t="s">
        <v>29</v>
      </c>
      <c r="AF353" s="371" t="s">
        <v>29</v>
      </c>
      <c r="AG353" s="371" t="s">
        <v>29</v>
      </c>
      <c r="AH353" s="371" t="s">
        <v>29</v>
      </c>
      <c r="AI353" s="371" t="s">
        <v>29</v>
      </c>
    </row>
    <row r="354" spans="2:35" ht="11.25" hidden="1" customHeight="1" outlineLevel="1" x14ac:dyDescent="0.35">
      <c r="B354" s="244"/>
      <c r="C354" s="245"/>
      <c r="D354" s="279"/>
      <c r="E354" s="305"/>
      <c r="F354" s="305"/>
      <c r="G354" s="305"/>
      <c r="H354" s="305"/>
      <c r="I354" s="305"/>
      <c r="J354" s="305"/>
      <c r="K354" s="305"/>
      <c r="L354" s="305"/>
      <c r="M354" s="305"/>
      <c r="N354" s="305"/>
    </row>
    <row r="355" spans="2:35" ht="11.25" hidden="1" customHeight="1" outlineLevel="1" x14ac:dyDescent="0.35">
      <c r="B355" s="246" t="s">
        <v>5468</v>
      </c>
      <c r="C355" s="245"/>
      <c r="D355" s="279"/>
      <c r="E355" s="305"/>
      <c r="F355" s="305"/>
      <c r="G355" s="305"/>
      <c r="H355" s="305"/>
      <c r="I355" s="305"/>
      <c r="J355" s="305"/>
      <c r="K355" s="305"/>
      <c r="L355" s="305"/>
      <c r="M355" s="305"/>
      <c r="N355" s="305"/>
    </row>
    <row r="356" spans="2:35" ht="11.25" hidden="1" customHeight="1" outlineLevel="1" x14ac:dyDescent="0.35">
      <c r="B356" s="244" t="s">
        <v>5365</v>
      </c>
      <c r="C356" s="245"/>
      <c r="D356" s="279" t="str">
        <f>IF(Y356="","",Y356)</f>
        <v>NA</v>
      </c>
      <c r="E356" s="279" t="str">
        <f>IF(Z356="","",Z356)</f>
        <v>NA</v>
      </c>
      <c r="F356" s="279" t="str">
        <f>IF(AA356="","",AA356)</f>
        <v>NA</v>
      </c>
      <c r="G356" s="279" t="str">
        <f>IF(AB356="","",AB356)</f>
        <v>NA</v>
      </c>
      <c r="H356" s="279" t="str">
        <f>IF(AC356="","",AC356)</f>
        <v>NA</v>
      </c>
      <c r="I356" s="279" t="str">
        <f>IF(AD356="","",AD356)</f>
        <v>NA</v>
      </c>
      <c r="J356" s="279" t="str">
        <f>IF(AE356="","",AE356)</f>
        <v>NA</v>
      </c>
      <c r="K356" s="279" t="str">
        <f>IF(AF356="","",AF356)</f>
        <v>NA</v>
      </c>
      <c r="L356" s="279" t="str">
        <f>IF(AG356="","",AG356)</f>
        <v>NA</v>
      </c>
      <c r="M356" s="279" t="str">
        <f>IF(AH356="","",AH356)</f>
        <v>NA</v>
      </c>
      <c r="N356" s="279" t="str">
        <f>IF(AI356="","",AI356)</f>
        <v>NA</v>
      </c>
      <c r="U356" s="384" t="s">
        <v>5468</v>
      </c>
      <c r="V356" s="385" t="s">
        <v>5379</v>
      </c>
      <c r="W356" s="385" t="str">
        <f t="shared" ref="W356:W366" si="8">Period</f>
        <v>2014Y</v>
      </c>
      <c r="X356" s="386" t="str">
        <f>[1]!SNLLabel(287,324678,,"&lt;&gt;360")</f>
        <v>AR: Analysis of Operations All Lines</v>
      </c>
      <c r="Y356" s="387" t="s">
        <v>29</v>
      </c>
      <c r="Z356" s="387" t="s">
        <v>29</v>
      </c>
      <c r="AA356" s="387" t="s">
        <v>29</v>
      </c>
      <c r="AB356" s="387" t="s">
        <v>29</v>
      </c>
      <c r="AC356" s="387" t="s">
        <v>29</v>
      </c>
      <c r="AD356" s="387" t="s">
        <v>29</v>
      </c>
      <c r="AE356" s="387" t="s">
        <v>29</v>
      </c>
      <c r="AF356" s="387" t="s">
        <v>29</v>
      </c>
      <c r="AG356" s="387" t="s">
        <v>29</v>
      </c>
      <c r="AH356" s="387" t="s">
        <v>29</v>
      </c>
      <c r="AI356" s="387" t="s">
        <v>29</v>
      </c>
    </row>
    <row r="357" spans="2:35" ht="11.25" hidden="1" customHeight="1" outlineLevel="1" x14ac:dyDescent="0.35">
      <c r="B357" s="244" t="s">
        <v>5366</v>
      </c>
      <c r="C357" s="245"/>
      <c r="D357" s="279" t="str">
        <f>IF(Y357="","",Y357)</f>
        <v>NA</v>
      </c>
      <c r="E357" s="279" t="str">
        <f>IF(Z357="","",Z357)</f>
        <v>NA</v>
      </c>
      <c r="F357" s="279" t="str">
        <f>IF(AA357="","",AA357)</f>
        <v>NA</v>
      </c>
      <c r="G357" s="279" t="str">
        <f>IF(AB357="","",AB357)</f>
        <v>NA</v>
      </c>
      <c r="H357" s="279" t="str">
        <f>IF(AC357="","",AC357)</f>
        <v>NA</v>
      </c>
      <c r="I357" s="279" t="str">
        <f>IF(AD357="","",AD357)</f>
        <v>NA</v>
      </c>
      <c r="J357" s="279" t="str">
        <f>IF(AE357="","",AE357)</f>
        <v>NA</v>
      </c>
      <c r="K357" s="279" t="str">
        <f>IF(AF357="","",AF357)</f>
        <v>NA</v>
      </c>
      <c r="L357" s="279" t="str">
        <f>IF(AG357="","",AG357)</f>
        <v>NA</v>
      </c>
      <c r="M357" s="279" t="str">
        <f>IF(AH357="","",AH357)</f>
        <v>NA</v>
      </c>
      <c r="N357" s="279" t="str">
        <f>IF(AI357="","",AI357)</f>
        <v>NA</v>
      </c>
      <c r="U357" s="388" t="s">
        <v>5468</v>
      </c>
      <c r="V357" s="389" t="s">
        <v>5379</v>
      </c>
      <c r="W357" s="389" t="str">
        <f t="shared" si="8"/>
        <v>2014Y</v>
      </c>
      <c r="X357" s="390" t="str">
        <f>[1]!SNLLabel(287,324678,,"&lt;&gt;361")</f>
        <v>AR: Individual Life</v>
      </c>
      <c r="Y357" s="391" t="s">
        <v>29</v>
      </c>
      <c r="Z357" s="391" t="s">
        <v>29</v>
      </c>
      <c r="AA357" s="391" t="s">
        <v>29</v>
      </c>
      <c r="AB357" s="391" t="s">
        <v>29</v>
      </c>
      <c r="AC357" s="391" t="s">
        <v>29</v>
      </c>
      <c r="AD357" s="391" t="s">
        <v>29</v>
      </c>
      <c r="AE357" s="391" t="s">
        <v>29</v>
      </c>
      <c r="AF357" s="391" t="s">
        <v>29</v>
      </c>
      <c r="AG357" s="391" t="s">
        <v>29</v>
      </c>
      <c r="AH357" s="391" t="s">
        <v>29</v>
      </c>
      <c r="AI357" s="391" t="s">
        <v>29</v>
      </c>
    </row>
    <row r="358" spans="2:35" ht="11.25" hidden="1" customHeight="1" outlineLevel="1" x14ac:dyDescent="0.35">
      <c r="B358" s="244" t="s">
        <v>5122</v>
      </c>
      <c r="C358" s="245"/>
      <c r="D358" s="279" t="str">
        <f>IF(Y358="","",Y358)</f>
        <v>NA</v>
      </c>
      <c r="E358" s="279" t="str">
        <f>IF(Z358="","",Z358)</f>
        <v>NA</v>
      </c>
      <c r="F358" s="279" t="str">
        <f>IF(AA358="","",AA358)</f>
        <v>NA</v>
      </c>
      <c r="G358" s="279" t="str">
        <f>IF(AB358="","",AB358)</f>
        <v>NA</v>
      </c>
      <c r="H358" s="279" t="str">
        <f>IF(AC358="","",AC358)</f>
        <v>NA</v>
      </c>
      <c r="I358" s="279" t="str">
        <f>IF(AD358="","",AD358)</f>
        <v>NA</v>
      </c>
      <c r="J358" s="279" t="str">
        <f>IF(AE358="","",AE358)</f>
        <v>NA</v>
      </c>
      <c r="K358" s="279" t="str">
        <f>IF(AF358="","",AF358)</f>
        <v>NA</v>
      </c>
      <c r="L358" s="279" t="str">
        <f>IF(AG358="","",AG358)</f>
        <v>NA</v>
      </c>
      <c r="M358" s="279" t="str">
        <f>IF(AH358="","",AH358)</f>
        <v>NA</v>
      </c>
      <c r="N358" s="279" t="str">
        <f>IF(AI358="","",AI358)</f>
        <v>NA</v>
      </c>
      <c r="U358" s="388" t="s">
        <v>5468</v>
      </c>
      <c r="V358" s="389" t="s">
        <v>5379</v>
      </c>
      <c r="W358" s="389" t="str">
        <f t="shared" si="8"/>
        <v>2014Y</v>
      </c>
      <c r="X358" s="390" t="str">
        <f>[1]!SNLLabel(287,324678,,"&lt;&gt;362")</f>
        <v>AR: Group Life</v>
      </c>
      <c r="Y358" s="391" t="s">
        <v>29</v>
      </c>
      <c r="Z358" s="391" t="s">
        <v>29</v>
      </c>
      <c r="AA358" s="391" t="s">
        <v>29</v>
      </c>
      <c r="AB358" s="391" t="s">
        <v>29</v>
      </c>
      <c r="AC358" s="391" t="s">
        <v>29</v>
      </c>
      <c r="AD358" s="391" t="s">
        <v>29</v>
      </c>
      <c r="AE358" s="391" t="s">
        <v>29</v>
      </c>
      <c r="AF358" s="391" t="s">
        <v>29</v>
      </c>
      <c r="AG358" s="391" t="s">
        <v>29</v>
      </c>
      <c r="AH358" s="391" t="s">
        <v>29</v>
      </c>
      <c r="AI358" s="391" t="s">
        <v>29</v>
      </c>
    </row>
    <row r="359" spans="2:35" ht="11.25" hidden="1" customHeight="1" outlineLevel="1" x14ac:dyDescent="0.35">
      <c r="B359" s="244" t="s">
        <v>5124</v>
      </c>
      <c r="C359" s="245"/>
      <c r="D359" s="279" t="str">
        <f>IF(Y359="","",Y359)</f>
        <v>NA</v>
      </c>
      <c r="E359" s="279" t="str">
        <f>IF(Z359="","",Z359)</f>
        <v>NA</v>
      </c>
      <c r="F359" s="279" t="str">
        <f>IF(AA359="","",AA359)</f>
        <v>NA</v>
      </c>
      <c r="G359" s="279" t="str">
        <f>IF(AB359="","",AB359)</f>
        <v>NA</v>
      </c>
      <c r="H359" s="279" t="str">
        <f>IF(AC359="","",AC359)</f>
        <v>NA</v>
      </c>
      <c r="I359" s="279" t="str">
        <f>IF(AD359="","",AD359)</f>
        <v>NA</v>
      </c>
      <c r="J359" s="279" t="str">
        <f>IF(AE359="","",AE359)</f>
        <v>NA</v>
      </c>
      <c r="K359" s="279" t="str">
        <f>IF(AF359="","",AF359)</f>
        <v>NA</v>
      </c>
      <c r="L359" s="279" t="str">
        <f>IF(AG359="","",AG359)</f>
        <v>NA</v>
      </c>
      <c r="M359" s="279" t="str">
        <f>IF(AH359="","",AH359)</f>
        <v>NA</v>
      </c>
      <c r="N359" s="279" t="str">
        <f>IF(AI359="","",AI359)</f>
        <v>NA</v>
      </c>
      <c r="U359" s="388" t="s">
        <v>5468</v>
      </c>
      <c r="V359" s="389" t="s">
        <v>5379</v>
      </c>
      <c r="W359" s="389" t="str">
        <f t="shared" si="8"/>
        <v>2014Y</v>
      </c>
      <c r="X359" s="390" t="str">
        <f>[1]!SNLLabel(287,324678,,"&lt;&gt;363")</f>
        <v>AR: Individual Annuities</v>
      </c>
      <c r="Y359" s="391" t="s">
        <v>29</v>
      </c>
      <c r="Z359" s="391" t="s">
        <v>29</v>
      </c>
      <c r="AA359" s="391" t="s">
        <v>29</v>
      </c>
      <c r="AB359" s="391" t="s">
        <v>29</v>
      </c>
      <c r="AC359" s="391" t="s">
        <v>29</v>
      </c>
      <c r="AD359" s="391" t="s">
        <v>29</v>
      </c>
      <c r="AE359" s="391" t="s">
        <v>29</v>
      </c>
      <c r="AF359" s="391" t="s">
        <v>29</v>
      </c>
      <c r="AG359" s="391" t="s">
        <v>29</v>
      </c>
      <c r="AH359" s="391" t="s">
        <v>29</v>
      </c>
      <c r="AI359" s="391" t="s">
        <v>29</v>
      </c>
    </row>
    <row r="360" spans="2:35" ht="11.25" hidden="1" customHeight="1" outlineLevel="1" x14ac:dyDescent="0.35">
      <c r="B360" s="244" t="s">
        <v>5121</v>
      </c>
      <c r="C360" s="245"/>
      <c r="D360" s="279" t="str">
        <f>IF(Y360="","",Y360)</f>
        <v>NA</v>
      </c>
      <c r="E360" s="279" t="str">
        <f>IF(Z360="","",Z360)</f>
        <v>NA</v>
      </c>
      <c r="F360" s="279" t="str">
        <f>IF(AA360="","",AA360)</f>
        <v>NA</v>
      </c>
      <c r="G360" s="279" t="str">
        <f>IF(AB360="","",AB360)</f>
        <v>NA</v>
      </c>
      <c r="H360" s="279" t="str">
        <f>IF(AC360="","",AC360)</f>
        <v>NA</v>
      </c>
      <c r="I360" s="279" t="str">
        <f>IF(AD360="","",AD360)</f>
        <v>NA</v>
      </c>
      <c r="J360" s="279" t="str">
        <f>IF(AE360="","",AE360)</f>
        <v>NA</v>
      </c>
      <c r="K360" s="279" t="str">
        <f>IF(AF360="","",AF360)</f>
        <v>NA</v>
      </c>
      <c r="L360" s="279" t="str">
        <f>IF(AG360="","",AG360)</f>
        <v>NA</v>
      </c>
      <c r="M360" s="279" t="str">
        <f>IF(AH360="","",AH360)</f>
        <v>NA</v>
      </c>
      <c r="N360" s="279" t="str">
        <f>IF(AI360="","",AI360)</f>
        <v>NA</v>
      </c>
      <c r="U360" s="388" t="s">
        <v>5468</v>
      </c>
      <c r="V360" s="389" t="s">
        <v>5379</v>
      </c>
      <c r="W360" s="389" t="str">
        <f t="shared" si="8"/>
        <v>2014Y</v>
      </c>
      <c r="X360" s="390" t="str">
        <f>[1]!SNLLabel(287,324678,,"&lt;&gt;364")</f>
        <v>AR: Group Annuities</v>
      </c>
      <c r="Y360" s="391" t="s">
        <v>29</v>
      </c>
      <c r="Z360" s="391" t="s">
        <v>29</v>
      </c>
      <c r="AA360" s="391" t="s">
        <v>29</v>
      </c>
      <c r="AB360" s="391" t="s">
        <v>29</v>
      </c>
      <c r="AC360" s="391" t="s">
        <v>29</v>
      </c>
      <c r="AD360" s="391" t="s">
        <v>29</v>
      </c>
      <c r="AE360" s="391" t="s">
        <v>29</v>
      </c>
      <c r="AF360" s="391" t="s">
        <v>29</v>
      </c>
      <c r="AG360" s="391" t="s">
        <v>29</v>
      </c>
      <c r="AH360" s="391" t="s">
        <v>29</v>
      </c>
      <c r="AI360" s="391" t="s">
        <v>29</v>
      </c>
    </row>
    <row r="361" spans="2:35" ht="11.25" hidden="1" customHeight="1" outlineLevel="1" x14ac:dyDescent="0.35">
      <c r="B361" s="244" t="s">
        <v>5367</v>
      </c>
      <c r="C361" s="245"/>
      <c r="D361" s="279" t="str">
        <f>IF(Y361="","",Y361)</f>
        <v>NA</v>
      </c>
      <c r="E361" s="279" t="str">
        <f>IF(Z361="","",Z361)</f>
        <v>NA</v>
      </c>
      <c r="F361" s="279" t="str">
        <f>IF(AA361="","",AA361)</f>
        <v>NA</v>
      </c>
      <c r="G361" s="279" t="str">
        <f>IF(AB361="","",AB361)</f>
        <v>NA</v>
      </c>
      <c r="H361" s="279" t="str">
        <f>IF(AC361="","",AC361)</f>
        <v>NA</v>
      </c>
      <c r="I361" s="279" t="str">
        <f>IF(AD361="","",AD361)</f>
        <v>NA</v>
      </c>
      <c r="J361" s="279" t="str">
        <f>IF(AE361="","",AE361)</f>
        <v>NA</v>
      </c>
      <c r="K361" s="279" t="str">
        <f>IF(AF361="","",AF361)</f>
        <v>NA</v>
      </c>
      <c r="L361" s="279" t="str">
        <f>IF(AG361="","",AG361)</f>
        <v>NA</v>
      </c>
      <c r="M361" s="279" t="str">
        <f>IF(AH361="","",AH361)</f>
        <v>NA</v>
      </c>
      <c r="N361" s="279" t="str">
        <f>IF(AI361="","",AI361)</f>
        <v>NA</v>
      </c>
      <c r="U361" s="388" t="s">
        <v>5468</v>
      </c>
      <c r="V361" s="389" t="s">
        <v>5379</v>
      </c>
      <c r="W361" s="389" t="str">
        <f t="shared" si="8"/>
        <v>2014Y</v>
      </c>
      <c r="X361" s="390" t="str">
        <f>[1]!SNLLabel(287,324678,,"&lt;&gt;365")</f>
        <v>AR: Accident and Health</v>
      </c>
      <c r="Y361" s="391" t="s">
        <v>29</v>
      </c>
      <c r="Z361" s="391" t="s">
        <v>29</v>
      </c>
      <c r="AA361" s="391" t="s">
        <v>29</v>
      </c>
      <c r="AB361" s="391" t="s">
        <v>29</v>
      </c>
      <c r="AC361" s="391" t="s">
        <v>29</v>
      </c>
      <c r="AD361" s="391" t="s">
        <v>29</v>
      </c>
      <c r="AE361" s="391" t="s">
        <v>29</v>
      </c>
      <c r="AF361" s="391" t="s">
        <v>29</v>
      </c>
      <c r="AG361" s="391" t="s">
        <v>29</v>
      </c>
      <c r="AH361" s="391" t="s">
        <v>29</v>
      </c>
      <c r="AI361" s="391" t="s">
        <v>29</v>
      </c>
    </row>
    <row r="362" spans="2:35" ht="11.25" hidden="1" customHeight="1" outlineLevel="1" x14ac:dyDescent="0.35">
      <c r="B362" s="244" t="s">
        <v>5368</v>
      </c>
      <c r="C362" s="245"/>
      <c r="D362" s="279" t="str">
        <f>IF(Y362="","",Y362)</f>
        <v>NA</v>
      </c>
      <c r="E362" s="279" t="str">
        <f>IF(Z362="","",Z362)</f>
        <v>NA</v>
      </c>
      <c r="F362" s="279" t="str">
        <f>IF(AA362="","",AA362)</f>
        <v>NA</v>
      </c>
      <c r="G362" s="279" t="str">
        <f>IF(AB362="","",AB362)</f>
        <v>NA</v>
      </c>
      <c r="H362" s="279" t="str">
        <f>IF(AC362="","",AC362)</f>
        <v>NA</v>
      </c>
      <c r="I362" s="279" t="str">
        <f>IF(AD362="","",AD362)</f>
        <v>NA</v>
      </c>
      <c r="J362" s="279" t="str">
        <f>IF(AE362="","",AE362)</f>
        <v>NA</v>
      </c>
      <c r="K362" s="279" t="str">
        <f>IF(AF362="","",AF362)</f>
        <v>NA</v>
      </c>
      <c r="L362" s="279" t="str">
        <f>IF(AG362="","",AG362)</f>
        <v>NA</v>
      </c>
      <c r="M362" s="279" t="str">
        <f>IF(AH362="","",AH362)</f>
        <v>NA</v>
      </c>
      <c r="N362" s="279" t="str">
        <f>IF(AI362="","",AI362)</f>
        <v>NA</v>
      </c>
      <c r="U362" s="388" t="s">
        <v>5468</v>
      </c>
      <c r="V362" s="389" t="s">
        <v>5379</v>
      </c>
      <c r="W362" s="389" t="str">
        <f t="shared" si="8"/>
        <v>2014Y</v>
      </c>
      <c r="X362" s="390" t="str">
        <f>[1]!SNLLabel(287,324678,,"&lt;&gt;366")</f>
        <v>AR: Fraternal</v>
      </c>
      <c r="Y362" s="391" t="s">
        <v>29</v>
      </c>
      <c r="Z362" s="391" t="s">
        <v>29</v>
      </c>
      <c r="AA362" s="391" t="s">
        <v>29</v>
      </c>
      <c r="AB362" s="391" t="s">
        <v>29</v>
      </c>
      <c r="AC362" s="391" t="s">
        <v>29</v>
      </c>
      <c r="AD362" s="391" t="s">
        <v>29</v>
      </c>
      <c r="AE362" s="391" t="s">
        <v>29</v>
      </c>
      <c r="AF362" s="391" t="s">
        <v>29</v>
      </c>
      <c r="AG362" s="391" t="s">
        <v>29</v>
      </c>
      <c r="AH362" s="391" t="s">
        <v>29</v>
      </c>
      <c r="AI362" s="391" t="s">
        <v>29</v>
      </c>
    </row>
    <row r="363" spans="2:35" ht="11.25" hidden="1" customHeight="1" outlineLevel="1" x14ac:dyDescent="0.35">
      <c r="B363" s="244" t="s">
        <v>5369</v>
      </c>
      <c r="C363" s="245"/>
      <c r="D363" s="279" t="str">
        <f>IF(Y363="","",Y363)</f>
        <v>NA</v>
      </c>
      <c r="E363" s="279" t="str">
        <f>IF(Z363="","",Z363)</f>
        <v>NA</v>
      </c>
      <c r="F363" s="279" t="str">
        <f>IF(AA363="","",AA363)</f>
        <v>NA</v>
      </c>
      <c r="G363" s="279" t="str">
        <f>IF(AB363="","",AB363)</f>
        <v>NA</v>
      </c>
      <c r="H363" s="279" t="str">
        <f>IF(AC363="","",AC363)</f>
        <v>NA</v>
      </c>
      <c r="I363" s="279" t="str">
        <f>IF(AD363="","",AD363)</f>
        <v>NA</v>
      </c>
      <c r="J363" s="279" t="str">
        <f>IF(AE363="","",AE363)</f>
        <v>NA</v>
      </c>
      <c r="K363" s="279" t="str">
        <f>IF(AF363="","",AF363)</f>
        <v>NA</v>
      </c>
      <c r="L363" s="279" t="str">
        <f>IF(AG363="","",AG363)</f>
        <v>NA</v>
      </c>
      <c r="M363" s="279" t="str">
        <f>IF(AH363="","",AH363)</f>
        <v>NA</v>
      </c>
      <c r="N363" s="279" t="str">
        <f>IF(AI363="","",AI363)</f>
        <v>NA</v>
      </c>
      <c r="U363" s="388" t="s">
        <v>5468</v>
      </c>
      <c r="V363" s="389" t="s">
        <v>5379</v>
      </c>
      <c r="W363" s="389" t="str">
        <f t="shared" si="8"/>
        <v>2014Y</v>
      </c>
      <c r="X363" s="390" t="str">
        <f>[1]!SNLLabel(287,324678,,"&lt;&gt;367")</f>
        <v>AR: Other Lines of Business</v>
      </c>
      <c r="Y363" s="391" t="s">
        <v>29</v>
      </c>
      <c r="Z363" s="391" t="s">
        <v>29</v>
      </c>
      <c r="AA363" s="391" t="s">
        <v>29</v>
      </c>
      <c r="AB363" s="391" t="s">
        <v>29</v>
      </c>
      <c r="AC363" s="391" t="s">
        <v>29</v>
      </c>
      <c r="AD363" s="391" t="s">
        <v>29</v>
      </c>
      <c r="AE363" s="391" t="s">
        <v>29</v>
      </c>
      <c r="AF363" s="391" t="s">
        <v>29</v>
      </c>
      <c r="AG363" s="391" t="s">
        <v>29</v>
      </c>
      <c r="AH363" s="391" t="s">
        <v>29</v>
      </c>
      <c r="AI363" s="391" t="s">
        <v>29</v>
      </c>
    </row>
    <row r="364" spans="2:35" ht="11.25" hidden="1" customHeight="1" outlineLevel="1" x14ac:dyDescent="0.35">
      <c r="B364" s="244" t="s">
        <v>5370</v>
      </c>
      <c r="C364" s="245"/>
      <c r="D364" s="279" t="str">
        <f>IF(Y364="","",Y364)</f>
        <v>NA</v>
      </c>
      <c r="E364" s="279" t="str">
        <f>IF(Z364="","",Z364)</f>
        <v>NA</v>
      </c>
      <c r="F364" s="279" t="str">
        <f>IF(AA364="","",AA364)</f>
        <v>NA</v>
      </c>
      <c r="G364" s="279" t="str">
        <f>IF(AB364="","",AB364)</f>
        <v>NA</v>
      </c>
      <c r="H364" s="279" t="str">
        <f>IF(AC364="","",AC364)</f>
        <v>NA</v>
      </c>
      <c r="I364" s="279" t="str">
        <f>IF(AD364="","",AD364)</f>
        <v>NA</v>
      </c>
      <c r="J364" s="279" t="str">
        <f>IF(AE364="","",AE364)</f>
        <v>NA</v>
      </c>
      <c r="K364" s="279" t="str">
        <f>IF(AF364="","",AF364)</f>
        <v>NA</v>
      </c>
      <c r="L364" s="279" t="str">
        <f>IF(AG364="","",AG364)</f>
        <v>NA</v>
      </c>
      <c r="M364" s="279" t="str">
        <f>IF(AH364="","",AH364)</f>
        <v>NA</v>
      </c>
      <c r="N364" s="279" t="str">
        <f>IF(AI364="","",AI364)</f>
        <v>NA</v>
      </c>
      <c r="U364" s="388" t="s">
        <v>5468</v>
      </c>
      <c r="V364" s="389" t="s">
        <v>5379</v>
      </c>
      <c r="W364" s="389" t="str">
        <f t="shared" si="8"/>
        <v>2014Y</v>
      </c>
      <c r="X364" s="390" t="str">
        <f>[1]!SNLLabel(287,324678,,"&lt;&gt;368")</f>
        <v>AR: YRT Mortality Risk Only</v>
      </c>
      <c r="Y364" s="391" t="s">
        <v>29</v>
      </c>
      <c r="Z364" s="391" t="s">
        <v>29</v>
      </c>
      <c r="AA364" s="391" t="s">
        <v>29</v>
      </c>
      <c r="AB364" s="391" t="s">
        <v>29</v>
      </c>
      <c r="AC364" s="391" t="s">
        <v>29</v>
      </c>
      <c r="AD364" s="391" t="s">
        <v>29</v>
      </c>
      <c r="AE364" s="391" t="s">
        <v>29</v>
      </c>
      <c r="AF364" s="391" t="s">
        <v>29</v>
      </c>
      <c r="AG364" s="391" t="s">
        <v>29</v>
      </c>
      <c r="AH364" s="391" t="s">
        <v>29</v>
      </c>
      <c r="AI364" s="391" t="s">
        <v>29</v>
      </c>
    </row>
    <row r="365" spans="2:35" ht="11.25" hidden="1" customHeight="1" outlineLevel="1" x14ac:dyDescent="0.35">
      <c r="B365" s="244" t="s">
        <v>5371</v>
      </c>
      <c r="C365" s="245"/>
      <c r="D365" s="279" t="str">
        <f>IF(Y365="","",Y365)</f>
        <v>NA</v>
      </c>
      <c r="E365" s="279" t="str">
        <f>IF(Z365="","",Z365)</f>
        <v>NA</v>
      </c>
      <c r="F365" s="279" t="str">
        <f>IF(AA365="","",AA365)</f>
        <v>NA</v>
      </c>
      <c r="G365" s="279" t="str">
        <f>IF(AB365="","",AB365)</f>
        <v>NA</v>
      </c>
      <c r="H365" s="279" t="str">
        <f>IF(AC365="","",AC365)</f>
        <v>NA</v>
      </c>
      <c r="I365" s="279" t="str">
        <f>IF(AD365="","",AD365)</f>
        <v>NA</v>
      </c>
      <c r="J365" s="279" t="str">
        <f>IF(AE365="","",AE365)</f>
        <v>NA</v>
      </c>
      <c r="K365" s="279" t="str">
        <f>IF(AF365="","",AF365)</f>
        <v>NA</v>
      </c>
      <c r="L365" s="279" t="str">
        <f>IF(AG365="","",AG365)</f>
        <v>NA</v>
      </c>
      <c r="M365" s="279" t="str">
        <f>IF(AH365="","",AH365)</f>
        <v>NA</v>
      </c>
      <c r="N365" s="279" t="str">
        <f>IF(AI365="","",AI365)</f>
        <v>NA</v>
      </c>
      <c r="U365" s="388" t="s">
        <v>5468</v>
      </c>
      <c r="V365" s="389" t="s">
        <v>5379</v>
      </c>
      <c r="W365" s="389" t="str">
        <f t="shared" si="8"/>
        <v>2014Y</v>
      </c>
      <c r="X365" s="390" t="str">
        <f>[1]!SNLLabel(287,324678,,"&lt;&gt;369")</f>
        <v>AR: Individual and Group Life</v>
      </c>
      <c r="Y365" s="391" t="s">
        <v>29</v>
      </c>
      <c r="Z365" s="391" t="s">
        <v>29</v>
      </c>
      <c r="AA365" s="391" t="s">
        <v>29</v>
      </c>
      <c r="AB365" s="391" t="s">
        <v>29</v>
      </c>
      <c r="AC365" s="391" t="s">
        <v>29</v>
      </c>
      <c r="AD365" s="391" t="s">
        <v>29</v>
      </c>
      <c r="AE365" s="391" t="s">
        <v>29</v>
      </c>
      <c r="AF365" s="391" t="s">
        <v>29</v>
      </c>
      <c r="AG365" s="391" t="s">
        <v>29</v>
      </c>
      <c r="AH365" s="391" t="s">
        <v>29</v>
      </c>
      <c r="AI365" s="391" t="s">
        <v>29</v>
      </c>
    </row>
    <row r="366" spans="2:35" ht="11.25" hidden="1" customHeight="1" outlineLevel="1" x14ac:dyDescent="0.35">
      <c r="B366" s="244" t="s">
        <v>5372</v>
      </c>
      <c r="C366" s="245"/>
      <c r="D366" s="279" t="str">
        <f>IF(Y366="","",Y366)</f>
        <v>NA</v>
      </c>
      <c r="E366" s="279" t="str">
        <f>IF(Z366="","",Z366)</f>
        <v>NA</v>
      </c>
      <c r="F366" s="279" t="str">
        <f>IF(AA366="","",AA366)</f>
        <v>NA</v>
      </c>
      <c r="G366" s="279" t="str">
        <f>IF(AB366="","",AB366)</f>
        <v>NA</v>
      </c>
      <c r="H366" s="279" t="str">
        <f>IF(AC366="","",AC366)</f>
        <v>NA</v>
      </c>
      <c r="I366" s="279" t="str">
        <f>IF(AD366="","",AD366)</f>
        <v>NA</v>
      </c>
      <c r="J366" s="279" t="str">
        <f>IF(AE366="","",AE366)</f>
        <v>NA</v>
      </c>
      <c r="K366" s="279" t="str">
        <f>IF(AF366="","",AF366)</f>
        <v>NA</v>
      </c>
      <c r="L366" s="279" t="str">
        <f>IF(AG366="","",AG366)</f>
        <v>NA</v>
      </c>
      <c r="M366" s="279" t="str">
        <f>IF(AH366="","",AH366)</f>
        <v>NA</v>
      </c>
      <c r="N366" s="279" t="str">
        <f>IF(AI366="","",AI366)</f>
        <v>NA</v>
      </c>
      <c r="U366" s="367" t="s">
        <v>5468</v>
      </c>
      <c r="V366" s="368" t="s">
        <v>5379</v>
      </c>
      <c r="W366" s="368" t="str">
        <f t="shared" si="8"/>
        <v>2014Y</v>
      </c>
      <c r="X366" s="369" t="str">
        <f>[1]!SNLLabel(287,324678,,"&lt;&gt;370")</f>
        <v>AR: Individual and Group Annuities</v>
      </c>
      <c r="Y366" s="371" t="s">
        <v>29</v>
      </c>
      <c r="Z366" s="371" t="s">
        <v>29</v>
      </c>
      <c r="AA366" s="371" t="s">
        <v>29</v>
      </c>
      <c r="AB366" s="371" t="s">
        <v>29</v>
      </c>
      <c r="AC366" s="371" t="s">
        <v>29</v>
      </c>
      <c r="AD366" s="371" t="s">
        <v>29</v>
      </c>
      <c r="AE366" s="371" t="s">
        <v>29</v>
      </c>
      <c r="AF366" s="371" t="s">
        <v>29</v>
      </c>
      <c r="AG366" s="371" t="s">
        <v>29</v>
      </c>
      <c r="AH366" s="371" t="s">
        <v>29</v>
      </c>
      <c r="AI366" s="371" t="s">
        <v>29</v>
      </c>
    </row>
    <row r="367" spans="2:35" ht="11.25" hidden="1" customHeight="1" outlineLevel="1" x14ac:dyDescent="0.35">
      <c r="B367" s="244"/>
      <c r="C367" s="245"/>
      <c r="D367" s="279"/>
      <c r="E367" s="305"/>
      <c r="F367" s="305"/>
      <c r="G367" s="305"/>
      <c r="H367" s="305"/>
      <c r="I367" s="305"/>
      <c r="J367" s="305"/>
      <c r="K367" s="305"/>
      <c r="L367" s="305"/>
      <c r="M367" s="305"/>
      <c r="N367" s="305"/>
    </row>
    <row r="368" spans="2:35" ht="11.25" hidden="1" customHeight="1" outlineLevel="1" x14ac:dyDescent="0.35">
      <c r="B368" s="246" t="s">
        <v>5469</v>
      </c>
      <c r="C368" s="245"/>
      <c r="D368" s="279"/>
      <c r="E368" s="305"/>
      <c r="F368" s="305"/>
      <c r="G368" s="305"/>
      <c r="H368" s="305"/>
      <c r="I368" s="305"/>
      <c r="J368" s="305"/>
      <c r="K368" s="305"/>
      <c r="L368" s="305"/>
      <c r="M368" s="305"/>
      <c r="N368" s="305"/>
    </row>
    <row r="369" spans="2:35" ht="11.25" hidden="1" customHeight="1" outlineLevel="1" x14ac:dyDescent="0.35">
      <c r="B369" s="244" t="s">
        <v>5365</v>
      </c>
      <c r="C369" s="245"/>
      <c r="D369" s="279" t="str">
        <f>IF(Y369="","",Y369)</f>
        <v>NA</v>
      </c>
      <c r="E369" s="279" t="str">
        <f>IF(Z369="","",Z369)</f>
        <v>NA</v>
      </c>
      <c r="F369" s="279" t="str">
        <f>IF(AA369="","",AA369)</f>
        <v>NA</v>
      </c>
      <c r="G369" s="279" t="str">
        <f>IF(AB369="","",AB369)</f>
        <v>NA</v>
      </c>
      <c r="H369" s="279" t="str">
        <f>IF(AC369="","",AC369)</f>
        <v>NA</v>
      </c>
      <c r="I369" s="279" t="str">
        <f>IF(AD369="","",AD369)</f>
        <v>NA</v>
      </c>
      <c r="J369" s="279" t="str">
        <f>IF(AE369="","",AE369)</f>
        <v>NA</v>
      </c>
      <c r="K369" s="279" t="str">
        <f>IF(AF369="","",AF369)</f>
        <v>NA</v>
      </c>
      <c r="L369" s="279" t="str">
        <f>IF(AG369="","",AG369)</f>
        <v>NA</v>
      </c>
      <c r="M369" s="279" t="str">
        <f>IF(AH369="","",AH369)</f>
        <v>NA</v>
      </c>
      <c r="N369" s="279" t="str">
        <f>IF(AI369="","",AI369)</f>
        <v>NA</v>
      </c>
      <c r="U369" s="384" t="s">
        <v>5469</v>
      </c>
      <c r="V369" s="385" t="s">
        <v>5380</v>
      </c>
      <c r="W369" s="385" t="str">
        <f t="shared" ref="W369:W379" si="9">Period</f>
        <v>2014Y</v>
      </c>
      <c r="X369" s="386" t="str">
        <f>[1]!SNLLabel(287,324680,,"&lt;&gt;360")</f>
        <v>AR: Analysis of Operations All Lines</v>
      </c>
      <c r="Y369" s="387" t="s">
        <v>29</v>
      </c>
      <c r="Z369" s="387" t="s">
        <v>29</v>
      </c>
      <c r="AA369" s="387" t="s">
        <v>29</v>
      </c>
      <c r="AB369" s="387" t="s">
        <v>29</v>
      </c>
      <c r="AC369" s="387" t="s">
        <v>29</v>
      </c>
      <c r="AD369" s="387" t="s">
        <v>29</v>
      </c>
      <c r="AE369" s="387" t="s">
        <v>29</v>
      </c>
      <c r="AF369" s="387" t="s">
        <v>29</v>
      </c>
      <c r="AG369" s="387" t="s">
        <v>29</v>
      </c>
      <c r="AH369" s="387" t="s">
        <v>29</v>
      </c>
      <c r="AI369" s="387" t="s">
        <v>29</v>
      </c>
    </row>
    <row r="370" spans="2:35" ht="11.25" hidden="1" customHeight="1" outlineLevel="1" x14ac:dyDescent="0.35">
      <c r="B370" s="244" t="s">
        <v>5366</v>
      </c>
      <c r="C370" s="245"/>
      <c r="D370" s="279" t="str">
        <f>IF(Y370="","",Y370)</f>
        <v>NA</v>
      </c>
      <c r="E370" s="279" t="str">
        <f>IF(Z370="","",Z370)</f>
        <v>NA</v>
      </c>
      <c r="F370" s="279" t="str">
        <f>IF(AA370="","",AA370)</f>
        <v>NA</v>
      </c>
      <c r="G370" s="279" t="str">
        <f>IF(AB370="","",AB370)</f>
        <v>NA</v>
      </c>
      <c r="H370" s="279" t="str">
        <f>IF(AC370="","",AC370)</f>
        <v>NA</v>
      </c>
      <c r="I370" s="279" t="str">
        <f>IF(AD370="","",AD370)</f>
        <v>NA</v>
      </c>
      <c r="J370" s="279" t="str">
        <f>IF(AE370="","",AE370)</f>
        <v>NA</v>
      </c>
      <c r="K370" s="279" t="str">
        <f>IF(AF370="","",AF370)</f>
        <v>NA</v>
      </c>
      <c r="L370" s="279" t="str">
        <f>IF(AG370="","",AG370)</f>
        <v>NA</v>
      </c>
      <c r="M370" s="279" t="str">
        <f>IF(AH370="","",AH370)</f>
        <v>NA</v>
      </c>
      <c r="N370" s="279" t="str">
        <f>IF(AI370="","",AI370)</f>
        <v>NA</v>
      </c>
      <c r="U370" s="388" t="s">
        <v>5469</v>
      </c>
      <c r="V370" s="389" t="s">
        <v>5380</v>
      </c>
      <c r="W370" s="389" t="str">
        <f t="shared" si="9"/>
        <v>2014Y</v>
      </c>
      <c r="X370" s="390" t="str">
        <f>[1]!SNLLabel(287,324680,,"&lt;&gt;361")</f>
        <v>AR: Individual Life</v>
      </c>
      <c r="Y370" s="391" t="s">
        <v>29</v>
      </c>
      <c r="Z370" s="391" t="s">
        <v>29</v>
      </c>
      <c r="AA370" s="391" t="s">
        <v>29</v>
      </c>
      <c r="AB370" s="391" t="s">
        <v>29</v>
      </c>
      <c r="AC370" s="391" t="s">
        <v>29</v>
      </c>
      <c r="AD370" s="391" t="s">
        <v>29</v>
      </c>
      <c r="AE370" s="391" t="s">
        <v>29</v>
      </c>
      <c r="AF370" s="391" t="s">
        <v>29</v>
      </c>
      <c r="AG370" s="391" t="s">
        <v>29</v>
      </c>
      <c r="AH370" s="391" t="s">
        <v>29</v>
      </c>
      <c r="AI370" s="391" t="s">
        <v>29</v>
      </c>
    </row>
    <row r="371" spans="2:35" ht="11.25" hidden="1" customHeight="1" outlineLevel="1" x14ac:dyDescent="0.35">
      <c r="B371" s="244" t="s">
        <v>5122</v>
      </c>
      <c r="C371" s="245"/>
      <c r="D371" s="279" t="str">
        <f>IF(Y371="","",Y371)</f>
        <v>NA</v>
      </c>
      <c r="E371" s="279" t="str">
        <f>IF(Z371="","",Z371)</f>
        <v>NA</v>
      </c>
      <c r="F371" s="279" t="str">
        <f>IF(AA371="","",AA371)</f>
        <v>NA</v>
      </c>
      <c r="G371" s="279" t="str">
        <f>IF(AB371="","",AB371)</f>
        <v>NA</v>
      </c>
      <c r="H371" s="279" t="str">
        <f>IF(AC371="","",AC371)</f>
        <v>NA</v>
      </c>
      <c r="I371" s="279" t="str">
        <f>IF(AD371="","",AD371)</f>
        <v>NA</v>
      </c>
      <c r="J371" s="279" t="str">
        <f>IF(AE371="","",AE371)</f>
        <v>NA</v>
      </c>
      <c r="K371" s="279" t="str">
        <f>IF(AF371="","",AF371)</f>
        <v>NA</v>
      </c>
      <c r="L371" s="279" t="str">
        <f>IF(AG371="","",AG371)</f>
        <v>NA</v>
      </c>
      <c r="M371" s="279" t="str">
        <f>IF(AH371="","",AH371)</f>
        <v>NA</v>
      </c>
      <c r="N371" s="279" t="str">
        <f>IF(AI371="","",AI371)</f>
        <v>NA</v>
      </c>
      <c r="U371" s="388" t="s">
        <v>5469</v>
      </c>
      <c r="V371" s="389" t="s">
        <v>5380</v>
      </c>
      <c r="W371" s="389" t="str">
        <f t="shared" si="9"/>
        <v>2014Y</v>
      </c>
      <c r="X371" s="390" t="str">
        <f>[1]!SNLLabel(287,324680,,"&lt;&gt;362")</f>
        <v>AR: Group Life</v>
      </c>
      <c r="Y371" s="391" t="s">
        <v>29</v>
      </c>
      <c r="Z371" s="391" t="s">
        <v>29</v>
      </c>
      <c r="AA371" s="391" t="s">
        <v>29</v>
      </c>
      <c r="AB371" s="391" t="s">
        <v>29</v>
      </c>
      <c r="AC371" s="391" t="s">
        <v>29</v>
      </c>
      <c r="AD371" s="391" t="s">
        <v>29</v>
      </c>
      <c r="AE371" s="391" t="s">
        <v>29</v>
      </c>
      <c r="AF371" s="391" t="s">
        <v>29</v>
      </c>
      <c r="AG371" s="391" t="s">
        <v>29</v>
      </c>
      <c r="AH371" s="391" t="s">
        <v>29</v>
      </c>
      <c r="AI371" s="391" t="s">
        <v>29</v>
      </c>
    </row>
    <row r="372" spans="2:35" ht="11.25" hidden="1" customHeight="1" outlineLevel="1" x14ac:dyDescent="0.35">
      <c r="B372" s="244" t="s">
        <v>5124</v>
      </c>
      <c r="C372" s="245"/>
      <c r="D372" s="279" t="str">
        <f>IF(Y372="","",Y372)</f>
        <v>NA</v>
      </c>
      <c r="E372" s="279" t="str">
        <f>IF(Z372="","",Z372)</f>
        <v>NA</v>
      </c>
      <c r="F372" s="279" t="str">
        <f>IF(AA372="","",AA372)</f>
        <v>NA</v>
      </c>
      <c r="G372" s="279" t="str">
        <f>IF(AB372="","",AB372)</f>
        <v>NA</v>
      </c>
      <c r="H372" s="279" t="str">
        <f>IF(AC372="","",AC372)</f>
        <v>NA</v>
      </c>
      <c r="I372" s="279" t="str">
        <f>IF(AD372="","",AD372)</f>
        <v>NA</v>
      </c>
      <c r="J372" s="279" t="str">
        <f>IF(AE372="","",AE372)</f>
        <v>NA</v>
      </c>
      <c r="K372" s="279" t="str">
        <f>IF(AF372="","",AF372)</f>
        <v>NA</v>
      </c>
      <c r="L372" s="279" t="str">
        <f>IF(AG372="","",AG372)</f>
        <v>NA</v>
      </c>
      <c r="M372" s="279" t="str">
        <f>IF(AH372="","",AH372)</f>
        <v>NA</v>
      </c>
      <c r="N372" s="279" t="str">
        <f>IF(AI372="","",AI372)</f>
        <v>NA</v>
      </c>
      <c r="U372" s="388" t="s">
        <v>5469</v>
      </c>
      <c r="V372" s="389" t="s">
        <v>5380</v>
      </c>
      <c r="W372" s="389" t="str">
        <f t="shared" si="9"/>
        <v>2014Y</v>
      </c>
      <c r="X372" s="390" t="str">
        <f>[1]!SNLLabel(287,324680,,"&lt;&gt;363")</f>
        <v>AR: Individual Annuities</v>
      </c>
      <c r="Y372" s="391" t="s">
        <v>29</v>
      </c>
      <c r="Z372" s="391" t="s">
        <v>29</v>
      </c>
      <c r="AA372" s="391" t="s">
        <v>29</v>
      </c>
      <c r="AB372" s="391" t="s">
        <v>29</v>
      </c>
      <c r="AC372" s="391" t="s">
        <v>29</v>
      </c>
      <c r="AD372" s="391" t="s">
        <v>29</v>
      </c>
      <c r="AE372" s="391" t="s">
        <v>29</v>
      </c>
      <c r="AF372" s="391" t="s">
        <v>29</v>
      </c>
      <c r="AG372" s="391" t="s">
        <v>29</v>
      </c>
      <c r="AH372" s="391" t="s">
        <v>29</v>
      </c>
      <c r="AI372" s="391" t="s">
        <v>29</v>
      </c>
    </row>
    <row r="373" spans="2:35" ht="11.25" hidden="1" customHeight="1" outlineLevel="1" x14ac:dyDescent="0.35">
      <c r="B373" s="244" t="s">
        <v>5121</v>
      </c>
      <c r="C373" s="245"/>
      <c r="D373" s="279" t="str">
        <f>IF(Y373="","",Y373)</f>
        <v>NA</v>
      </c>
      <c r="E373" s="279" t="str">
        <f>IF(Z373="","",Z373)</f>
        <v>NA</v>
      </c>
      <c r="F373" s="279" t="str">
        <f>IF(AA373="","",AA373)</f>
        <v>NA</v>
      </c>
      <c r="G373" s="279" t="str">
        <f>IF(AB373="","",AB373)</f>
        <v>NA</v>
      </c>
      <c r="H373" s="279" t="str">
        <f>IF(AC373="","",AC373)</f>
        <v>NA</v>
      </c>
      <c r="I373" s="279" t="str">
        <f>IF(AD373="","",AD373)</f>
        <v>NA</v>
      </c>
      <c r="J373" s="279" t="str">
        <f>IF(AE373="","",AE373)</f>
        <v>NA</v>
      </c>
      <c r="K373" s="279" t="str">
        <f>IF(AF373="","",AF373)</f>
        <v>NA</v>
      </c>
      <c r="L373" s="279" t="str">
        <f>IF(AG373="","",AG373)</f>
        <v>NA</v>
      </c>
      <c r="M373" s="279" t="str">
        <f>IF(AH373="","",AH373)</f>
        <v>NA</v>
      </c>
      <c r="N373" s="279" t="str">
        <f>IF(AI373="","",AI373)</f>
        <v>NA</v>
      </c>
      <c r="U373" s="388" t="s">
        <v>5469</v>
      </c>
      <c r="V373" s="389" t="s">
        <v>5380</v>
      </c>
      <c r="W373" s="389" t="str">
        <f t="shared" si="9"/>
        <v>2014Y</v>
      </c>
      <c r="X373" s="390" t="str">
        <f>[1]!SNLLabel(287,324680,,"&lt;&gt;364")</f>
        <v>AR: Group Annuities</v>
      </c>
      <c r="Y373" s="391" t="s">
        <v>29</v>
      </c>
      <c r="Z373" s="391" t="s">
        <v>29</v>
      </c>
      <c r="AA373" s="391" t="s">
        <v>29</v>
      </c>
      <c r="AB373" s="391" t="s">
        <v>29</v>
      </c>
      <c r="AC373" s="391" t="s">
        <v>29</v>
      </c>
      <c r="AD373" s="391" t="s">
        <v>29</v>
      </c>
      <c r="AE373" s="391" t="s">
        <v>29</v>
      </c>
      <c r="AF373" s="391" t="s">
        <v>29</v>
      </c>
      <c r="AG373" s="391" t="s">
        <v>29</v>
      </c>
      <c r="AH373" s="391" t="s">
        <v>29</v>
      </c>
      <c r="AI373" s="391" t="s">
        <v>29</v>
      </c>
    </row>
    <row r="374" spans="2:35" ht="11.25" hidden="1" customHeight="1" outlineLevel="1" x14ac:dyDescent="0.35">
      <c r="B374" s="244" t="s">
        <v>5367</v>
      </c>
      <c r="C374" s="245"/>
      <c r="D374" s="279" t="str">
        <f>IF(Y374="","",Y374)</f>
        <v>NA</v>
      </c>
      <c r="E374" s="279" t="str">
        <f>IF(Z374="","",Z374)</f>
        <v>NA</v>
      </c>
      <c r="F374" s="279" t="str">
        <f>IF(AA374="","",AA374)</f>
        <v>NA</v>
      </c>
      <c r="G374" s="279" t="str">
        <f>IF(AB374="","",AB374)</f>
        <v>NA</v>
      </c>
      <c r="H374" s="279" t="str">
        <f>IF(AC374="","",AC374)</f>
        <v>NA</v>
      </c>
      <c r="I374" s="279" t="str">
        <f>IF(AD374="","",AD374)</f>
        <v>NA</v>
      </c>
      <c r="J374" s="279" t="str">
        <f>IF(AE374="","",AE374)</f>
        <v>NA</v>
      </c>
      <c r="K374" s="279" t="str">
        <f>IF(AF374="","",AF374)</f>
        <v>NA</v>
      </c>
      <c r="L374" s="279" t="str">
        <f>IF(AG374="","",AG374)</f>
        <v>NA</v>
      </c>
      <c r="M374" s="279" t="str">
        <f>IF(AH374="","",AH374)</f>
        <v>NA</v>
      </c>
      <c r="N374" s="279" t="str">
        <f>IF(AI374="","",AI374)</f>
        <v>NA</v>
      </c>
      <c r="U374" s="388" t="s">
        <v>5469</v>
      </c>
      <c r="V374" s="389" t="s">
        <v>5380</v>
      </c>
      <c r="W374" s="389" t="str">
        <f t="shared" si="9"/>
        <v>2014Y</v>
      </c>
      <c r="X374" s="390" t="str">
        <f>[1]!SNLLabel(287,324680,,"&lt;&gt;365")</f>
        <v>AR: Accident and Health</v>
      </c>
      <c r="Y374" s="391" t="s">
        <v>29</v>
      </c>
      <c r="Z374" s="391" t="s">
        <v>29</v>
      </c>
      <c r="AA374" s="391" t="s">
        <v>29</v>
      </c>
      <c r="AB374" s="391" t="s">
        <v>29</v>
      </c>
      <c r="AC374" s="391" t="s">
        <v>29</v>
      </c>
      <c r="AD374" s="391" t="s">
        <v>29</v>
      </c>
      <c r="AE374" s="391" t="s">
        <v>29</v>
      </c>
      <c r="AF374" s="391" t="s">
        <v>29</v>
      </c>
      <c r="AG374" s="391" t="s">
        <v>29</v>
      </c>
      <c r="AH374" s="391" t="s">
        <v>29</v>
      </c>
      <c r="AI374" s="391" t="s">
        <v>29</v>
      </c>
    </row>
    <row r="375" spans="2:35" ht="11.25" hidden="1" customHeight="1" outlineLevel="1" x14ac:dyDescent="0.35">
      <c r="B375" s="244" t="s">
        <v>5368</v>
      </c>
      <c r="C375" s="245"/>
      <c r="D375" s="279" t="str">
        <f>IF(Y375="","",Y375)</f>
        <v>NA</v>
      </c>
      <c r="E375" s="279" t="str">
        <f>IF(Z375="","",Z375)</f>
        <v>NA</v>
      </c>
      <c r="F375" s="279" t="str">
        <f>IF(AA375="","",AA375)</f>
        <v>NA</v>
      </c>
      <c r="G375" s="279" t="str">
        <f>IF(AB375="","",AB375)</f>
        <v>NA</v>
      </c>
      <c r="H375" s="279" t="str">
        <f>IF(AC375="","",AC375)</f>
        <v>NA</v>
      </c>
      <c r="I375" s="279" t="str">
        <f>IF(AD375="","",AD375)</f>
        <v>NA</v>
      </c>
      <c r="J375" s="279" t="str">
        <f>IF(AE375="","",AE375)</f>
        <v>NA</v>
      </c>
      <c r="K375" s="279" t="str">
        <f>IF(AF375="","",AF375)</f>
        <v>NA</v>
      </c>
      <c r="L375" s="279" t="str">
        <f>IF(AG375="","",AG375)</f>
        <v>NA</v>
      </c>
      <c r="M375" s="279" t="str">
        <f>IF(AH375="","",AH375)</f>
        <v>NA</v>
      </c>
      <c r="N375" s="279" t="str">
        <f>IF(AI375="","",AI375)</f>
        <v>NA</v>
      </c>
      <c r="U375" s="388" t="s">
        <v>5469</v>
      </c>
      <c r="V375" s="389" t="s">
        <v>5380</v>
      </c>
      <c r="W375" s="389" t="str">
        <f t="shared" si="9"/>
        <v>2014Y</v>
      </c>
      <c r="X375" s="390" t="str">
        <f>[1]!SNLLabel(287,324680,,"&lt;&gt;366")</f>
        <v>AR: Fraternal</v>
      </c>
      <c r="Y375" s="391" t="s">
        <v>29</v>
      </c>
      <c r="Z375" s="391" t="s">
        <v>29</v>
      </c>
      <c r="AA375" s="391" t="s">
        <v>29</v>
      </c>
      <c r="AB375" s="391" t="s">
        <v>29</v>
      </c>
      <c r="AC375" s="391" t="s">
        <v>29</v>
      </c>
      <c r="AD375" s="391" t="s">
        <v>29</v>
      </c>
      <c r="AE375" s="391" t="s">
        <v>29</v>
      </c>
      <c r="AF375" s="391" t="s">
        <v>29</v>
      </c>
      <c r="AG375" s="391" t="s">
        <v>29</v>
      </c>
      <c r="AH375" s="391" t="s">
        <v>29</v>
      </c>
      <c r="AI375" s="391" t="s">
        <v>29</v>
      </c>
    </row>
    <row r="376" spans="2:35" ht="11.25" hidden="1" customHeight="1" outlineLevel="1" x14ac:dyDescent="0.35">
      <c r="B376" s="244" t="s">
        <v>5369</v>
      </c>
      <c r="C376" s="247"/>
      <c r="D376" s="279" t="str">
        <f>IF(Y376="","",Y376)</f>
        <v>NA</v>
      </c>
      <c r="E376" s="279" t="str">
        <f>IF(Z376="","",Z376)</f>
        <v>NA</v>
      </c>
      <c r="F376" s="279" t="str">
        <f>IF(AA376="","",AA376)</f>
        <v>NA</v>
      </c>
      <c r="G376" s="279" t="str">
        <f>IF(AB376="","",AB376)</f>
        <v>NA</v>
      </c>
      <c r="H376" s="279" t="str">
        <f>IF(AC376="","",AC376)</f>
        <v>NA</v>
      </c>
      <c r="I376" s="279" t="str">
        <f>IF(AD376="","",AD376)</f>
        <v>NA</v>
      </c>
      <c r="J376" s="279" t="str">
        <f>IF(AE376="","",AE376)</f>
        <v>NA</v>
      </c>
      <c r="K376" s="279" t="str">
        <f>IF(AF376="","",AF376)</f>
        <v>NA</v>
      </c>
      <c r="L376" s="279" t="str">
        <f>IF(AG376="","",AG376)</f>
        <v>NA</v>
      </c>
      <c r="M376" s="279" t="str">
        <f>IF(AH376="","",AH376)</f>
        <v>NA</v>
      </c>
      <c r="N376" s="279" t="str">
        <f>IF(AI376="","",AI376)</f>
        <v>NA</v>
      </c>
      <c r="U376" s="388" t="s">
        <v>5469</v>
      </c>
      <c r="V376" s="389" t="s">
        <v>5380</v>
      </c>
      <c r="W376" s="389" t="str">
        <f t="shared" si="9"/>
        <v>2014Y</v>
      </c>
      <c r="X376" s="390" t="str">
        <f>[1]!SNLLabel(287,324680,,"&lt;&gt;367")</f>
        <v>AR: Other Lines of Business</v>
      </c>
      <c r="Y376" s="391" t="s">
        <v>29</v>
      </c>
      <c r="Z376" s="391" t="s">
        <v>29</v>
      </c>
      <c r="AA376" s="391" t="s">
        <v>29</v>
      </c>
      <c r="AB376" s="391" t="s">
        <v>29</v>
      </c>
      <c r="AC376" s="391" t="s">
        <v>29</v>
      </c>
      <c r="AD376" s="391" t="s">
        <v>29</v>
      </c>
      <c r="AE376" s="391" t="s">
        <v>29</v>
      </c>
      <c r="AF376" s="391" t="s">
        <v>29</v>
      </c>
      <c r="AG376" s="391" t="s">
        <v>29</v>
      </c>
      <c r="AH376" s="391" t="s">
        <v>29</v>
      </c>
      <c r="AI376" s="391" t="s">
        <v>29</v>
      </c>
    </row>
    <row r="377" spans="2:35" ht="11.25" hidden="1" customHeight="1" outlineLevel="1" x14ac:dyDescent="0.35">
      <c r="B377" s="244" t="s">
        <v>5370</v>
      </c>
      <c r="C377" s="245"/>
      <c r="D377" s="279" t="str">
        <f>IF(Y377="","",Y377)</f>
        <v>NA</v>
      </c>
      <c r="E377" s="279" t="str">
        <f>IF(Z377="","",Z377)</f>
        <v>NA</v>
      </c>
      <c r="F377" s="279" t="str">
        <f>IF(AA377="","",AA377)</f>
        <v>NA</v>
      </c>
      <c r="G377" s="279" t="str">
        <f>IF(AB377="","",AB377)</f>
        <v>NA</v>
      </c>
      <c r="H377" s="279" t="str">
        <f>IF(AC377="","",AC377)</f>
        <v>NA</v>
      </c>
      <c r="I377" s="279" t="str">
        <f>IF(AD377="","",AD377)</f>
        <v>NA</v>
      </c>
      <c r="J377" s="279" t="str">
        <f>IF(AE377="","",AE377)</f>
        <v>NA</v>
      </c>
      <c r="K377" s="279" t="str">
        <f>IF(AF377="","",AF377)</f>
        <v>NA</v>
      </c>
      <c r="L377" s="279" t="str">
        <f>IF(AG377="","",AG377)</f>
        <v>NA</v>
      </c>
      <c r="M377" s="279" t="str">
        <f>IF(AH377="","",AH377)</f>
        <v>NA</v>
      </c>
      <c r="N377" s="279" t="str">
        <f>IF(AI377="","",AI377)</f>
        <v>NA</v>
      </c>
      <c r="U377" s="388" t="s">
        <v>5469</v>
      </c>
      <c r="V377" s="389" t="s">
        <v>5380</v>
      </c>
      <c r="W377" s="389" t="str">
        <f t="shared" si="9"/>
        <v>2014Y</v>
      </c>
      <c r="X377" s="390" t="str">
        <f>[1]!SNLLabel(287,324680,,"&lt;&gt;368")</f>
        <v>AR: YRT Mortality Risk Only</v>
      </c>
      <c r="Y377" s="391" t="s">
        <v>29</v>
      </c>
      <c r="Z377" s="391" t="s">
        <v>29</v>
      </c>
      <c r="AA377" s="391" t="s">
        <v>29</v>
      </c>
      <c r="AB377" s="391" t="s">
        <v>29</v>
      </c>
      <c r="AC377" s="391" t="s">
        <v>29</v>
      </c>
      <c r="AD377" s="391" t="s">
        <v>29</v>
      </c>
      <c r="AE377" s="391" t="s">
        <v>29</v>
      </c>
      <c r="AF377" s="391" t="s">
        <v>29</v>
      </c>
      <c r="AG377" s="391" t="s">
        <v>29</v>
      </c>
      <c r="AH377" s="391" t="s">
        <v>29</v>
      </c>
      <c r="AI377" s="391" t="s">
        <v>29</v>
      </c>
    </row>
    <row r="378" spans="2:35" ht="11.25" hidden="1" customHeight="1" outlineLevel="1" x14ac:dyDescent="0.35">
      <c r="B378" s="244" t="s">
        <v>5371</v>
      </c>
      <c r="C378" s="245"/>
      <c r="D378" s="279" t="str">
        <f>IF(Y378="","",Y378)</f>
        <v>NA</v>
      </c>
      <c r="E378" s="279" t="str">
        <f>IF(Z378="","",Z378)</f>
        <v>NA</v>
      </c>
      <c r="F378" s="279" t="str">
        <f>IF(AA378="","",AA378)</f>
        <v>NA</v>
      </c>
      <c r="G378" s="279" t="str">
        <f>IF(AB378="","",AB378)</f>
        <v>NA</v>
      </c>
      <c r="H378" s="279" t="str">
        <f>IF(AC378="","",AC378)</f>
        <v>NA</v>
      </c>
      <c r="I378" s="279" t="str">
        <f>IF(AD378="","",AD378)</f>
        <v>NA</v>
      </c>
      <c r="J378" s="279" t="str">
        <f>IF(AE378="","",AE378)</f>
        <v>NA</v>
      </c>
      <c r="K378" s="279" t="str">
        <f>IF(AF378="","",AF378)</f>
        <v>NA</v>
      </c>
      <c r="L378" s="279" t="str">
        <f>IF(AG378="","",AG378)</f>
        <v>NA</v>
      </c>
      <c r="M378" s="279" t="str">
        <f>IF(AH378="","",AH378)</f>
        <v>NA</v>
      </c>
      <c r="N378" s="279" t="str">
        <f>IF(AI378="","",AI378)</f>
        <v>NA</v>
      </c>
      <c r="U378" s="388" t="s">
        <v>5469</v>
      </c>
      <c r="V378" s="389" t="s">
        <v>5380</v>
      </c>
      <c r="W378" s="389" t="str">
        <f t="shared" si="9"/>
        <v>2014Y</v>
      </c>
      <c r="X378" s="390" t="str">
        <f>[1]!SNLLabel(287,324680,,"&lt;&gt;369")</f>
        <v>AR: Individual and Group Life</v>
      </c>
      <c r="Y378" s="391" t="s">
        <v>29</v>
      </c>
      <c r="Z378" s="391" t="s">
        <v>29</v>
      </c>
      <c r="AA378" s="391" t="s">
        <v>29</v>
      </c>
      <c r="AB378" s="391" t="s">
        <v>29</v>
      </c>
      <c r="AC378" s="391" t="s">
        <v>29</v>
      </c>
      <c r="AD378" s="391" t="s">
        <v>29</v>
      </c>
      <c r="AE378" s="391" t="s">
        <v>29</v>
      </c>
      <c r="AF378" s="391" t="s">
        <v>29</v>
      </c>
      <c r="AG378" s="391" t="s">
        <v>29</v>
      </c>
      <c r="AH378" s="391" t="s">
        <v>29</v>
      </c>
      <c r="AI378" s="391" t="s">
        <v>29</v>
      </c>
    </row>
    <row r="379" spans="2:35" ht="11.25" hidden="1" customHeight="1" outlineLevel="1" x14ac:dyDescent="0.35">
      <c r="B379" s="244" t="s">
        <v>5372</v>
      </c>
      <c r="C379" s="245"/>
      <c r="D379" s="279" t="str">
        <f>IF(Y379="","",Y379)</f>
        <v>NA</v>
      </c>
      <c r="E379" s="279" t="str">
        <f>IF(Z379="","",Z379)</f>
        <v>NA</v>
      </c>
      <c r="F379" s="279" t="str">
        <f>IF(AA379="","",AA379)</f>
        <v>NA</v>
      </c>
      <c r="G379" s="279" t="str">
        <f>IF(AB379="","",AB379)</f>
        <v>NA</v>
      </c>
      <c r="H379" s="279" t="str">
        <f>IF(AC379="","",AC379)</f>
        <v>NA</v>
      </c>
      <c r="I379" s="279" t="str">
        <f>IF(AD379="","",AD379)</f>
        <v>NA</v>
      </c>
      <c r="J379" s="279" t="str">
        <f>IF(AE379="","",AE379)</f>
        <v>NA</v>
      </c>
      <c r="K379" s="279" t="str">
        <f>IF(AF379="","",AF379)</f>
        <v>NA</v>
      </c>
      <c r="L379" s="279" t="str">
        <f>IF(AG379="","",AG379)</f>
        <v>NA</v>
      </c>
      <c r="M379" s="279" t="str">
        <f>IF(AH379="","",AH379)</f>
        <v>NA</v>
      </c>
      <c r="N379" s="279" t="str">
        <f>IF(AI379="","",AI379)</f>
        <v>NA</v>
      </c>
      <c r="U379" s="367" t="s">
        <v>5469</v>
      </c>
      <c r="V379" s="368" t="s">
        <v>5380</v>
      </c>
      <c r="W379" s="368" t="str">
        <f t="shared" si="9"/>
        <v>2014Y</v>
      </c>
      <c r="X379" s="369" t="str">
        <f>[1]!SNLLabel(287,324680,,"&lt;&gt;370")</f>
        <v>AR: Individual and Group Annuities</v>
      </c>
      <c r="Y379" s="371" t="s">
        <v>29</v>
      </c>
      <c r="Z379" s="371" t="s">
        <v>29</v>
      </c>
      <c r="AA379" s="371" t="s">
        <v>29</v>
      </c>
      <c r="AB379" s="371" t="s">
        <v>29</v>
      </c>
      <c r="AC379" s="371" t="s">
        <v>29</v>
      </c>
      <c r="AD379" s="371" t="s">
        <v>29</v>
      </c>
      <c r="AE379" s="371" t="s">
        <v>29</v>
      </c>
      <c r="AF379" s="371" t="s">
        <v>29</v>
      </c>
      <c r="AG379" s="371" t="s">
        <v>29</v>
      </c>
      <c r="AH379" s="371" t="s">
        <v>29</v>
      </c>
      <c r="AI379" s="371" t="s">
        <v>29</v>
      </c>
    </row>
    <row r="380" spans="2:35" ht="11.25" hidden="1" customHeight="1" outlineLevel="1" x14ac:dyDescent="0.35">
      <c r="B380" s="244" t="s">
        <v>4946</v>
      </c>
      <c r="C380" s="245"/>
      <c r="D380" s="279"/>
      <c r="E380" s="279"/>
      <c r="F380" s="279"/>
      <c r="G380" s="279"/>
      <c r="H380" s="279"/>
      <c r="I380" s="279"/>
      <c r="J380" s="279"/>
      <c r="K380" s="279"/>
      <c r="L380" s="279"/>
      <c r="M380" s="279"/>
      <c r="N380" s="279"/>
    </row>
    <row r="381" spans="2:35" ht="11.25" customHeight="1" collapsed="1" x14ac:dyDescent="0.35">
      <c r="B381" s="244" t="s">
        <v>5091</v>
      </c>
      <c r="C381" s="245"/>
      <c r="D381" s="279">
        <f>IF(LEFT(D$6,4)&gt;"2018",D404,D388)</f>
        <v>26815911.580000002</v>
      </c>
      <c r="E381" s="279">
        <f>IF(LEFT(E$6,4)&gt;"2018",E404,E388)</f>
        <v>4886.2979999999998</v>
      </c>
      <c r="F381" s="279">
        <f>IF(LEFT(F$6,4)&gt;"2018",F404,F388)</f>
        <v>59612.642</v>
      </c>
      <c r="G381" s="279">
        <f>IF(LEFT(G$6,4)&gt;"2018",G404,G388)</f>
        <v>479437.50300000003</v>
      </c>
      <c r="H381" s="279">
        <f>IF(LEFT(H$6,4)&gt;"2018",H404,H388)</f>
        <v>0</v>
      </c>
      <c r="I381" s="279">
        <f>IF(LEFT(I$6,4)&gt;"2018",I404,I388)</f>
        <v>69353.441999999995</v>
      </c>
      <c r="J381" s="279">
        <f>IF(LEFT(J$6,4)&gt;"2018",J404,J388)</f>
        <v>5776.8969999999999</v>
      </c>
      <c r="K381" s="279">
        <f>IF(LEFT(K$6,4)&gt;"2018",K404,K388)</f>
        <v>17807.567999999999</v>
      </c>
      <c r="L381" s="279">
        <f>IF(LEFT(L$6,4)&gt;"2018",L404,L388)</f>
        <v>1193.3230000000001</v>
      </c>
      <c r="M381" s="279">
        <f>IF(LEFT(M$6,4)&gt;"2018",M404,M388)</f>
        <v>32.506</v>
      </c>
      <c r="N381" s="279">
        <f>IF(LEFT(N$6,4)&gt;"2018",N404,N388)</f>
        <v>36967.762000000002</v>
      </c>
    </row>
    <row r="382" spans="2:35" ht="11.25" customHeight="1" x14ac:dyDescent="0.35">
      <c r="B382" s="244" t="s">
        <v>5090</v>
      </c>
      <c r="C382" s="245"/>
      <c r="D382" s="279">
        <f>IF(LEFT(D$6,4)&gt;"2018",D405,D389)</f>
        <v>254280522.338</v>
      </c>
      <c r="E382" s="279">
        <f>IF(LEFT(E$6,4)&gt;"2018",E405,E389)</f>
        <v>372653.424</v>
      </c>
      <c r="F382" s="279">
        <f>IF(LEFT(F$6,4)&gt;"2018",F405,F389)</f>
        <v>484.65500000000003</v>
      </c>
      <c r="G382" s="279">
        <f>IF(LEFT(G$6,4)&gt;"2018",G405,G389)</f>
        <v>64933.563999999998</v>
      </c>
      <c r="H382" s="279">
        <f>IF(LEFT(H$6,4)&gt;"2018",H405,H389)</f>
        <v>0</v>
      </c>
      <c r="I382" s="279">
        <f>IF(LEFT(I$6,4)&gt;"2018",I405,I389)</f>
        <v>0</v>
      </c>
      <c r="J382" s="279">
        <f>IF(LEFT(J$6,4)&gt;"2018",J405,J389)</f>
        <v>456471.91000000003</v>
      </c>
      <c r="K382" s="279">
        <f>IF(LEFT(K$6,4)&gt;"2018",K405,K389)</f>
        <v>55860.671999999999</v>
      </c>
      <c r="L382" s="279">
        <f>IF(LEFT(L$6,4)&gt;"2018",L405,L389)</f>
        <v>2940.6910000000003</v>
      </c>
      <c r="M382" s="279">
        <f>IF(LEFT(M$6,4)&gt;"2018",M405,M389)</f>
        <v>0</v>
      </c>
      <c r="N382" s="279">
        <f>IF(LEFT(N$6,4)&gt;"2018",N405,N389)</f>
        <v>0</v>
      </c>
    </row>
    <row r="383" spans="2:35" ht="11.25" customHeight="1" x14ac:dyDescent="0.35">
      <c r="B383" s="244" t="s">
        <v>5089</v>
      </c>
      <c r="C383" s="245"/>
      <c r="D383" s="279">
        <f>IF(LEFT(D$6,4)&gt;"2018",D400,D390)</f>
        <v>19319.147000000001</v>
      </c>
      <c r="E383" s="279">
        <f>IF(LEFT(E$6,4)&gt;"2018",E400,E390)</f>
        <v>0</v>
      </c>
      <c r="F383" s="279">
        <f>IF(LEFT(F$6,4)&gt;"2018",F400,F390)</f>
        <v>0</v>
      </c>
      <c r="G383" s="279">
        <f>IF(LEFT(G$6,4)&gt;"2018",G400,G390)</f>
        <v>0</v>
      </c>
      <c r="H383" s="279">
        <f>IF(LEFT(H$6,4)&gt;"2018",H400,H390)</f>
        <v>0</v>
      </c>
      <c r="I383" s="279">
        <f>IF(LEFT(I$6,4)&gt;"2018",I400,I390)</f>
        <v>0</v>
      </c>
      <c r="J383" s="279">
        <f>IF(LEFT(J$6,4)&gt;"2018",J400,J390)</f>
        <v>80.897999999999996</v>
      </c>
      <c r="K383" s="279">
        <f>IF(LEFT(K$6,4)&gt;"2018",K400,K390)</f>
        <v>0</v>
      </c>
      <c r="L383" s="279">
        <f>IF(LEFT(L$6,4)&gt;"2018",L400,L390)</f>
        <v>0</v>
      </c>
      <c r="M383" s="279">
        <f>IF(LEFT(M$6,4)&gt;"2018",M400,M390)</f>
        <v>0</v>
      </c>
      <c r="N383" s="279">
        <f>IF(LEFT(N$6,4)&gt;"2018",N400,N390)</f>
        <v>0</v>
      </c>
    </row>
    <row r="384" spans="2:35" ht="11.25" customHeight="1" x14ac:dyDescent="0.35">
      <c r="B384" s="244" t="s">
        <v>5470</v>
      </c>
      <c r="C384" s="245"/>
      <c r="D384" s="279">
        <f>IF(LEFT(D$6,4)&gt;"2018","NA",D391)</f>
        <v>-21.283000000000001</v>
      </c>
      <c r="E384" s="279">
        <f>IF(LEFT(E$6,4)&gt;"2018","NA",E391)</f>
        <v>0</v>
      </c>
      <c r="F384" s="279">
        <f>IF(LEFT(F$6,4)&gt;"2018","NA",F391)</f>
        <v>0</v>
      </c>
      <c r="G384" s="279">
        <f>IF(LEFT(G$6,4)&gt;"2018","NA",G391)</f>
        <v>0</v>
      </c>
      <c r="H384" s="279">
        <f>IF(LEFT(H$6,4)&gt;"2018","NA",H391)</f>
        <v>0</v>
      </c>
      <c r="I384" s="279">
        <f>IF(LEFT(I$6,4)&gt;"2018","NA",I391)</f>
        <v>0</v>
      </c>
      <c r="J384" s="279">
        <f>IF(LEFT(J$6,4)&gt;"2018","NA",J391)</f>
        <v>0</v>
      </c>
      <c r="K384" s="279">
        <f>IF(LEFT(K$6,4)&gt;"2018","NA",K391)</f>
        <v>0</v>
      </c>
      <c r="L384" s="279">
        <f>IF(LEFT(L$6,4)&gt;"2018","NA",L391)</f>
        <v>0</v>
      </c>
      <c r="M384" s="279">
        <f>IF(LEFT(M$6,4)&gt;"2018","NA",M391)</f>
        <v>0</v>
      </c>
      <c r="N384" s="279">
        <f>IF(LEFT(N$6,4)&gt;"2018","NA",N391)</f>
        <v>0</v>
      </c>
    </row>
    <row r="385" spans="2:35" ht="11.25" customHeight="1" x14ac:dyDescent="0.35">
      <c r="B385" s="244" t="s">
        <v>5087</v>
      </c>
      <c r="C385" s="245"/>
      <c r="D385" s="279">
        <f>IF(LEFT(D$6,4)&gt;"2018",SUM(D401:D403),D392)</f>
        <v>417160.63699999999</v>
      </c>
      <c r="E385" s="279">
        <f>IF(LEFT(E$6,4)&gt;"2018",SUM(E401:E403),E392)</f>
        <v>0</v>
      </c>
      <c r="F385" s="279">
        <f>IF(LEFT(F$6,4)&gt;"2018",SUM(F401:F403),F392)</f>
        <v>0</v>
      </c>
      <c r="G385" s="279">
        <f>IF(LEFT(G$6,4)&gt;"2018",SUM(G401:G403),G392)</f>
        <v>0</v>
      </c>
      <c r="H385" s="279">
        <f>IF(LEFT(H$6,4)&gt;"2018",SUM(H401:H403),H392)</f>
        <v>0</v>
      </c>
      <c r="I385" s="279">
        <f>IF(LEFT(I$6,4)&gt;"2018",SUM(I401:I403),I392)</f>
        <v>0</v>
      </c>
      <c r="J385" s="279">
        <f>IF(LEFT(J$6,4)&gt;"2018",SUM(J401:J403),J392)</f>
        <v>0</v>
      </c>
      <c r="K385" s="279">
        <f>IF(LEFT(K$6,4)&gt;"2018",SUM(K401:K403),K392)</f>
        <v>14.144</v>
      </c>
      <c r="L385" s="279">
        <f>IF(LEFT(L$6,4)&gt;"2018",SUM(L401:L403),L392)</f>
        <v>-100.869</v>
      </c>
      <c r="M385" s="279">
        <f>IF(LEFT(M$6,4)&gt;"2018",SUM(M401:M403),M392)</f>
        <v>0</v>
      </c>
      <c r="N385" s="279">
        <f>IF(LEFT(N$6,4)&gt;"2018",SUM(N401:N403),N392)</f>
        <v>0</v>
      </c>
    </row>
    <row r="386" spans="2:35" ht="11.25" customHeight="1" x14ac:dyDescent="0.35">
      <c r="B386" s="244" t="s">
        <v>5086</v>
      </c>
      <c r="C386" s="245">
        <v>123564</v>
      </c>
      <c r="D386" s="279">
        <v>281532892.41500002</v>
      </c>
      <c r="E386" s="305">
        <v>377539.72200000001</v>
      </c>
      <c r="F386" s="305">
        <v>60097.296999999999</v>
      </c>
      <c r="G386" s="305">
        <v>544371.06700000004</v>
      </c>
      <c r="H386" s="305">
        <v>0</v>
      </c>
      <c r="I386" s="305">
        <v>69353.441999999995</v>
      </c>
      <c r="J386" s="305">
        <v>462329.70500000002</v>
      </c>
      <c r="K386" s="305">
        <v>73682.384000000005</v>
      </c>
      <c r="L386" s="305">
        <v>4033.145</v>
      </c>
      <c r="M386" s="305">
        <v>32.506</v>
      </c>
      <c r="N386" s="305">
        <v>36967.762000000002</v>
      </c>
    </row>
    <row r="387" spans="2:35" ht="11.25" customHeight="1" x14ac:dyDescent="0.35">
      <c r="B387" s="244"/>
      <c r="C387" s="245"/>
      <c r="D387" s="279"/>
      <c r="E387" s="305"/>
      <c r="F387" s="305"/>
      <c r="G387" s="305"/>
      <c r="H387" s="305"/>
      <c r="I387" s="305"/>
      <c r="J387" s="305"/>
      <c r="K387" s="305"/>
      <c r="L387" s="305"/>
      <c r="M387" s="305"/>
      <c r="N387" s="305"/>
    </row>
    <row r="388" spans="2:35" ht="11.25" hidden="1" customHeight="1" outlineLevel="1" x14ac:dyDescent="0.35">
      <c r="B388" s="244" t="s">
        <v>5091</v>
      </c>
      <c r="C388" s="245">
        <v>123559</v>
      </c>
      <c r="D388" s="279">
        <v>26815911.580000002</v>
      </c>
      <c r="E388" s="305">
        <v>4886.2979999999998</v>
      </c>
      <c r="F388" s="305">
        <v>59612.642</v>
      </c>
      <c r="G388" s="305">
        <v>479437.50300000003</v>
      </c>
      <c r="H388" s="305">
        <v>0</v>
      </c>
      <c r="I388" s="305">
        <v>69353.441999999995</v>
      </c>
      <c r="J388" s="305">
        <v>5776.8969999999999</v>
      </c>
      <c r="K388" s="305">
        <v>17807.567999999999</v>
      </c>
      <c r="L388" s="305">
        <v>1193.3230000000001</v>
      </c>
      <c r="M388" s="305">
        <v>32.506</v>
      </c>
      <c r="N388" s="305">
        <v>36967.762000000002</v>
      </c>
    </row>
    <row r="389" spans="2:35" ht="11.25" hidden="1" customHeight="1" outlineLevel="1" x14ac:dyDescent="0.35">
      <c r="B389" s="244" t="s">
        <v>5090</v>
      </c>
      <c r="C389" s="245">
        <v>123560</v>
      </c>
      <c r="D389" s="279">
        <v>254280522.338</v>
      </c>
      <c r="E389" s="305">
        <v>372653.424</v>
      </c>
      <c r="F389" s="305">
        <v>484.65500000000003</v>
      </c>
      <c r="G389" s="305">
        <v>64933.563999999998</v>
      </c>
      <c r="H389" s="305">
        <v>0</v>
      </c>
      <c r="I389" s="305">
        <v>0</v>
      </c>
      <c r="J389" s="305">
        <v>456471.91000000003</v>
      </c>
      <c r="K389" s="305">
        <v>55860.671999999999</v>
      </c>
      <c r="L389" s="305">
        <v>2940.6910000000003</v>
      </c>
      <c r="M389" s="305">
        <v>0</v>
      </c>
      <c r="N389" s="305">
        <v>0</v>
      </c>
    </row>
    <row r="390" spans="2:35" ht="11.25" hidden="1" customHeight="1" outlineLevel="1" x14ac:dyDescent="0.35">
      <c r="B390" s="244" t="s">
        <v>5089</v>
      </c>
      <c r="C390" s="245">
        <v>123561</v>
      </c>
      <c r="D390" s="279">
        <v>19319.147000000001</v>
      </c>
      <c r="E390" s="305">
        <v>0</v>
      </c>
      <c r="F390" s="305">
        <v>0</v>
      </c>
      <c r="G390" s="305">
        <v>0</v>
      </c>
      <c r="H390" s="305">
        <v>0</v>
      </c>
      <c r="I390" s="305">
        <v>0</v>
      </c>
      <c r="J390" s="305">
        <v>80.897999999999996</v>
      </c>
      <c r="K390" s="305">
        <v>0</v>
      </c>
      <c r="L390" s="305">
        <v>0</v>
      </c>
      <c r="M390" s="305">
        <v>0</v>
      </c>
      <c r="N390" s="305">
        <v>0</v>
      </c>
    </row>
    <row r="391" spans="2:35" ht="11.25" hidden="1" customHeight="1" outlineLevel="1" x14ac:dyDescent="0.35">
      <c r="B391" s="244" t="s">
        <v>5470</v>
      </c>
      <c r="C391" s="245">
        <v>123562</v>
      </c>
      <c r="D391" s="279">
        <v>-21.283000000000001</v>
      </c>
      <c r="E391" s="305">
        <v>0</v>
      </c>
      <c r="F391" s="305">
        <v>0</v>
      </c>
      <c r="G391" s="305">
        <v>0</v>
      </c>
      <c r="H391" s="305">
        <v>0</v>
      </c>
      <c r="I391" s="305">
        <v>0</v>
      </c>
      <c r="J391" s="305">
        <v>0</v>
      </c>
      <c r="K391" s="305">
        <v>0</v>
      </c>
      <c r="L391" s="305">
        <v>0</v>
      </c>
      <c r="M391" s="305">
        <v>0</v>
      </c>
      <c r="N391" s="305">
        <v>0</v>
      </c>
    </row>
    <row r="392" spans="2:35" ht="11.25" hidden="1" customHeight="1" outlineLevel="1" x14ac:dyDescent="0.35">
      <c r="B392" s="244" t="s">
        <v>5087</v>
      </c>
      <c r="C392" s="245">
        <v>123563</v>
      </c>
      <c r="D392" s="279">
        <v>417160.63699999999</v>
      </c>
      <c r="E392" s="305">
        <v>0</v>
      </c>
      <c r="F392" s="305">
        <v>0</v>
      </c>
      <c r="G392" s="305">
        <v>0</v>
      </c>
      <c r="H392" s="305">
        <v>0</v>
      </c>
      <c r="I392" s="305">
        <v>0</v>
      </c>
      <c r="J392" s="305">
        <v>0</v>
      </c>
      <c r="K392" s="305">
        <v>14.144</v>
      </c>
      <c r="L392" s="305">
        <v>-100.869</v>
      </c>
      <c r="M392" s="305">
        <v>0</v>
      </c>
      <c r="N392" s="305">
        <v>0</v>
      </c>
    </row>
    <row r="393" spans="2:35" ht="11.25" hidden="1" customHeight="1" outlineLevel="1" x14ac:dyDescent="0.55000000000000004">
      <c r="B393" s="244"/>
      <c r="C393" s="245"/>
      <c r="D393" s="279"/>
      <c r="E393" s="305"/>
      <c r="F393" s="305"/>
      <c r="G393" s="305"/>
      <c r="H393" s="305"/>
      <c r="I393" s="305"/>
      <c r="J393" s="305"/>
      <c r="K393" s="305"/>
      <c r="L393" s="305"/>
      <c r="M393" s="305"/>
      <c r="N393" s="305"/>
      <c r="U393" s="396" t="str">
        <f ca="1">[1]!snltable(287,$Y$393:$AI$393,$V$395:$V$405,$W$395:$W$405,,"Options:Curr=USD, Mag=Thousands, ConvMethod=SNLrecommended")</f>
        <v>SNLTable</v>
      </c>
      <c r="V393" s="397"/>
      <c r="W393" s="397"/>
      <c r="X393" s="397"/>
      <c r="Y393" s="298" t="str">
        <f ca="1">IF(Entity_Code="","",Entity_Code)</f>
        <v>I36</v>
      </c>
      <c r="Z393" s="298" t="str">
        <f ca="1">IF(Entity_C1="","",Entity_C1)</f>
        <v>C2874</v>
      </c>
      <c r="AA393" s="298" t="str">
        <f ca="1">IF(Entity_C2="","",Entity_C2)</f>
        <v>C5004</v>
      </c>
      <c r="AB393" s="298" t="str">
        <f ca="1">IF(Entity_C3="","",Entity_C3)</f>
        <v>C2093</v>
      </c>
      <c r="AC393" s="298" t="str">
        <f ca="1">IF(Entity_C4="","",Entity_C4)</f>
        <v>C2623</v>
      </c>
      <c r="AD393" s="298" t="str">
        <f ca="1">IF(Entity_C5="","",Entity_C5)</f>
        <v>C3048</v>
      </c>
      <c r="AE393" s="298" t="str">
        <f ca="1">IF(Entity_C6="","",Entity_C6)</f>
        <v>C2409</v>
      </c>
      <c r="AF393" s="298" t="str">
        <f ca="1">IF(Entity_C7="","",Entity_C7)</f>
        <v>C2921</v>
      </c>
      <c r="AG393" s="298" t="str">
        <f ca="1">IF(Entity_C8="","",Entity_C8)</f>
        <v>C2284</v>
      </c>
      <c r="AH393" s="298" t="str">
        <f ca="1">IF(Entity_C9="","",Entity_C9)</f>
        <v>C3613</v>
      </c>
      <c r="AI393" s="298" t="str">
        <f ca="1">IF(Entity_C10="","",Entity_C10)</f>
        <v>C2253</v>
      </c>
    </row>
    <row r="394" spans="2:35" ht="11.25" hidden="1" customHeight="1" outlineLevel="1" x14ac:dyDescent="0.55000000000000004">
      <c r="B394" s="246" t="s">
        <v>5471</v>
      </c>
      <c r="C394" s="245"/>
      <c r="D394" s="335"/>
      <c r="E394" s="335"/>
      <c r="F394" s="335"/>
      <c r="G394" s="335"/>
      <c r="H394" s="335"/>
      <c r="I394" s="335"/>
      <c r="J394" s="335"/>
      <c r="K394" s="335"/>
      <c r="L394" s="335"/>
      <c r="M394" s="335"/>
      <c r="N394" s="335"/>
      <c r="U394" s="403"/>
      <c r="V394" s="400"/>
      <c r="W394" s="400"/>
      <c r="X394" s="400"/>
      <c r="Y394" s="402"/>
      <c r="Z394" s="402"/>
      <c r="AA394" s="402"/>
      <c r="AB394" s="402"/>
      <c r="AC394" s="402"/>
      <c r="AD394" s="402"/>
      <c r="AE394" s="402"/>
      <c r="AF394" s="402"/>
      <c r="AG394" s="402"/>
      <c r="AH394" s="402"/>
      <c r="AI394" s="402"/>
    </row>
    <row r="395" spans="2:35" ht="11.25" hidden="1" customHeight="1" outlineLevel="1" x14ac:dyDescent="0.35">
      <c r="B395" s="244" t="s">
        <v>5365</v>
      </c>
      <c r="C395" s="245"/>
      <c r="D395" s="279" t="str">
        <f>IF(Y395="","",Y395)</f>
        <v>NA</v>
      </c>
      <c r="E395" s="279" t="str">
        <f>IF(Z395="","",Z395)</f>
        <v>NA</v>
      </c>
      <c r="F395" s="279" t="str">
        <f>IF(AA395="","",AA395)</f>
        <v>NA</v>
      </c>
      <c r="G395" s="279" t="str">
        <f>IF(AB395="","",AB395)</f>
        <v>NA</v>
      </c>
      <c r="H395" s="279" t="str">
        <f>IF(AC395="","",AC395)</f>
        <v>NA</v>
      </c>
      <c r="I395" s="279" t="str">
        <f>IF(AD395="","",AD395)</f>
        <v>NA</v>
      </c>
      <c r="J395" s="279" t="str">
        <f>IF(AE395="","",AE395)</f>
        <v>NA</v>
      </c>
      <c r="K395" s="279" t="str">
        <f>IF(AF395="","",AF395)</f>
        <v>NA</v>
      </c>
      <c r="L395" s="279" t="str">
        <f>IF(AG395="","",AG395)</f>
        <v>NA</v>
      </c>
      <c r="M395" s="279" t="str">
        <f>IF(AH395="","",AH395)</f>
        <v>NA</v>
      </c>
      <c r="N395" s="279" t="str">
        <f>IF(AI395="","",AI395)</f>
        <v>NA</v>
      </c>
      <c r="U395" s="384" t="s">
        <v>5471</v>
      </c>
      <c r="V395" s="385" t="s">
        <v>5381</v>
      </c>
      <c r="W395" s="385" t="str">
        <f t="shared" ref="W395:W405" si="10">Period</f>
        <v>2014Y</v>
      </c>
      <c r="X395" s="390" t="str">
        <f>[1]!SNLLabel(287,324688,,"&lt;&gt;360")</f>
        <v>AR: Analysis of Operations All Lines</v>
      </c>
      <c r="Y395" s="387" t="s">
        <v>29</v>
      </c>
      <c r="Z395" s="387" t="s">
        <v>29</v>
      </c>
      <c r="AA395" s="387" t="s">
        <v>29</v>
      </c>
      <c r="AB395" s="387" t="s">
        <v>29</v>
      </c>
      <c r="AC395" s="387" t="s">
        <v>29</v>
      </c>
      <c r="AD395" s="387" t="s">
        <v>29</v>
      </c>
      <c r="AE395" s="387" t="s">
        <v>29</v>
      </c>
      <c r="AF395" s="387" t="s">
        <v>29</v>
      </c>
      <c r="AG395" s="387" t="s">
        <v>29</v>
      </c>
      <c r="AH395" s="387" t="s">
        <v>29</v>
      </c>
      <c r="AI395" s="387" t="s">
        <v>29</v>
      </c>
    </row>
    <row r="396" spans="2:35" ht="11.25" hidden="1" customHeight="1" outlineLevel="1" x14ac:dyDescent="0.35">
      <c r="B396" s="244" t="s">
        <v>5366</v>
      </c>
      <c r="C396" s="245"/>
      <c r="D396" s="279" t="str">
        <f>IF(Y396="","",Y396)</f>
        <v>NA</v>
      </c>
      <c r="E396" s="279" t="str">
        <f>IF(Z396="","",Z396)</f>
        <v>NA</v>
      </c>
      <c r="F396" s="279" t="str">
        <f>IF(AA396="","",AA396)</f>
        <v>NA</v>
      </c>
      <c r="G396" s="279" t="str">
        <f>IF(AB396="","",AB396)</f>
        <v>NA</v>
      </c>
      <c r="H396" s="279" t="str">
        <f>IF(AC396="","",AC396)</f>
        <v>NA</v>
      </c>
      <c r="I396" s="279" t="str">
        <f>IF(AD396="","",AD396)</f>
        <v>NA</v>
      </c>
      <c r="J396" s="279" t="str">
        <f>IF(AE396="","",AE396)</f>
        <v>NA</v>
      </c>
      <c r="K396" s="279" t="str">
        <f>IF(AF396="","",AF396)</f>
        <v>NA</v>
      </c>
      <c r="L396" s="279" t="str">
        <f>IF(AG396="","",AG396)</f>
        <v>NA</v>
      </c>
      <c r="M396" s="279" t="str">
        <f>IF(AH396="","",AH396)</f>
        <v>NA</v>
      </c>
      <c r="N396" s="279" t="str">
        <f>IF(AI396="","",AI396)</f>
        <v>NA</v>
      </c>
      <c r="U396" s="388" t="s">
        <v>5471</v>
      </c>
      <c r="V396" s="389" t="s">
        <v>5381</v>
      </c>
      <c r="W396" s="389" t="str">
        <f t="shared" si="10"/>
        <v>2014Y</v>
      </c>
      <c r="X396" s="390" t="str">
        <f>[1]!SNLLabel(287,324688,,"&lt;&gt;361")</f>
        <v>AR: Individual Life</v>
      </c>
      <c r="Y396" s="391" t="s">
        <v>29</v>
      </c>
      <c r="Z396" s="391" t="s">
        <v>29</v>
      </c>
      <c r="AA396" s="391" t="s">
        <v>29</v>
      </c>
      <c r="AB396" s="391" t="s">
        <v>29</v>
      </c>
      <c r="AC396" s="391" t="s">
        <v>29</v>
      </c>
      <c r="AD396" s="391" t="s">
        <v>29</v>
      </c>
      <c r="AE396" s="391" t="s">
        <v>29</v>
      </c>
      <c r="AF396" s="391" t="s">
        <v>29</v>
      </c>
      <c r="AG396" s="391" t="s">
        <v>29</v>
      </c>
      <c r="AH396" s="391" t="s">
        <v>29</v>
      </c>
      <c r="AI396" s="391" t="s">
        <v>29</v>
      </c>
    </row>
    <row r="397" spans="2:35" ht="11.25" hidden="1" customHeight="1" outlineLevel="1" x14ac:dyDescent="0.35">
      <c r="B397" s="244" t="s">
        <v>5122</v>
      </c>
      <c r="C397" s="245"/>
      <c r="D397" s="279" t="str">
        <f>IF(Y397="","",Y397)</f>
        <v>NA</v>
      </c>
      <c r="E397" s="279" t="str">
        <f>IF(Z397="","",Z397)</f>
        <v>NA</v>
      </c>
      <c r="F397" s="279" t="str">
        <f>IF(AA397="","",AA397)</f>
        <v>NA</v>
      </c>
      <c r="G397" s="279" t="str">
        <f>IF(AB397="","",AB397)</f>
        <v>NA</v>
      </c>
      <c r="H397" s="279" t="str">
        <f>IF(AC397="","",AC397)</f>
        <v>NA</v>
      </c>
      <c r="I397" s="279" t="str">
        <f>IF(AD397="","",AD397)</f>
        <v>NA</v>
      </c>
      <c r="J397" s="279" t="str">
        <f>IF(AE397="","",AE397)</f>
        <v>NA</v>
      </c>
      <c r="K397" s="279" t="str">
        <f>IF(AF397="","",AF397)</f>
        <v>NA</v>
      </c>
      <c r="L397" s="279" t="str">
        <f>IF(AG397="","",AG397)</f>
        <v>NA</v>
      </c>
      <c r="M397" s="279" t="str">
        <f>IF(AH397="","",AH397)</f>
        <v>NA</v>
      </c>
      <c r="N397" s="279" t="str">
        <f>IF(AI397="","",AI397)</f>
        <v>NA</v>
      </c>
      <c r="U397" s="388" t="s">
        <v>5471</v>
      </c>
      <c r="V397" s="389" t="s">
        <v>5381</v>
      </c>
      <c r="W397" s="389" t="str">
        <f t="shared" si="10"/>
        <v>2014Y</v>
      </c>
      <c r="X397" s="390" t="str">
        <f>[1]!SNLLabel(287,324688,,"&lt;&gt;362")</f>
        <v>AR: Group Life</v>
      </c>
      <c r="Y397" s="391" t="s">
        <v>29</v>
      </c>
      <c r="Z397" s="391" t="s">
        <v>29</v>
      </c>
      <c r="AA397" s="391" t="s">
        <v>29</v>
      </c>
      <c r="AB397" s="391" t="s">
        <v>29</v>
      </c>
      <c r="AC397" s="391" t="s">
        <v>29</v>
      </c>
      <c r="AD397" s="391" t="s">
        <v>29</v>
      </c>
      <c r="AE397" s="391" t="s">
        <v>29</v>
      </c>
      <c r="AF397" s="391" t="s">
        <v>29</v>
      </c>
      <c r="AG397" s="391" t="s">
        <v>29</v>
      </c>
      <c r="AH397" s="391" t="s">
        <v>29</v>
      </c>
      <c r="AI397" s="391" t="s">
        <v>29</v>
      </c>
    </row>
    <row r="398" spans="2:35" ht="11.25" hidden="1" customHeight="1" outlineLevel="1" x14ac:dyDescent="0.35">
      <c r="B398" s="244" t="s">
        <v>5124</v>
      </c>
      <c r="C398" s="245"/>
      <c r="D398" s="279" t="str">
        <f>IF(Y398="","",Y398)</f>
        <v>NA</v>
      </c>
      <c r="E398" s="279" t="str">
        <f>IF(Z398="","",Z398)</f>
        <v>NA</v>
      </c>
      <c r="F398" s="279" t="str">
        <f>IF(AA398="","",AA398)</f>
        <v>NA</v>
      </c>
      <c r="G398" s="279" t="str">
        <f>IF(AB398="","",AB398)</f>
        <v>NA</v>
      </c>
      <c r="H398" s="279" t="str">
        <f>IF(AC398="","",AC398)</f>
        <v>NA</v>
      </c>
      <c r="I398" s="279" t="str">
        <f>IF(AD398="","",AD398)</f>
        <v>NA</v>
      </c>
      <c r="J398" s="279" t="str">
        <f>IF(AE398="","",AE398)</f>
        <v>NA</v>
      </c>
      <c r="K398" s="279" t="str">
        <f>IF(AF398="","",AF398)</f>
        <v>NA</v>
      </c>
      <c r="L398" s="279" t="str">
        <f>IF(AG398="","",AG398)</f>
        <v>NA</v>
      </c>
      <c r="M398" s="279" t="str">
        <f>IF(AH398="","",AH398)</f>
        <v>NA</v>
      </c>
      <c r="N398" s="279" t="str">
        <f>IF(AI398="","",AI398)</f>
        <v>NA</v>
      </c>
      <c r="U398" s="388" t="s">
        <v>5471</v>
      </c>
      <c r="V398" s="389" t="s">
        <v>5381</v>
      </c>
      <c r="W398" s="389" t="str">
        <f t="shared" si="10"/>
        <v>2014Y</v>
      </c>
      <c r="X398" s="390" t="str">
        <f>[1]!SNLLabel(287,324688,,"&lt;&gt;363")</f>
        <v>AR: Individual Annuities</v>
      </c>
      <c r="Y398" s="391" t="s">
        <v>29</v>
      </c>
      <c r="Z398" s="391" t="s">
        <v>29</v>
      </c>
      <c r="AA398" s="391" t="s">
        <v>29</v>
      </c>
      <c r="AB398" s="391" t="s">
        <v>29</v>
      </c>
      <c r="AC398" s="391" t="s">
        <v>29</v>
      </c>
      <c r="AD398" s="391" t="s">
        <v>29</v>
      </c>
      <c r="AE398" s="391" t="s">
        <v>29</v>
      </c>
      <c r="AF398" s="391" t="s">
        <v>29</v>
      </c>
      <c r="AG398" s="391" t="s">
        <v>29</v>
      </c>
      <c r="AH398" s="391" t="s">
        <v>29</v>
      </c>
      <c r="AI398" s="391" t="s">
        <v>29</v>
      </c>
    </row>
    <row r="399" spans="2:35" ht="11.25" hidden="1" customHeight="1" outlineLevel="1" x14ac:dyDescent="0.35">
      <c r="B399" s="244" t="s">
        <v>5121</v>
      </c>
      <c r="C399" s="245"/>
      <c r="D399" s="279" t="str">
        <f>IF(Y399="","",Y399)</f>
        <v>NA</v>
      </c>
      <c r="E399" s="279" t="str">
        <f>IF(Z399="","",Z399)</f>
        <v>NA</v>
      </c>
      <c r="F399" s="279" t="str">
        <f>IF(AA399="","",AA399)</f>
        <v>NA</v>
      </c>
      <c r="G399" s="279" t="str">
        <f>IF(AB399="","",AB399)</f>
        <v>NA</v>
      </c>
      <c r="H399" s="279" t="str">
        <f>IF(AC399="","",AC399)</f>
        <v>NA</v>
      </c>
      <c r="I399" s="279" t="str">
        <f>IF(AD399="","",AD399)</f>
        <v>NA</v>
      </c>
      <c r="J399" s="279" t="str">
        <f>IF(AE399="","",AE399)</f>
        <v>NA</v>
      </c>
      <c r="K399" s="279" t="str">
        <f>IF(AF399="","",AF399)</f>
        <v>NA</v>
      </c>
      <c r="L399" s="279" t="str">
        <f>IF(AG399="","",AG399)</f>
        <v>NA</v>
      </c>
      <c r="M399" s="279" t="str">
        <f>IF(AH399="","",AH399)</f>
        <v>NA</v>
      </c>
      <c r="N399" s="279" t="str">
        <f>IF(AI399="","",AI399)</f>
        <v>NA</v>
      </c>
      <c r="U399" s="388" t="s">
        <v>5471</v>
      </c>
      <c r="V399" s="389" t="s">
        <v>5381</v>
      </c>
      <c r="W399" s="389" t="str">
        <f t="shared" si="10"/>
        <v>2014Y</v>
      </c>
      <c r="X399" s="390" t="str">
        <f>[1]!SNLLabel(287,324688,,"&lt;&gt;364")</f>
        <v>AR: Group Annuities</v>
      </c>
      <c r="Y399" s="391" t="s">
        <v>29</v>
      </c>
      <c r="Z399" s="391" t="s">
        <v>29</v>
      </c>
      <c r="AA399" s="391" t="s">
        <v>29</v>
      </c>
      <c r="AB399" s="391" t="s">
        <v>29</v>
      </c>
      <c r="AC399" s="391" t="s">
        <v>29</v>
      </c>
      <c r="AD399" s="391" t="s">
        <v>29</v>
      </c>
      <c r="AE399" s="391" t="s">
        <v>29</v>
      </c>
      <c r="AF399" s="391" t="s">
        <v>29</v>
      </c>
      <c r="AG399" s="391" t="s">
        <v>29</v>
      </c>
      <c r="AH399" s="391" t="s">
        <v>29</v>
      </c>
      <c r="AI399" s="391" t="s">
        <v>29</v>
      </c>
    </row>
    <row r="400" spans="2:35" ht="11.25" hidden="1" customHeight="1" outlineLevel="1" x14ac:dyDescent="0.35">
      <c r="B400" s="244" t="s">
        <v>5367</v>
      </c>
      <c r="C400" s="247"/>
      <c r="D400" s="279" t="str">
        <f>IF(Y400="","",Y400)</f>
        <v>NA</v>
      </c>
      <c r="E400" s="279" t="str">
        <f>IF(Z400="","",Z400)</f>
        <v>NA</v>
      </c>
      <c r="F400" s="279" t="str">
        <f>IF(AA400="","",AA400)</f>
        <v>NA</v>
      </c>
      <c r="G400" s="279" t="str">
        <f>IF(AB400="","",AB400)</f>
        <v>NA</v>
      </c>
      <c r="H400" s="279" t="str">
        <f>IF(AC400="","",AC400)</f>
        <v>NA</v>
      </c>
      <c r="I400" s="279" t="str">
        <f>IF(AD400="","",AD400)</f>
        <v>NA</v>
      </c>
      <c r="J400" s="279" t="str">
        <f>IF(AE400="","",AE400)</f>
        <v>NA</v>
      </c>
      <c r="K400" s="279" t="str">
        <f>IF(AF400="","",AF400)</f>
        <v>NA</v>
      </c>
      <c r="L400" s="279" t="str">
        <f>IF(AG400="","",AG400)</f>
        <v>NA</v>
      </c>
      <c r="M400" s="279" t="str">
        <f>IF(AH400="","",AH400)</f>
        <v>NA</v>
      </c>
      <c r="N400" s="279" t="str">
        <f>IF(AI400="","",AI400)</f>
        <v>NA</v>
      </c>
      <c r="U400" s="388" t="s">
        <v>5471</v>
      </c>
      <c r="V400" s="389" t="s">
        <v>5381</v>
      </c>
      <c r="W400" s="389" t="str">
        <f t="shared" si="10"/>
        <v>2014Y</v>
      </c>
      <c r="X400" s="390" t="str">
        <f>[1]!SNLLabel(287,324688,,"&lt;&gt;365")</f>
        <v>AR: Accident and Health</v>
      </c>
      <c r="Y400" s="391" t="s">
        <v>29</v>
      </c>
      <c r="Z400" s="391" t="s">
        <v>29</v>
      </c>
      <c r="AA400" s="391" t="s">
        <v>29</v>
      </c>
      <c r="AB400" s="391" t="s">
        <v>29</v>
      </c>
      <c r="AC400" s="391" t="s">
        <v>29</v>
      </c>
      <c r="AD400" s="391" t="s">
        <v>29</v>
      </c>
      <c r="AE400" s="391" t="s">
        <v>29</v>
      </c>
      <c r="AF400" s="391" t="s">
        <v>29</v>
      </c>
      <c r="AG400" s="391" t="s">
        <v>29</v>
      </c>
      <c r="AH400" s="391" t="s">
        <v>29</v>
      </c>
      <c r="AI400" s="391" t="s">
        <v>29</v>
      </c>
    </row>
    <row r="401" spans="2:35" ht="11.25" hidden="1" customHeight="1" outlineLevel="1" x14ac:dyDescent="0.35">
      <c r="B401" s="244" t="s">
        <v>5368</v>
      </c>
      <c r="C401" s="245"/>
      <c r="D401" s="279" t="str">
        <f>IF(Y401="","",Y401)</f>
        <v>NA</v>
      </c>
      <c r="E401" s="279" t="str">
        <f>IF(Z401="","",Z401)</f>
        <v>NA</v>
      </c>
      <c r="F401" s="279" t="str">
        <f>IF(AA401="","",AA401)</f>
        <v>NA</v>
      </c>
      <c r="G401" s="279" t="str">
        <f>IF(AB401="","",AB401)</f>
        <v>NA</v>
      </c>
      <c r="H401" s="279" t="str">
        <f>IF(AC401="","",AC401)</f>
        <v>NA</v>
      </c>
      <c r="I401" s="279" t="str">
        <f>IF(AD401="","",AD401)</f>
        <v>NA</v>
      </c>
      <c r="J401" s="279" t="str">
        <f>IF(AE401="","",AE401)</f>
        <v>NA</v>
      </c>
      <c r="K401" s="279" t="str">
        <f>IF(AF401="","",AF401)</f>
        <v>NA</v>
      </c>
      <c r="L401" s="279" t="str">
        <f>IF(AG401="","",AG401)</f>
        <v>NA</v>
      </c>
      <c r="M401" s="279" t="str">
        <f>IF(AH401="","",AH401)</f>
        <v>NA</v>
      </c>
      <c r="N401" s="279" t="str">
        <f>IF(AI401="","",AI401)</f>
        <v>NA</v>
      </c>
      <c r="U401" s="388" t="s">
        <v>5471</v>
      </c>
      <c r="V401" s="389" t="s">
        <v>5381</v>
      </c>
      <c r="W401" s="389" t="str">
        <f t="shared" si="10"/>
        <v>2014Y</v>
      </c>
      <c r="X401" s="390" t="str">
        <f>[1]!SNLLabel(287,324688,,"&lt;&gt;366")</f>
        <v>AR: Fraternal</v>
      </c>
      <c r="Y401" s="391" t="s">
        <v>29</v>
      </c>
      <c r="Z401" s="391" t="s">
        <v>29</v>
      </c>
      <c r="AA401" s="391" t="s">
        <v>29</v>
      </c>
      <c r="AB401" s="391" t="s">
        <v>29</v>
      </c>
      <c r="AC401" s="391" t="s">
        <v>29</v>
      </c>
      <c r="AD401" s="391" t="s">
        <v>29</v>
      </c>
      <c r="AE401" s="391" t="s">
        <v>29</v>
      </c>
      <c r="AF401" s="391" t="s">
        <v>29</v>
      </c>
      <c r="AG401" s="391" t="s">
        <v>29</v>
      </c>
      <c r="AH401" s="391" t="s">
        <v>29</v>
      </c>
      <c r="AI401" s="391" t="s">
        <v>29</v>
      </c>
    </row>
    <row r="402" spans="2:35" ht="11.25" hidden="1" customHeight="1" outlineLevel="1" x14ac:dyDescent="0.35">
      <c r="B402" s="244" t="s">
        <v>5369</v>
      </c>
      <c r="C402" s="245"/>
      <c r="D402" s="279" t="str">
        <f>IF(Y402="","",Y402)</f>
        <v>NA</v>
      </c>
      <c r="E402" s="279" t="str">
        <f>IF(Z402="","",Z402)</f>
        <v>NA</v>
      </c>
      <c r="F402" s="279" t="str">
        <f>IF(AA402="","",AA402)</f>
        <v>NA</v>
      </c>
      <c r="G402" s="279" t="str">
        <f>IF(AB402="","",AB402)</f>
        <v>NA</v>
      </c>
      <c r="H402" s="279" t="str">
        <f>IF(AC402="","",AC402)</f>
        <v>NA</v>
      </c>
      <c r="I402" s="279" t="str">
        <f>IF(AD402="","",AD402)</f>
        <v>NA</v>
      </c>
      <c r="J402" s="279" t="str">
        <f>IF(AE402="","",AE402)</f>
        <v>NA</v>
      </c>
      <c r="K402" s="279" t="str">
        <f>IF(AF402="","",AF402)</f>
        <v>NA</v>
      </c>
      <c r="L402" s="279" t="str">
        <f>IF(AG402="","",AG402)</f>
        <v>NA</v>
      </c>
      <c r="M402" s="279" t="str">
        <f>IF(AH402="","",AH402)</f>
        <v>NA</v>
      </c>
      <c r="N402" s="279" t="str">
        <f>IF(AI402="","",AI402)</f>
        <v>NA</v>
      </c>
      <c r="U402" s="388" t="s">
        <v>5471</v>
      </c>
      <c r="V402" s="389" t="s">
        <v>5381</v>
      </c>
      <c r="W402" s="389" t="str">
        <f t="shared" si="10"/>
        <v>2014Y</v>
      </c>
      <c r="X402" s="390" t="str">
        <f>[1]!SNLLabel(287,324688,,"&lt;&gt;367")</f>
        <v>AR: Other Lines of Business</v>
      </c>
      <c r="Y402" s="391" t="s">
        <v>29</v>
      </c>
      <c r="Z402" s="391" t="s">
        <v>29</v>
      </c>
      <c r="AA402" s="391" t="s">
        <v>29</v>
      </c>
      <c r="AB402" s="391" t="s">
        <v>29</v>
      </c>
      <c r="AC402" s="391" t="s">
        <v>29</v>
      </c>
      <c r="AD402" s="391" t="s">
        <v>29</v>
      </c>
      <c r="AE402" s="391" t="s">
        <v>29</v>
      </c>
      <c r="AF402" s="391" t="s">
        <v>29</v>
      </c>
      <c r="AG402" s="391" t="s">
        <v>29</v>
      </c>
      <c r="AH402" s="391" t="s">
        <v>29</v>
      </c>
      <c r="AI402" s="391" t="s">
        <v>29</v>
      </c>
    </row>
    <row r="403" spans="2:35" ht="11.25" hidden="1" customHeight="1" outlineLevel="1" x14ac:dyDescent="0.35">
      <c r="B403" s="244" t="s">
        <v>5370</v>
      </c>
      <c r="C403" s="245"/>
      <c r="D403" s="279" t="str">
        <f>IF(Y403="","",Y403)</f>
        <v>NA</v>
      </c>
      <c r="E403" s="279" t="str">
        <f>IF(Z403="","",Z403)</f>
        <v>NA</v>
      </c>
      <c r="F403" s="279" t="str">
        <f>IF(AA403="","",AA403)</f>
        <v>NA</v>
      </c>
      <c r="G403" s="279" t="str">
        <f>IF(AB403="","",AB403)</f>
        <v>NA</v>
      </c>
      <c r="H403" s="279" t="str">
        <f>IF(AC403="","",AC403)</f>
        <v>NA</v>
      </c>
      <c r="I403" s="279" t="str">
        <f>IF(AD403="","",AD403)</f>
        <v>NA</v>
      </c>
      <c r="J403" s="279" t="str">
        <f>IF(AE403="","",AE403)</f>
        <v>NA</v>
      </c>
      <c r="K403" s="279" t="str">
        <f>IF(AF403="","",AF403)</f>
        <v>NA</v>
      </c>
      <c r="L403" s="279" t="str">
        <f>IF(AG403="","",AG403)</f>
        <v>NA</v>
      </c>
      <c r="M403" s="279" t="str">
        <f>IF(AH403="","",AH403)</f>
        <v>NA</v>
      </c>
      <c r="N403" s="279" t="str">
        <f>IF(AI403="","",AI403)</f>
        <v>NA</v>
      </c>
      <c r="U403" s="388" t="s">
        <v>5471</v>
      </c>
      <c r="V403" s="389" t="s">
        <v>5381</v>
      </c>
      <c r="W403" s="389" t="str">
        <f t="shared" si="10"/>
        <v>2014Y</v>
      </c>
      <c r="X403" s="390" t="str">
        <f>[1]!SNLLabel(287,324688,,"&lt;&gt;368")</f>
        <v>AR: YRT Mortality Risk Only</v>
      </c>
      <c r="Y403" s="391" t="s">
        <v>29</v>
      </c>
      <c r="Z403" s="391" t="s">
        <v>29</v>
      </c>
      <c r="AA403" s="391" t="s">
        <v>29</v>
      </c>
      <c r="AB403" s="391" t="s">
        <v>29</v>
      </c>
      <c r="AC403" s="391" t="s">
        <v>29</v>
      </c>
      <c r="AD403" s="391" t="s">
        <v>29</v>
      </c>
      <c r="AE403" s="391" t="s">
        <v>29</v>
      </c>
      <c r="AF403" s="391" t="s">
        <v>29</v>
      </c>
      <c r="AG403" s="391" t="s">
        <v>29</v>
      </c>
      <c r="AH403" s="391" t="s">
        <v>29</v>
      </c>
      <c r="AI403" s="391" t="s">
        <v>29</v>
      </c>
    </row>
    <row r="404" spans="2:35" ht="11.25" hidden="1" customHeight="1" outlineLevel="1" x14ac:dyDescent="0.35">
      <c r="B404" s="244" t="s">
        <v>5371</v>
      </c>
      <c r="C404" s="245"/>
      <c r="D404" s="279" t="str">
        <f>IF(Y404="","",Y404)</f>
        <v>NA</v>
      </c>
      <c r="E404" s="279" t="str">
        <f>IF(Z404="","",Z404)</f>
        <v>NA</v>
      </c>
      <c r="F404" s="279" t="str">
        <f>IF(AA404="","",AA404)</f>
        <v>NA</v>
      </c>
      <c r="G404" s="279" t="str">
        <f>IF(AB404="","",AB404)</f>
        <v>NA</v>
      </c>
      <c r="H404" s="279" t="str">
        <f>IF(AC404="","",AC404)</f>
        <v>NA</v>
      </c>
      <c r="I404" s="279" t="str">
        <f>IF(AD404="","",AD404)</f>
        <v>NA</v>
      </c>
      <c r="J404" s="279" t="str">
        <f>IF(AE404="","",AE404)</f>
        <v>NA</v>
      </c>
      <c r="K404" s="279" t="str">
        <f>IF(AF404="","",AF404)</f>
        <v>NA</v>
      </c>
      <c r="L404" s="279" t="str">
        <f>IF(AG404="","",AG404)</f>
        <v>NA</v>
      </c>
      <c r="M404" s="279" t="str">
        <f>IF(AH404="","",AH404)</f>
        <v>NA</v>
      </c>
      <c r="N404" s="279" t="str">
        <f>IF(AI404="","",AI404)</f>
        <v>NA</v>
      </c>
      <c r="U404" s="388" t="s">
        <v>5471</v>
      </c>
      <c r="V404" s="389" t="s">
        <v>5381</v>
      </c>
      <c r="W404" s="389" t="str">
        <f t="shared" si="10"/>
        <v>2014Y</v>
      </c>
      <c r="X404" s="390" t="str">
        <f>[1]!SNLLabel(287,324688,,"&lt;&gt;369")</f>
        <v>AR: Individual and Group Life</v>
      </c>
      <c r="Y404" s="391" t="s">
        <v>29</v>
      </c>
      <c r="Z404" s="391" t="s">
        <v>29</v>
      </c>
      <c r="AA404" s="391" t="s">
        <v>29</v>
      </c>
      <c r="AB404" s="391" t="s">
        <v>29</v>
      </c>
      <c r="AC404" s="391" t="s">
        <v>29</v>
      </c>
      <c r="AD404" s="391" t="s">
        <v>29</v>
      </c>
      <c r="AE404" s="391" t="s">
        <v>29</v>
      </c>
      <c r="AF404" s="391" t="s">
        <v>29</v>
      </c>
      <c r="AG404" s="391" t="s">
        <v>29</v>
      </c>
      <c r="AH404" s="391" t="s">
        <v>29</v>
      </c>
      <c r="AI404" s="391" t="s">
        <v>29</v>
      </c>
    </row>
    <row r="405" spans="2:35" ht="11.25" hidden="1" customHeight="1" outlineLevel="1" x14ac:dyDescent="0.35">
      <c r="B405" s="244" t="s">
        <v>5372</v>
      </c>
      <c r="C405" s="245"/>
      <c r="D405" s="279" t="str">
        <f>IF(Y405="","",Y405)</f>
        <v>NA</v>
      </c>
      <c r="E405" s="279" t="str">
        <f>IF(Z405="","",Z405)</f>
        <v>NA</v>
      </c>
      <c r="F405" s="279" t="str">
        <f>IF(AA405="","",AA405)</f>
        <v>NA</v>
      </c>
      <c r="G405" s="279" t="str">
        <f>IF(AB405="","",AB405)</f>
        <v>NA</v>
      </c>
      <c r="H405" s="279" t="str">
        <f>IF(AC405="","",AC405)</f>
        <v>NA</v>
      </c>
      <c r="I405" s="279" t="str">
        <f>IF(AD405="","",AD405)</f>
        <v>NA</v>
      </c>
      <c r="J405" s="279" t="str">
        <f>IF(AE405="","",AE405)</f>
        <v>NA</v>
      </c>
      <c r="K405" s="279" t="str">
        <f>IF(AF405="","",AF405)</f>
        <v>NA</v>
      </c>
      <c r="L405" s="279" t="str">
        <f>IF(AG405="","",AG405)</f>
        <v>NA</v>
      </c>
      <c r="M405" s="279" t="str">
        <f>IF(AH405="","",AH405)</f>
        <v>NA</v>
      </c>
      <c r="N405" s="279" t="str">
        <f>IF(AI405="","",AI405)</f>
        <v>NA</v>
      </c>
      <c r="U405" s="367" t="s">
        <v>5471</v>
      </c>
      <c r="V405" s="368" t="s">
        <v>5381</v>
      </c>
      <c r="W405" s="368" t="str">
        <f t="shared" si="10"/>
        <v>2014Y</v>
      </c>
      <c r="X405" s="369" t="str">
        <f>[1]!SNLLabel(287,324688,,"&lt;&gt;370")</f>
        <v>AR: Individual and Group Annuities</v>
      </c>
      <c r="Y405" s="371" t="s">
        <v>29</v>
      </c>
      <c r="Z405" s="371" t="s">
        <v>29</v>
      </c>
      <c r="AA405" s="371" t="s">
        <v>29</v>
      </c>
      <c r="AB405" s="371" t="s">
        <v>29</v>
      </c>
      <c r="AC405" s="371" t="s">
        <v>29</v>
      </c>
      <c r="AD405" s="371" t="s">
        <v>29</v>
      </c>
      <c r="AE405" s="371" t="s">
        <v>29</v>
      </c>
      <c r="AF405" s="371" t="s">
        <v>29</v>
      </c>
      <c r="AG405" s="371" t="s">
        <v>29</v>
      </c>
      <c r="AH405" s="371" t="s">
        <v>29</v>
      </c>
      <c r="AI405" s="371" t="s">
        <v>29</v>
      </c>
    </row>
    <row r="406" spans="2:35" ht="11.25" hidden="1" customHeight="1" outlineLevel="1" x14ac:dyDescent="0.35">
      <c r="B406" s="244"/>
      <c r="C406" s="245"/>
      <c r="D406" s="279"/>
      <c r="E406" s="305"/>
      <c r="F406" s="305"/>
      <c r="G406" s="305"/>
      <c r="H406" s="305"/>
      <c r="I406" s="305"/>
      <c r="J406" s="305"/>
      <c r="K406" s="305"/>
      <c r="L406" s="305"/>
      <c r="M406" s="305"/>
      <c r="N406" s="305"/>
    </row>
    <row r="407" spans="2:35" ht="11.25" customHeight="1" collapsed="1" x14ac:dyDescent="0.35">
      <c r="B407" s="244" t="s">
        <v>5085</v>
      </c>
      <c r="C407" s="245"/>
      <c r="D407" s="279">
        <f>IF(LEFT(D$6,4)&gt;"2018",SUM(D430,D443),D414)</f>
        <v>43514376.307999998</v>
      </c>
      <c r="E407" s="279">
        <f>IF(LEFT(E$6,4)&gt;"2018",SUM(E430,E443),E414)</f>
        <v>-9615.44</v>
      </c>
      <c r="F407" s="279">
        <f>IF(LEFT(F$6,4)&gt;"2018",SUM(F430,F443),F414)</f>
        <v>-627037.29200000002</v>
      </c>
      <c r="G407" s="279">
        <f>IF(LEFT(G$6,4)&gt;"2018",SUM(G430,G443),G414)</f>
        <v>3572745.4709999999</v>
      </c>
      <c r="H407" s="279">
        <f>IF(LEFT(H$6,4)&gt;"2018",SUM(H430,H443),H414)</f>
        <v>0</v>
      </c>
      <c r="I407" s="279">
        <f>IF(LEFT(I$6,4)&gt;"2018",SUM(I430,I443),I414)</f>
        <v>52052.125</v>
      </c>
      <c r="J407" s="279">
        <f>IF(LEFT(J$6,4)&gt;"2018",SUM(J430,J443),J414)</f>
        <v>90515.86</v>
      </c>
      <c r="K407" s="279">
        <f>IF(LEFT(K$6,4)&gt;"2018",SUM(K430,K443),K414)</f>
        <v>-20305.992000000002</v>
      </c>
      <c r="L407" s="279">
        <f>IF(LEFT(L$6,4)&gt;"2018",SUM(L430,L443),L414)</f>
        <v>-231.92500000000001</v>
      </c>
      <c r="M407" s="279">
        <f>IF(LEFT(M$6,4)&gt;"2018",SUM(M430,M443),M414)</f>
        <v>-720.17100000000005</v>
      </c>
      <c r="N407" s="279">
        <f>IF(LEFT(N$6,4)&gt;"2018",SUM(N430,N443),N414)</f>
        <v>57132.538</v>
      </c>
    </row>
    <row r="408" spans="2:35" ht="11.25" customHeight="1" x14ac:dyDescent="0.35">
      <c r="B408" s="244" t="s">
        <v>5084</v>
      </c>
      <c r="C408" s="245"/>
      <c r="D408" s="279">
        <f>IF(LEFT(D$6,4)&gt;"2018",SUM(D431,D444),D415)</f>
        <v>53228120.634000003</v>
      </c>
      <c r="E408" s="279">
        <f>IF(LEFT(E$6,4)&gt;"2018",SUM(E431,E444),E415)</f>
        <v>171314.85399999999</v>
      </c>
      <c r="F408" s="279">
        <f>IF(LEFT(F$6,4)&gt;"2018",SUM(F431,F444),F415)</f>
        <v>-379.00100000000003</v>
      </c>
      <c r="G408" s="279">
        <f>IF(LEFT(G$6,4)&gt;"2018",SUM(G431,G444),G415)</f>
        <v>713074.06599999999</v>
      </c>
      <c r="H408" s="279">
        <f>IF(LEFT(H$6,4)&gt;"2018",SUM(H431,H444),H415)</f>
        <v>0</v>
      </c>
      <c r="I408" s="279">
        <f>IF(LEFT(I$6,4)&gt;"2018",SUM(I431,I444),I415)</f>
        <v>-24484.920000000002</v>
      </c>
      <c r="J408" s="279">
        <f>IF(LEFT(J$6,4)&gt;"2018",SUM(J431,J444),J415)</f>
        <v>-103645.822</v>
      </c>
      <c r="K408" s="279">
        <f>IF(LEFT(K$6,4)&gt;"2018",SUM(K431,K444),K415)</f>
        <v>-34929.43</v>
      </c>
      <c r="L408" s="279">
        <f>IF(LEFT(L$6,4)&gt;"2018",SUM(L431,L444),L415)</f>
        <v>-3911.3340000000003</v>
      </c>
      <c r="M408" s="279">
        <f>IF(LEFT(M$6,4)&gt;"2018",SUM(M431,M444),M415)</f>
        <v>0</v>
      </c>
      <c r="N408" s="279">
        <f>IF(LEFT(N$6,4)&gt;"2018",SUM(N431,N444),N415)</f>
        <v>-10.790000000000001</v>
      </c>
    </row>
    <row r="409" spans="2:35" ht="11.25" customHeight="1" x14ac:dyDescent="0.35">
      <c r="B409" s="244" t="s">
        <v>5083</v>
      </c>
      <c r="C409" s="245"/>
      <c r="D409" s="279">
        <f>IF(LEFT(D$6,4)&gt;"2018",SUM(D426,D439),D416)</f>
        <v>10289098.419</v>
      </c>
      <c r="E409" s="279">
        <f>IF(LEFT(E$6,4)&gt;"2018",SUM(E426,E439),E416)</f>
        <v>273725.97100000002</v>
      </c>
      <c r="F409" s="279">
        <f>IF(LEFT(F$6,4)&gt;"2018",SUM(F426,F439),F416)</f>
        <v>-117.37100000000001</v>
      </c>
      <c r="G409" s="279">
        <f>IF(LEFT(G$6,4)&gt;"2018",SUM(G426,G439),G416)</f>
        <v>1483857.5630000001</v>
      </c>
      <c r="H409" s="279">
        <f>IF(LEFT(H$6,4)&gt;"2018",SUM(H426,H439),H416)</f>
        <v>178343.11300000001</v>
      </c>
      <c r="I409" s="279">
        <f>IF(LEFT(I$6,4)&gt;"2018",SUM(I426,I439),I416)</f>
        <v>-49859.923000000003</v>
      </c>
      <c r="J409" s="279">
        <f>IF(LEFT(J$6,4)&gt;"2018",SUM(J426,J439),J416)</f>
        <v>271281.46799999999</v>
      </c>
      <c r="K409" s="279">
        <f>IF(LEFT(K$6,4)&gt;"2018",SUM(K426,K439),K416)</f>
        <v>47293.967000000004</v>
      </c>
      <c r="L409" s="279">
        <f>IF(LEFT(L$6,4)&gt;"2018",SUM(L426,L439),L416)</f>
        <v>9128.8670000000002</v>
      </c>
      <c r="M409" s="279">
        <f>IF(LEFT(M$6,4)&gt;"2018",SUM(M426,M439),M416)</f>
        <v>46125.997000000003</v>
      </c>
      <c r="N409" s="279">
        <f>IF(LEFT(N$6,4)&gt;"2018",SUM(N426,N439),N416)</f>
        <v>56744.927000000003</v>
      </c>
    </row>
    <row r="410" spans="2:35" ht="11.25" customHeight="1" x14ac:dyDescent="0.35">
      <c r="B410" s="244" t="s">
        <v>5472</v>
      </c>
      <c r="C410" s="245"/>
      <c r="D410" s="279">
        <f>IF(LEFT(D$6,4)&gt;"2018","NA",D417)</f>
        <v>-4388.4009999999998</v>
      </c>
      <c r="E410" s="279">
        <f>IF(LEFT(E$6,4)&gt;"2018","NA",E417)</f>
        <v>-42.353000000000002</v>
      </c>
      <c r="F410" s="279">
        <f>IF(LEFT(F$6,4)&gt;"2018","NA",F417)</f>
        <v>0</v>
      </c>
      <c r="G410" s="279">
        <f>IF(LEFT(G$6,4)&gt;"2018","NA",G417)</f>
        <v>0</v>
      </c>
      <c r="H410" s="279">
        <f>IF(LEFT(H$6,4)&gt;"2018","NA",H417)</f>
        <v>0</v>
      </c>
      <c r="I410" s="279">
        <f>IF(LEFT(I$6,4)&gt;"2018","NA",I417)</f>
        <v>0</v>
      </c>
      <c r="J410" s="279">
        <f>IF(LEFT(J$6,4)&gt;"2018","NA",J417)</f>
        <v>0</v>
      </c>
      <c r="K410" s="279">
        <f>IF(LEFT(K$6,4)&gt;"2018","NA",K417)</f>
        <v>0</v>
      </c>
      <c r="L410" s="279">
        <f>IF(LEFT(L$6,4)&gt;"2018","NA",L417)</f>
        <v>0</v>
      </c>
      <c r="M410" s="279">
        <f>IF(LEFT(M$6,4)&gt;"2018","NA",M417)</f>
        <v>0</v>
      </c>
      <c r="N410" s="279">
        <f>IF(LEFT(N$6,4)&gt;"2018","NA",N417)</f>
        <v>0</v>
      </c>
    </row>
    <row r="411" spans="2:35" ht="11.25" customHeight="1" x14ac:dyDescent="0.35">
      <c r="B411" s="244" t="s">
        <v>5081</v>
      </c>
      <c r="C411" s="245"/>
      <c r="D411" s="279">
        <f>IF(LEFT(D$6,4)&gt;"2018",SUM(D427:D429,D440:D442),D418)</f>
        <v>1705632.17</v>
      </c>
      <c r="E411" s="279">
        <f>IF(LEFT(E$6,4)&gt;"2018",SUM(E427:E429,E440:E442),E418)</f>
        <v>0</v>
      </c>
      <c r="F411" s="279">
        <f>IF(LEFT(F$6,4)&gt;"2018",SUM(F427:F429,F440:F442),F418)</f>
        <v>-446.68299999999999</v>
      </c>
      <c r="G411" s="279">
        <f>IF(LEFT(G$6,4)&gt;"2018",SUM(G427:G429,G440:G442),G418)</f>
        <v>0</v>
      </c>
      <c r="H411" s="279">
        <f>IF(LEFT(H$6,4)&gt;"2018",SUM(H427:H429,H440:H442),H418)</f>
        <v>-6.7000000000000004E-2</v>
      </c>
      <c r="I411" s="279">
        <f>IF(LEFT(I$6,4)&gt;"2018",SUM(I427:I429,I440:I442),I418)</f>
        <v>91.212000000000003</v>
      </c>
      <c r="J411" s="279">
        <f>IF(LEFT(J$6,4)&gt;"2018",SUM(J427:J429,J440:J442),J418)</f>
        <v>5798.3760000000002</v>
      </c>
      <c r="K411" s="279">
        <f>IF(LEFT(K$6,4)&gt;"2018",SUM(K427:K429,K440:K442),K418)</f>
        <v>-2041.377</v>
      </c>
      <c r="L411" s="279">
        <f>IF(LEFT(L$6,4)&gt;"2018",SUM(L427:L429,L440:L442),L418)</f>
        <v>-48.332000000000001</v>
      </c>
      <c r="M411" s="279">
        <f>IF(LEFT(M$6,4)&gt;"2018",SUM(M427:M429,M440:M442),M418)</f>
        <v>0</v>
      </c>
      <c r="N411" s="279">
        <f>IF(LEFT(N$6,4)&gt;"2018",SUM(N427:N429,N440:N442),N418)</f>
        <v>0</v>
      </c>
    </row>
    <row r="412" spans="2:35" ht="11.25" customHeight="1" x14ac:dyDescent="0.35">
      <c r="B412" s="244" t="s">
        <v>5080</v>
      </c>
      <c r="C412" s="245">
        <v>123570</v>
      </c>
      <c r="D412" s="279">
        <v>108734428.991</v>
      </c>
      <c r="E412" s="305">
        <v>435383.03200000001</v>
      </c>
      <c r="F412" s="305">
        <v>-627980.34700000007</v>
      </c>
      <c r="G412" s="305">
        <v>5769677.1000000006</v>
      </c>
      <c r="H412" s="305">
        <v>178343.046</v>
      </c>
      <c r="I412" s="305">
        <v>-22201.506000000001</v>
      </c>
      <c r="J412" s="305">
        <v>263949.88300000003</v>
      </c>
      <c r="K412" s="305">
        <v>-9982.8320000000003</v>
      </c>
      <c r="L412" s="305">
        <v>4937.2790000000005</v>
      </c>
      <c r="M412" s="305">
        <v>45405.826000000001</v>
      </c>
      <c r="N412" s="305">
        <v>113866.675</v>
      </c>
    </row>
    <row r="413" spans="2:35" ht="11.25" customHeight="1" x14ac:dyDescent="0.35">
      <c r="B413" s="244"/>
      <c r="C413" s="245"/>
      <c r="D413" s="279"/>
      <c r="E413" s="305"/>
      <c r="F413" s="305"/>
      <c r="G413" s="305"/>
      <c r="H413" s="305"/>
      <c r="I413" s="305"/>
      <c r="J413" s="305"/>
      <c r="K413" s="305"/>
      <c r="L413" s="305"/>
      <c r="M413" s="305"/>
      <c r="N413" s="305"/>
    </row>
    <row r="414" spans="2:35" ht="11.25" hidden="1" customHeight="1" outlineLevel="1" x14ac:dyDescent="0.35">
      <c r="B414" s="244" t="s">
        <v>5085</v>
      </c>
      <c r="C414" s="245">
        <v>123565</v>
      </c>
      <c r="D414" s="279">
        <v>43514376.307999998</v>
      </c>
      <c r="E414" s="305">
        <v>-9615.44</v>
      </c>
      <c r="F414" s="305">
        <v>-627037.29200000002</v>
      </c>
      <c r="G414" s="305">
        <v>3572745.4709999999</v>
      </c>
      <c r="H414" s="305">
        <v>0</v>
      </c>
      <c r="I414" s="305">
        <v>52052.125</v>
      </c>
      <c r="J414" s="305">
        <v>90515.86</v>
      </c>
      <c r="K414" s="305">
        <v>-20305.992000000002</v>
      </c>
      <c r="L414" s="305">
        <v>-231.92500000000001</v>
      </c>
      <c r="M414" s="305">
        <v>-720.17100000000005</v>
      </c>
      <c r="N414" s="305">
        <v>57132.538</v>
      </c>
    </row>
    <row r="415" spans="2:35" ht="11.25" hidden="1" customHeight="1" outlineLevel="1" x14ac:dyDescent="0.35">
      <c r="B415" s="244" t="s">
        <v>5084</v>
      </c>
      <c r="C415" s="245">
        <v>123566</v>
      </c>
      <c r="D415" s="279">
        <v>53228120.634000003</v>
      </c>
      <c r="E415" s="305">
        <v>171314.85399999999</v>
      </c>
      <c r="F415" s="305">
        <v>-379.00100000000003</v>
      </c>
      <c r="G415" s="305">
        <v>713074.06599999999</v>
      </c>
      <c r="H415" s="305">
        <v>0</v>
      </c>
      <c r="I415" s="305">
        <v>-24484.920000000002</v>
      </c>
      <c r="J415" s="305">
        <v>-103645.822</v>
      </c>
      <c r="K415" s="305">
        <v>-34929.43</v>
      </c>
      <c r="L415" s="305">
        <v>-3911.3340000000003</v>
      </c>
      <c r="M415" s="305">
        <v>0</v>
      </c>
      <c r="N415" s="305">
        <v>-10.790000000000001</v>
      </c>
    </row>
    <row r="416" spans="2:35" ht="11.25" hidden="1" customHeight="1" outlineLevel="1" x14ac:dyDescent="0.35">
      <c r="B416" s="244" t="s">
        <v>5083</v>
      </c>
      <c r="C416" s="245">
        <v>123567</v>
      </c>
      <c r="D416" s="279">
        <v>10289098.419</v>
      </c>
      <c r="E416" s="305">
        <v>273725.97100000002</v>
      </c>
      <c r="F416" s="305">
        <v>-117.37100000000001</v>
      </c>
      <c r="G416" s="305">
        <v>1483857.5630000001</v>
      </c>
      <c r="H416" s="305">
        <v>178343.11300000001</v>
      </c>
      <c r="I416" s="305">
        <v>-49859.923000000003</v>
      </c>
      <c r="J416" s="305">
        <v>271281.46799999999</v>
      </c>
      <c r="K416" s="305">
        <v>47293.967000000004</v>
      </c>
      <c r="L416" s="305">
        <v>9128.8670000000002</v>
      </c>
      <c r="M416" s="305">
        <v>46125.997000000003</v>
      </c>
      <c r="N416" s="305">
        <v>56744.927000000003</v>
      </c>
    </row>
    <row r="417" spans="2:35" ht="11.25" hidden="1" customHeight="1" outlineLevel="1" x14ac:dyDescent="0.35">
      <c r="B417" s="244" t="s">
        <v>5472</v>
      </c>
      <c r="C417" s="245">
        <v>123568</v>
      </c>
      <c r="D417" s="279">
        <v>-4388.4009999999998</v>
      </c>
      <c r="E417" s="305">
        <v>-42.353000000000002</v>
      </c>
      <c r="F417" s="305">
        <v>0</v>
      </c>
      <c r="G417" s="305">
        <v>0</v>
      </c>
      <c r="H417" s="305">
        <v>0</v>
      </c>
      <c r="I417" s="305">
        <v>0</v>
      </c>
      <c r="J417" s="305">
        <v>0</v>
      </c>
      <c r="K417" s="305">
        <v>0</v>
      </c>
      <c r="L417" s="305">
        <v>0</v>
      </c>
      <c r="M417" s="305">
        <v>0</v>
      </c>
      <c r="N417" s="305">
        <v>0</v>
      </c>
    </row>
    <row r="418" spans="2:35" ht="11.25" hidden="1" customHeight="1" outlineLevel="1" x14ac:dyDescent="0.35">
      <c r="B418" s="244" t="s">
        <v>5081</v>
      </c>
      <c r="C418" s="245">
        <v>123569</v>
      </c>
      <c r="D418" s="279">
        <v>1705632.17</v>
      </c>
      <c r="E418" s="305">
        <v>0</v>
      </c>
      <c r="F418" s="305">
        <v>-446.68299999999999</v>
      </c>
      <c r="G418" s="305">
        <v>0</v>
      </c>
      <c r="H418" s="305">
        <v>-6.7000000000000004E-2</v>
      </c>
      <c r="I418" s="305">
        <v>91.212000000000003</v>
      </c>
      <c r="J418" s="305">
        <v>5798.3760000000002</v>
      </c>
      <c r="K418" s="305">
        <v>-2041.377</v>
      </c>
      <c r="L418" s="305">
        <v>-48.332000000000001</v>
      </c>
      <c r="M418" s="305">
        <v>0</v>
      </c>
      <c r="N418" s="305">
        <v>0</v>
      </c>
    </row>
    <row r="419" spans="2:35" ht="11.25" hidden="1" customHeight="1" outlineLevel="1" x14ac:dyDescent="0.55000000000000004">
      <c r="B419" s="244"/>
      <c r="C419" s="245"/>
      <c r="D419" s="279"/>
      <c r="E419" s="305"/>
      <c r="F419" s="305"/>
      <c r="G419" s="305"/>
      <c r="H419" s="305"/>
      <c r="I419" s="305"/>
      <c r="J419" s="305"/>
      <c r="K419" s="305"/>
      <c r="L419" s="305"/>
      <c r="M419" s="305"/>
      <c r="N419" s="305"/>
      <c r="U419" s="396" t="str">
        <f ca="1">[1]!snltable(287,$Y$419:$AI$419,$V$421:$V$444,$W$421:$W$444,,"Options:Curr=USD, Mag=Thousands, ConvMethod=SNLrecommended")</f>
        <v>SNLTable</v>
      </c>
      <c r="V419" s="397"/>
      <c r="W419" s="397"/>
      <c r="X419" s="397"/>
      <c r="Y419" s="298" t="str">
        <f ca="1">IF(Entity_Code="","",Entity_Code)</f>
        <v>I36</v>
      </c>
      <c r="Z419" s="298" t="str">
        <f ca="1">IF(Entity_C1="","",Entity_C1)</f>
        <v>C2874</v>
      </c>
      <c r="AA419" s="298" t="str">
        <f ca="1">IF(Entity_C2="","",Entity_C2)</f>
        <v>C5004</v>
      </c>
      <c r="AB419" s="298" t="str">
        <f ca="1">IF(Entity_C3="","",Entity_C3)</f>
        <v>C2093</v>
      </c>
      <c r="AC419" s="298" t="str">
        <f ca="1">IF(Entity_C4="","",Entity_C4)</f>
        <v>C2623</v>
      </c>
      <c r="AD419" s="298" t="str">
        <f ca="1">IF(Entity_C5="","",Entity_C5)</f>
        <v>C3048</v>
      </c>
      <c r="AE419" s="298" t="str">
        <f ca="1">IF(Entity_C6="","",Entity_C6)</f>
        <v>C2409</v>
      </c>
      <c r="AF419" s="298" t="str">
        <f ca="1">IF(Entity_C7="","",Entity_C7)</f>
        <v>C2921</v>
      </c>
      <c r="AG419" s="298" t="str">
        <f ca="1">IF(Entity_C8="","",Entity_C8)</f>
        <v>C2284</v>
      </c>
      <c r="AH419" s="298" t="str">
        <f ca="1">IF(Entity_C9="","",Entity_C9)</f>
        <v>C3613</v>
      </c>
      <c r="AI419" s="298" t="str">
        <f ca="1">IF(Entity_C10="","",Entity_C10)</f>
        <v>C2253</v>
      </c>
    </row>
    <row r="420" spans="2:35" ht="11.25" hidden="1" customHeight="1" outlineLevel="1" x14ac:dyDescent="0.55000000000000004">
      <c r="B420" s="246" t="s">
        <v>5473</v>
      </c>
      <c r="C420" s="245"/>
      <c r="D420" s="335"/>
      <c r="E420" s="335"/>
      <c r="F420" s="335"/>
      <c r="G420" s="335"/>
      <c r="H420" s="335"/>
      <c r="I420" s="335"/>
      <c r="J420" s="335"/>
      <c r="K420" s="335"/>
      <c r="L420" s="335"/>
      <c r="M420" s="335"/>
      <c r="N420" s="335"/>
      <c r="U420" s="403"/>
      <c r="V420" s="400"/>
      <c r="W420" s="400"/>
      <c r="X420" s="400"/>
      <c r="Y420" s="402"/>
      <c r="Z420" s="402"/>
      <c r="AA420" s="402"/>
      <c r="AB420" s="402"/>
      <c r="AC420" s="402"/>
      <c r="AD420" s="402"/>
      <c r="AE420" s="402"/>
      <c r="AF420" s="402"/>
      <c r="AG420" s="402"/>
      <c r="AH420" s="402"/>
      <c r="AI420" s="402"/>
    </row>
    <row r="421" spans="2:35" ht="11.25" hidden="1" customHeight="1" outlineLevel="1" x14ac:dyDescent="0.35">
      <c r="B421" s="244" t="s">
        <v>5365</v>
      </c>
      <c r="C421" s="245"/>
      <c r="D421" s="279" t="str">
        <f>IF(Y421="","",Y421)</f>
        <v>NA</v>
      </c>
      <c r="E421" s="279" t="str">
        <f>IF(Z421="","",Z421)</f>
        <v>NA</v>
      </c>
      <c r="F421" s="279" t="str">
        <f>IF(AA421="","",AA421)</f>
        <v>NA</v>
      </c>
      <c r="G421" s="279" t="str">
        <f>IF(AB421="","",AB421)</f>
        <v>NA</v>
      </c>
      <c r="H421" s="279" t="str">
        <f>IF(AC421="","",AC421)</f>
        <v>NA</v>
      </c>
      <c r="I421" s="279" t="str">
        <f>IF(AD421="","",AD421)</f>
        <v>NA</v>
      </c>
      <c r="J421" s="279" t="str">
        <f>IF(AE421="","",AE421)</f>
        <v>NA</v>
      </c>
      <c r="K421" s="279" t="str">
        <f>IF(AF421="","",AF421)</f>
        <v>NA</v>
      </c>
      <c r="L421" s="279" t="str">
        <f>IF(AG421="","",AG421)</f>
        <v>NA</v>
      </c>
      <c r="M421" s="279" t="str">
        <f>IF(AH421="","",AH421)</f>
        <v>NA</v>
      </c>
      <c r="N421" s="279" t="str">
        <f>IF(AI421="","",AI421)</f>
        <v>NA</v>
      </c>
      <c r="U421" s="384" t="s">
        <v>5473</v>
      </c>
      <c r="V421" s="385" t="s">
        <v>5382</v>
      </c>
      <c r="W421" s="385" t="str">
        <f t="shared" ref="W421:W431" si="11">Period</f>
        <v>2014Y</v>
      </c>
      <c r="X421" s="446" t="s">
        <v>5548</v>
      </c>
      <c r="Y421" s="387" t="s">
        <v>29</v>
      </c>
      <c r="Z421" s="387" t="s">
        <v>29</v>
      </c>
      <c r="AA421" s="387" t="s">
        <v>29</v>
      </c>
      <c r="AB421" s="387" t="s">
        <v>29</v>
      </c>
      <c r="AC421" s="387" t="s">
        <v>29</v>
      </c>
      <c r="AD421" s="387" t="s">
        <v>29</v>
      </c>
      <c r="AE421" s="387" t="s">
        <v>29</v>
      </c>
      <c r="AF421" s="387" t="s">
        <v>29</v>
      </c>
      <c r="AG421" s="387" t="s">
        <v>29</v>
      </c>
      <c r="AH421" s="387" t="s">
        <v>29</v>
      </c>
      <c r="AI421" s="387" t="s">
        <v>29</v>
      </c>
    </row>
    <row r="422" spans="2:35" ht="11.25" hidden="1" customHeight="1" outlineLevel="1" x14ac:dyDescent="0.35">
      <c r="B422" s="244" t="s">
        <v>5366</v>
      </c>
      <c r="C422" s="245"/>
      <c r="D422" s="279" t="str">
        <f>IF(Y422="","",Y422)</f>
        <v>NA</v>
      </c>
      <c r="E422" s="279" t="str">
        <f>IF(Z422="","",Z422)</f>
        <v>NA</v>
      </c>
      <c r="F422" s="279" t="str">
        <f>IF(AA422="","",AA422)</f>
        <v>NA</v>
      </c>
      <c r="G422" s="279" t="str">
        <f>IF(AB422="","",AB422)</f>
        <v>NA</v>
      </c>
      <c r="H422" s="279" t="str">
        <f>IF(AC422="","",AC422)</f>
        <v>NA</v>
      </c>
      <c r="I422" s="279" t="str">
        <f>IF(AD422="","",AD422)</f>
        <v>NA</v>
      </c>
      <c r="J422" s="279" t="str">
        <f>IF(AE422="","",AE422)</f>
        <v>NA</v>
      </c>
      <c r="K422" s="279" t="str">
        <f>IF(AF422="","",AF422)</f>
        <v>NA</v>
      </c>
      <c r="L422" s="279" t="str">
        <f>IF(AG422="","",AG422)</f>
        <v>NA</v>
      </c>
      <c r="M422" s="279" t="str">
        <f>IF(AH422="","",AH422)</f>
        <v>NA</v>
      </c>
      <c r="N422" s="279" t="str">
        <f>IF(AI422="","",AI422)</f>
        <v>NA</v>
      </c>
      <c r="U422" s="388" t="s">
        <v>5473</v>
      </c>
      <c r="V422" s="389" t="s">
        <v>5382</v>
      </c>
      <c r="W422" s="389" t="str">
        <f t="shared" si="11"/>
        <v>2014Y</v>
      </c>
      <c r="X422" s="447" t="s">
        <v>5549</v>
      </c>
      <c r="Y422" s="391" t="s">
        <v>29</v>
      </c>
      <c r="Z422" s="391" t="s">
        <v>29</v>
      </c>
      <c r="AA422" s="391" t="s">
        <v>29</v>
      </c>
      <c r="AB422" s="391" t="s">
        <v>29</v>
      </c>
      <c r="AC422" s="391" t="s">
        <v>29</v>
      </c>
      <c r="AD422" s="391" t="s">
        <v>29</v>
      </c>
      <c r="AE422" s="391" t="s">
        <v>29</v>
      </c>
      <c r="AF422" s="391" t="s">
        <v>29</v>
      </c>
      <c r="AG422" s="391" t="s">
        <v>29</v>
      </c>
      <c r="AH422" s="391" t="s">
        <v>29</v>
      </c>
      <c r="AI422" s="391" t="s">
        <v>29</v>
      </c>
    </row>
    <row r="423" spans="2:35" ht="11.25" hidden="1" customHeight="1" outlineLevel="1" x14ac:dyDescent="0.35">
      <c r="B423" s="244" t="s">
        <v>5122</v>
      </c>
      <c r="C423" s="245"/>
      <c r="D423" s="279" t="str">
        <f>IF(Y423="","",Y423)</f>
        <v>NA</v>
      </c>
      <c r="E423" s="279" t="str">
        <f>IF(Z423="","",Z423)</f>
        <v>NA</v>
      </c>
      <c r="F423" s="279" t="str">
        <f>IF(AA423="","",AA423)</f>
        <v>NA</v>
      </c>
      <c r="G423" s="279" t="str">
        <f>IF(AB423="","",AB423)</f>
        <v>NA</v>
      </c>
      <c r="H423" s="279" t="str">
        <f>IF(AC423="","",AC423)</f>
        <v>NA</v>
      </c>
      <c r="I423" s="279" t="str">
        <f>IF(AD423="","",AD423)</f>
        <v>NA</v>
      </c>
      <c r="J423" s="279" t="str">
        <f>IF(AE423="","",AE423)</f>
        <v>NA</v>
      </c>
      <c r="K423" s="279" t="str">
        <f>IF(AF423="","",AF423)</f>
        <v>NA</v>
      </c>
      <c r="L423" s="279" t="str">
        <f>IF(AG423="","",AG423)</f>
        <v>NA</v>
      </c>
      <c r="M423" s="279" t="str">
        <f>IF(AH423="","",AH423)</f>
        <v>NA</v>
      </c>
      <c r="N423" s="279" t="str">
        <f>IF(AI423="","",AI423)</f>
        <v>NA</v>
      </c>
      <c r="U423" s="388" t="s">
        <v>5473</v>
      </c>
      <c r="V423" s="389" t="s">
        <v>5382</v>
      </c>
      <c r="W423" s="389" t="str">
        <f t="shared" si="11"/>
        <v>2014Y</v>
      </c>
      <c r="X423" s="447" t="s">
        <v>5550</v>
      </c>
      <c r="Y423" s="391" t="s">
        <v>29</v>
      </c>
      <c r="Z423" s="391" t="s">
        <v>29</v>
      </c>
      <c r="AA423" s="391" t="s">
        <v>29</v>
      </c>
      <c r="AB423" s="391" t="s">
        <v>29</v>
      </c>
      <c r="AC423" s="391" t="s">
        <v>29</v>
      </c>
      <c r="AD423" s="391" t="s">
        <v>29</v>
      </c>
      <c r="AE423" s="391" t="s">
        <v>29</v>
      </c>
      <c r="AF423" s="391" t="s">
        <v>29</v>
      </c>
      <c r="AG423" s="391" t="s">
        <v>29</v>
      </c>
      <c r="AH423" s="391" t="s">
        <v>29</v>
      </c>
      <c r="AI423" s="391" t="s">
        <v>29</v>
      </c>
    </row>
    <row r="424" spans="2:35" ht="11.25" hidden="1" customHeight="1" outlineLevel="1" x14ac:dyDescent="0.35">
      <c r="B424" s="244" t="s">
        <v>5124</v>
      </c>
      <c r="C424" s="245"/>
      <c r="D424" s="279" t="str">
        <f>IF(Y424="","",Y424)</f>
        <v>NA</v>
      </c>
      <c r="E424" s="279" t="str">
        <f>IF(Z424="","",Z424)</f>
        <v>NA</v>
      </c>
      <c r="F424" s="279" t="str">
        <f>IF(AA424="","",AA424)</f>
        <v>NA</v>
      </c>
      <c r="G424" s="279" t="str">
        <f>IF(AB424="","",AB424)</f>
        <v>NA</v>
      </c>
      <c r="H424" s="279" t="str">
        <f>IF(AC424="","",AC424)</f>
        <v>NA</v>
      </c>
      <c r="I424" s="279" t="str">
        <f>IF(AD424="","",AD424)</f>
        <v>NA</v>
      </c>
      <c r="J424" s="279" t="str">
        <f>IF(AE424="","",AE424)</f>
        <v>NA</v>
      </c>
      <c r="K424" s="279" t="str">
        <f>IF(AF424="","",AF424)</f>
        <v>NA</v>
      </c>
      <c r="L424" s="279" t="str">
        <f>IF(AG424="","",AG424)</f>
        <v>NA</v>
      </c>
      <c r="M424" s="279" t="str">
        <f>IF(AH424="","",AH424)</f>
        <v>NA</v>
      </c>
      <c r="N424" s="279" t="str">
        <f>IF(AI424="","",AI424)</f>
        <v>NA</v>
      </c>
      <c r="U424" s="388" t="s">
        <v>5473</v>
      </c>
      <c r="V424" s="389" t="s">
        <v>5382</v>
      </c>
      <c r="W424" s="389" t="str">
        <f t="shared" si="11"/>
        <v>2014Y</v>
      </c>
      <c r="X424" s="447" t="s">
        <v>5551</v>
      </c>
      <c r="Y424" s="391" t="s">
        <v>29</v>
      </c>
      <c r="Z424" s="391" t="s">
        <v>29</v>
      </c>
      <c r="AA424" s="391" t="s">
        <v>29</v>
      </c>
      <c r="AB424" s="391" t="s">
        <v>29</v>
      </c>
      <c r="AC424" s="391" t="s">
        <v>29</v>
      </c>
      <c r="AD424" s="391" t="s">
        <v>29</v>
      </c>
      <c r="AE424" s="391" t="s">
        <v>29</v>
      </c>
      <c r="AF424" s="391" t="s">
        <v>29</v>
      </c>
      <c r="AG424" s="391" t="s">
        <v>29</v>
      </c>
      <c r="AH424" s="391" t="s">
        <v>29</v>
      </c>
      <c r="AI424" s="391" t="s">
        <v>29</v>
      </c>
    </row>
    <row r="425" spans="2:35" ht="11.25" hidden="1" customHeight="1" outlineLevel="1" x14ac:dyDescent="0.35">
      <c r="B425" s="244" t="s">
        <v>5121</v>
      </c>
      <c r="C425" s="245"/>
      <c r="D425" s="279" t="str">
        <f>IF(Y425="","",Y425)</f>
        <v>NA</v>
      </c>
      <c r="E425" s="279" t="str">
        <f>IF(Z425="","",Z425)</f>
        <v>NA</v>
      </c>
      <c r="F425" s="279" t="str">
        <f>IF(AA425="","",AA425)</f>
        <v>NA</v>
      </c>
      <c r="G425" s="279" t="str">
        <f>IF(AB425="","",AB425)</f>
        <v>NA</v>
      </c>
      <c r="H425" s="279" t="str">
        <f>IF(AC425="","",AC425)</f>
        <v>NA</v>
      </c>
      <c r="I425" s="279" t="str">
        <f>IF(AD425="","",AD425)</f>
        <v>NA</v>
      </c>
      <c r="J425" s="279" t="str">
        <f>IF(AE425="","",AE425)</f>
        <v>NA</v>
      </c>
      <c r="K425" s="279" t="str">
        <f>IF(AF425="","",AF425)</f>
        <v>NA</v>
      </c>
      <c r="L425" s="279" t="str">
        <f>IF(AG425="","",AG425)</f>
        <v>NA</v>
      </c>
      <c r="M425" s="279" t="str">
        <f>IF(AH425="","",AH425)</f>
        <v>NA</v>
      </c>
      <c r="N425" s="279" t="str">
        <f>IF(AI425="","",AI425)</f>
        <v>NA</v>
      </c>
      <c r="U425" s="388" t="s">
        <v>5473</v>
      </c>
      <c r="V425" s="389" t="s">
        <v>5382</v>
      </c>
      <c r="W425" s="389" t="str">
        <f t="shared" si="11"/>
        <v>2014Y</v>
      </c>
      <c r="X425" s="447" t="s">
        <v>5552</v>
      </c>
      <c r="Y425" s="391" t="s">
        <v>29</v>
      </c>
      <c r="Z425" s="391" t="s">
        <v>29</v>
      </c>
      <c r="AA425" s="391" t="s">
        <v>29</v>
      </c>
      <c r="AB425" s="391" t="s">
        <v>29</v>
      </c>
      <c r="AC425" s="391" t="s">
        <v>29</v>
      </c>
      <c r="AD425" s="391" t="s">
        <v>29</v>
      </c>
      <c r="AE425" s="391" t="s">
        <v>29</v>
      </c>
      <c r="AF425" s="391" t="s">
        <v>29</v>
      </c>
      <c r="AG425" s="391" t="s">
        <v>29</v>
      </c>
      <c r="AH425" s="391" t="s">
        <v>29</v>
      </c>
      <c r="AI425" s="391" t="s">
        <v>29</v>
      </c>
    </row>
    <row r="426" spans="2:35" ht="11.25" hidden="1" customHeight="1" outlineLevel="1" x14ac:dyDescent="0.35">
      <c r="B426" s="244" t="s">
        <v>5367</v>
      </c>
      <c r="C426" s="245"/>
      <c r="D426" s="279" t="str">
        <f>IF(Y426="","",Y426)</f>
        <v>NA</v>
      </c>
      <c r="E426" s="279" t="str">
        <f>IF(Z426="","",Z426)</f>
        <v>NA</v>
      </c>
      <c r="F426" s="279" t="str">
        <f>IF(AA426="","",AA426)</f>
        <v>NA</v>
      </c>
      <c r="G426" s="279" t="str">
        <f>IF(AB426="","",AB426)</f>
        <v>NA</v>
      </c>
      <c r="H426" s="279" t="str">
        <f>IF(AC426="","",AC426)</f>
        <v>NA</v>
      </c>
      <c r="I426" s="279" t="str">
        <f>IF(AD426="","",AD426)</f>
        <v>NA</v>
      </c>
      <c r="J426" s="279" t="str">
        <f>IF(AE426="","",AE426)</f>
        <v>NA</v>
      </c>
      <c r="K426" s="279" t="str">
        <f>IF(AF426="","",AF426)</f>
        <v>NA</v>
      </c>
      <c r="L426" s="279" t="str">
        <f>IF(AG426="","",AG426)</f>
        <v>NA</v>
      </c>
      <c r="M426" s="279" t="str">
        <f>IF(AH426="","",AH426)</f>
        <v>NA</v>
      </c>
      <c r="N426" s="279" t="str">
        <f>IF(AI426="","",AI426)</f>
        <v>NA</v>
      </c>
      <c r="U426" s="388" t="s">
        <v>5473</v>
      </c>
      <c r="V426" s="389" t="s">
        <v>5382</v>
      </c>
      <c r="W426" s="389" t="str">
        <f t="shared" si="11"/>
        <v>2014Y</v>
      </c>
      <c r="X426" s="447" t="s">
        <v>5553</v>
      </c>
      <c r="Y426" s="391" t="s">
        <v>29</v>
      </c>
      <c r="Z426" s="391" t="s">
        <v>29</v>
      </c>
      <c r="AA426" s="391" t="s">
        <v>29</v>
      </c>
      <c r="AB426" s="391" t="s">
        <v>29</v>
      </c>
      <c r="AC426" s="391" t="s">
        <v>29</v>
      </c>
      <c r="AD426" s="391" t="s">
        <v>29</v>
      </c>
      <c r="AE426" s="391" t="s">
        <v>29</v>
      </c>
      <c r="AF426" s="391" t="s">
        <v>29</v>
      </c>
      <c r="AG426" s="391" t="s">
        <v>29</v>
      </c>
      <c r="AH426" s="391" t="s">
        <v>29</v>
      </c>
      <c r="AI426" s="391" t="s">
        <v>29</v>
      </c>
    </row>
    <row r="427" spans="2:35" ht="11.25" hidden="1" customHeight="1" outlineLevel="1" x14ac:dyDescent="0.35">
      <c r="B427" s="244" t="s">
        <v>5368</v>
      </c>
      <c r="C427" s="245"/>
      <c r="D427" s="279" t="str">
        <f>IF(Y427="","",Y427)</f>
        <v>NA</v>
      </c>
      <c r="E427" s="279" t="str">
        <f>IF(Z427="","",Z427)</f>
        <v>NA</v>
      </c>
      <c r="F427" s="279" t="str">
        <f>IF(AA427="","",AA427)</f>
        <v>NA</v>
      </c>
      <c r="G427" s="279" t="str">
        <f>IF(AB427="","",AB427)</f>
        <v>NA</v>
      </c>
      <c r="H427" s="279" t="str">
        <f>IF(AC427="","",AC427)</f>
        <v>NA</v>
      </c>
      <c r="I427" s="279" t="str">
        <f>IF(AD427="","",AD427)</f>
        <v>NA</v>
      </c>
      <c r="J427" s="279" t="str">
        <f>IF(AE427="","",AE427)</f>
        <v>NA</v>
      </c>
      <c r="K427" s="279" t="str">
        <f>IF(AF427="","",AF427)</f>
        <v>NA</v>
      </c>
      <c r="L427" s="279" t="str">
        <f>IF(AG427="","",AG427)</f>
        <v>NA</v>
      </c>
      <c r="M427" s="279" t="str">
        <f>IF(AH427="","",AH427)</f>
        <v>NA</v>
      </c>
      <c r="N427" s="279" t="str">
        <f>IF(AI427="","",AI427)</f>
        <v>NA</v>
      </c>
      <c r="U427" s="388" t="s">
        <v>5473</v>
      </c>
      <c r="V427" s="389" t="s">
        <v>5382</v>
      </c>
      <c r="W427" s="389" t="str">
        <f t="shared" si="11"/>
        <v>2014Y</v>
      </c>
      <c r="X427" s="447" t="s">
        <v>5554</v>
      </c>
      <c r="Y427" s="391" t="s">
        <v>29</v>
      </c>
      <c r="Z427" s="391" t="s">
        <v>29</v>
      </c>
      <c r="AA427" s="391" t="s">
        <v>29</v>
      </c>
      <c r="AB427" s="391" t="s">
        <v>29</v>
      </c>
      <c r="AC427" s="391" t="s">
        <v>29</v>
      </c>
      <c r="AD427" s="391" t="s">
        <v>29</v>
      </c>
      <c r="AE427" s="391" t="s">
        <v>29</v>
      </c>
      <c r="AF427" s="391" t="s">
        <v>29</v>
      </c>
      <c r="AG427" s="391" t="s">
        <v>29</v>
      </c>
      <c r="AH427" s="391" t="s">
        <v>29</v>
      </c>
      <c r="AI427" s="391" t="s">
        <v>29</v>
      </c>
    </row>
    <row r="428" spans="2:35" ht="11.25" hidden="1" customHeight="1" outlineLevel="1" x14ac:dyDescent="0.35">
      <c r="B428" s="244" t="s">
        <v>5369</v>
      </c>
      <c r="C428" s="245"/>
      <c r="D428" s="279" t="str">
        <f>IF(Y428="","",Y428)</f>
        <v>NA</v>
      </c>
      <c r="E428" s="279" t="str">
        <f>IF(Z428="","",Z428)</f>
        <v>NA</v>
      </c>
      <c r="F428" s="279" t="str">
        <f>IF(AA428="","",AA428)</f>
        <v>NA</v>
      </c>
      <c r="G428" s="279" t="str">
        <f>IF(AB428="","",AB428)</f>
        <v>NA</v>
      </c>
      <c r="H428" s="279" t="str">
        <f>IF(AC428="","",AC428)</f>
        <v>NA</v>
      </c>
      <c r="I428" s="279" t="str">
        <f>IF(AD428="","",AD428)</f>
        <v>NA</v>
      </c>
      <c r="J428" s="279" t="str">
        <f>IF(AE428="","",AE428)</f>
        <v>NA</v>
      </c>
      <c r="K428" s="279" t="str">
        <f>IF(AF428="","",AF428)</f>
        <v>NA</v>
      </c>
      <c r="L428" s="279" t="str">
        <f>IF(AG428="","",AG428)</f>
        <v>NA</v>
      </c>
      <c r="M428" s="279" t="str">
        <f>IF(AH428="","",AH428)</f>
        <v>NA</v>
      </c>
      <c r="N428" s="279" t="str">
        <f>IF(AI428="","",AI428)</f>
        <v>NA</v>
      </c>
      <c r="U428" s="388" t="s">
        <v>5473</v>
      </c>
      <c r="V428" s="389" t="s">
        <v>5382</v>
      </c>
      <c r="W428" s="389" t="str">
        <f t="shared" si="11"/>
        <v>2014Y</v>
      </c>
      <c r="X428" s="447" t="s">
        <v>5555</v>
      </c>
      <c r="Y428" s="391" t="s">
        <v>29</v>
      </c>
      <c r="Z428" s="391" t="s">
        <v>29</v>
      </c>
      <c r="AA428" s="391" t="s">
        <v>29</v>
      </c>
      <c r="AB428" s="391" t="s">
        <v>29</v>
      </c>
      <c r="AC428" s="391" t="s">
        <v>29</v>
      </c>
      <c r="AD428" s="391" t="s">
        <v>29</v>
      </c>
      <c r="AE428" s="391" t="s">
        <v>29</v>
      </c>
      <c r="AF428" s="391" t="s">
        <v>29</v>
      </c>
      <c r="AG428" s="391" t="s">
        <v>29</v>
      </c>
      <c r="AH428" s="391" t="s">
        <v>29</v>
      </c>
      <c r="AI428" s="391" t="s">
        <v>29</v>
      </c>
    </row>
    <row r="429" spans="2:35" ht="11.25" hidden="1" customHeight="1" outlineLevel="1" x14ac:dyDescent="0.35">
      <c r="B429" s="244" t="s">
        <v>5370</v>
      </c>
      <c r="C429" s="245"/>
      <c r="D429" s="279" t="str">
        <f>IF(Y429="","",Y429)</f>
        <v>NA</v>
      </c>
      <c r="E429" s="279" t="str">
        <f>IF(Z429="","",Z429)</f>
        <v>NA</v>
      </c>
      <c r="F429" s="279" t="str">
        <f>IF(AA429="","",AA429)</f>
        <v>NA</v>
      </c>
      <c r="G429" s="279" t="str">
        <f>IF(AB429="","",AB429)</f>
        <v>NA</v>
      </c>
      <c r="H429" s="279" t="str">
        <f>IF(AC429="","",AC429)</f>
        <v>NA</v>
      </c>
      <c r="I429" s="279" t="str">
        <f>IF(AD429="","",AD429)</f>
        <v>NA</v>
      </c>
      <c r="J429" s="279" t="str">
        <f>IF(AE429="","",AE429)</f>
        <v>NA</v>
      </c>
      <c r="K429" s="279" t="str">
        <f>IF(AF429="","",AF429)</f>
        <v>NA</v>
      </c>
      <c r="L429" s="279" t="str">
        <f>IF(AG429="","",AG429)</f>
        <v>NA</v>
      </c>
      <c r="M429" s="279" t="str">
        <f>IF(AH429="","",AH429)</f>
        <v>NA</v>
      </c>
      <c r="N429" s="279" t="str">
        <f>IF(AI429="","",AI429)</f>
        <v>NA</v>
      </c>
      <c r="U429" s="388" t="s">
        <v>5473</v>
      </c>
      <c r="V429" s="389" t="s">
        <v>5382</v>
      </c>
      <c r="W429" s="389" t="str">
        <f t="shared" si="11"/>
        <v>2014Y</v>
      </c>
      <c r="X429" s="447" t="s">
        <v>5556</v>
      </c>
      <c r="Y429" s="391" t="s">
        <v>29</v>
      </c>
      <c r="Z429" s="391" t="s">
        <v>29</v>
      </c>
      <c r="AA429" s="391" t="s">
        <v>29</v>
      </c>
      <c r="AB429" s="391" t="s">
        <v>29</v>
      </c>
      <c r="AC429" s="391" t="s">
        <v>29</v>
      </c>
      <c r="AD429" s="391" t="s">
        <v>29</v>
      </c>
      <c r="AE429" s="391" t="s">
        <v>29</v>
      </c>
      <c r="AF429" s="391" t="s">
        <v>29</v>
      </c>
      <c r="AG429" s="391" t="s">
        <v>29</v>
      </c>
      <c r="AH429" s="391" t="s">
        <v>29</v>
      </c>
      <c r="AI429" s="391" t="s">
        <v>29</v>
      </c>
    </row>
    <row r="430" spans="2:35" ht="11.25" hidden="1" customHeight="1" outlineLevel="1" x14ac:dyDescent="0.35">
      <c r="B430" s="244" t="s">
        <v>5371</v>
      </c>
      <c r="C430" s="245"/>
      <c r="D430" s="279" t="str">
        <f>IF(Y430="","",Y430)</f>
        <v>NA</v>
      </c>
      <c r="E430" s="279" t="str">
        <f>IF(Z430="","",Z430)</f>
        <v>NA</v>
      </c>
      <c r="F430" s="279" t="str">
        <f>IF(AA430="","",AA430)</f>
        <v>NA</v>
      </c>
      <c r="G430" s="279" t="str">
        <f>IF(AB430="","",AB430)</f>
        <v>NA</v>
      </c>
      <c r="H430" s="279" t="str">
        <f>IF(AC430="","",AC430)</f>
        <v>NA</v>
      </c>
      <c r="I430" s="279" t="str">
        <f>IF(AD430="","",AD430)</f>
        <v>NA</v>
      </c>
      <c r="J430" s="279" t="str">
        <f>IF(AE430="","",AE430)</f>
        <v>NA</v>
      </c>
      <c r="K430" s="279" t="str">
        <f>IF(AF430="","",AF430)</f>
        <v>NA</v>
      </c>
      <c r="L430" s="279" t="str">
        <f>IF(AG430="","",AG430)</f>
        <v>NA</v>
      </c>
      <c r="M430" s="279" t="str">
        <f>IF(AH430="","",AH430)</f>
        <v>NA</v>
      </c>
      <c r="N430" s="279" t="str">
        <f>IF(AI430="","",AI430)</f>
        <v>NA</v>
      </c>
      <c r="U430" s="388" t="s">
        <v>5473</v>
      </c>
      <c r="V430" s="389" t="s">
        <v>5382</v>
      </c>
      <c r="W430" s="389" t="str">
        <f t="shared" si="11"/>
        <v>2014Y</v>
      </c>
      <c r="X430" s="447" t="s">
        <v>5557</v>
      </c>
      <c r="Y430" s="391" t="s">
        <v>29</v>
      </c>
      <c r="Z430" s="391" t="s">
        <v>29</v>
      </c>
      <c r="AA430" s="391" t="s">
        <v>29</v>
      </c>
      <c r="AB430" s="391" t="s">
        <v>29</v>
      </c>
      <c r="AC430" s="391" t="s">
        <v>29</v>
      </c>
      <c r="AD430" s="391" t="s">
        <v>29</v>
      </c>
      <c r="AE430" s="391" t="s">
        <v>29</v>
      </c>
      <c r="AF430" s="391" t="s">
        <v>29</v>
      </c>
      <c r="AG430" s="391" t="s">
        <v>29</v>
      </c>
      <c r="AH430" s="391" t="s">
        <v>29</v>
      </c>
      <c r="AI430" s="391" t="s">
        <v>29</v>
      </c>
    </row>
    <row r="431" spans="2:35" ht="11.25" hidden="1" customHeight="1" outlineLevel="1" x14ac:dyDescent="0.35">
      <c r="B431" s="244" t="s">
        <v>5372</v>
      </c>
      <c r="C431" s="245"/>
      <c r="D431" s="279" t="str">
        <f>IF(Y431="","",Y431)</f>
        <v>NA</v>
      </c>
      <c r="E431" s="279" t="str">
        <f>IF(Z431="","",Z431)</f>
        <v>NA</v>
      </c>
      <c r="F431" s="279" t="str">
        <f>IF(AA431="","",AA431)</f>
        <v>NA</v>
      </c>
      <c r="G431" s="279" t="str">
        <f>IF(AB431="","",AB431)</f>
        <v>NA</v>
      </c>
      <c r="H431" s="279" t="str">
        <f>IF(AC431="","",AC431)</f>
        <v>NA</v>
      </c>
      <c r="I431" s="279" t="str">
        <f>IF(AD431="","",AD431)</f>
        <v>NA</v>
      </c>
      <c r="J431" s="279" t="str">
        <f>IF(AE431="","",AE431)</f>
        <v>NA</v>
      </c>
      <c r="K431" s="279" t="str">
        <f>IF(AF431="","",AF431)</f>
        <v>NA</v>
      </c>
      <c r="L431" s="279" t="str">
        <f>IF(AG431="","",AG431)</f>
        <v>NA</v>
      </c>
      <c r="M431" s="279" t="str">
        <f>IF(AH431="","",AH431)</f>
        <v>NA</v>
      </c>
      <c r="N431" s="279" t="str">
        <f>IF(AI431="","",AI431)</f>
        <v>NA</v>
      </c>
      <c r="U431" s="367" t="s">
        <v>5473</v>
      </c>
      <c r="V431" s="368" t="s">
        <v>5382</v>
      </c>
      <c r="W431" s="368" t="str">
        <f t="shared" si="11"/>
        <v>2014Y</v>
      </c>
      <c r="X431" s="412" t="s">
        <v>5558</v>
      </c>
      <c r="Y431" s="371" t="s">
        <v>29</v>
      </c>
      <c r="Z431" s="371" t="s">
        <v>29</v>
      </c>
      <c r="AA431" s="371" t="s">
        <v>29</v>
      </c>
      <c r="AB431" s="371" t="s">
        <v>29</v>
      </c>
      <c r="AC431" s="371" t="s">
        <v>29</v>
      </c>
      <c r="AD431" s="371" t="s">
        <v>29</v>
      </c>
      <c r="AE431" s="371" t="s">
        <v>29</v>
      </c>
      <c r="AF431" s="371" t="s">
        <v>29</v>
      </c>
      <c r="AG431" s="371" t="s">
        <v>29</v>
      </c>
      <c r="AH431" s="371" t="s">
        <v>29</v>
      </c>
      <c r="AI431" s="371" t="s">
        <v>29</v>
      </c>
    </row>
    <row r="432" spans="2:35" ht="11.25" hidden="1" customHeight="1" outlineLevel="1" x14ac:dyDescent="0.35">
      <c r="B432" s="294"/>
      <c r="C432" s="329"/>
      <c r="D432" s="322"/>
      <c r="E432" s="322"/>
      <c r="F432" s="322"/>
      <c r="G432" s="322"/>
      <c r="H432" s="322"/>
      <c r="I432" s="322"/>
      <c r="J432" s="322"/>
      <c r="K432" s="322"/>
      <c r="L432" s="322"/>
      <c r="M432" s="322"/>
      <c r="N432" s="322"/>
    </row>
    <row r="433" spans="2:35" ht="11.25" hidden="1" customHeight="1" outlineLevel="1" x14ac:dyDescent="0.35">
      <c r="B433" s="246" t="s">
        <v>5474</v>
      </c>
      <c r="C433" s="245"/>
      <c r="D433" s="279"/>
      <c r="E433" s="305"/>
      <c r="F433" s="305"/>
      <c r="G433" s="305"/>
      <c r="H433" s="305"/>
      <c r="I433" s="305"/>
      <c r="J433" s="305"/>
      <c r="K433" s="305"/>
      <c r="L433" s="305"/>
      <c r="M433" s="305"/>
      <c r="N433" s="305"/>
    </row>
    <row r="434" spans="2:35" ht="11.25" hidden="1" customHeight="1" outlineLevel="1" x14ac:dyDescent="0.35">
      <c r="B434" s="244" t="s">
        <v>5365</v>
      </c>
      <c r="C434" s="245"/>
      <c r="D434" s="279" t="str">
        <f>IF(Y434="","",Y434)</f>
        <v>NA</v>
      </c>
      <c r="E434" s="279" t="str">
        <f>IF(Z434="","",Z434)</f>
        <v>NA</v>
      </c>
      <c r="F434" s="279" t="str">
        <f>IF(AA434="","",AA434)</f>
        <v>NA</v>
      </c>
      <c r="G434" s="279" t="str">
        <f>IF(AB434="","",AB434)</f>
        <v>NA</v>
      </c>
      <c r="H434" s="279" t="str">
        <f>IF(AC434="","",AC434)</f>
        <v>NA</v>
      </c>
      <c r="I434" s="279" t="str">
        <f>IF(AD434="","",AD434)</f>
        <v>NA</v>
      </c>
      <c r="J434" s="279" t="str">
        <f>IF(AE434="","",AE434)</f>
        <v>NA</v>
      </c>
      <c r="K434" s="279" t="str">
        <f>IF(AF434="","",AF434)</f>
        <v>NA</v>
      </c>
      <c r="L434" s="279" t="str">
        <f>IF(AG434="","",AG434)</f>
        <v>NA</v>
      </c>
      <c r="M434" s="279" t="str">
        <f>IF(AH434="","",AH434)</f>
        <v>NA</v>
      </c>
      <c r="N434" s="279" t="str">
        <f>IF(AI434="","",AI434)</f>
        <v>NA</v>
      </c>
      <c r="U434" s="384" t="s">
        <v>5474</v>
      </c>
      <c r="V434" s="385" t="s">
        <v>5383</v>
      </c>
      <c r="W434" s="385" t="str">
        <f t="shared" ref="W434:W444" si="12">Period</f>
        <v>2014Y</v>
      </c>
      <c r="X434" s="446" t="s">
        <v>5548</v>
      </c>
      <c r="Y434" s="387" t="s">
        <v>29</v>
      </c>
      <c r="Z434" s="387" t="s">
        <v>29</v>
      </c>
      <c r="AA434" s="387" t="s">
        <v>29</v>
      </c>
      <c r="AB434" s="387" t="s">
        <v>29</v>
      </c>
      <c r="AC434" s="387" t="s">
        <v>29</v>
      </c>
      <c r="AD434" s="387" t="s">
        <v>29</v>
      </c>
      <c r="AE434" s="387" t="s">
        <v>29</v>
      </c>
      <c r="AF434" s="387" t="s">
        <v>29</v>
      </c>
      <c r="AG434" s="387" t="s">
        <v>29</v>
      </c>
      <c r="AH434" s="387" t="s">
        <v>29</v>
      </c>
      <c r="AI434" s="387" t="s">
        <v>29</v>
      </c>
    </row>
    <row r="435" spans="2:35" ht="11.25" hidden="1" customHeight="1" outlineLevel="1" x14ac:dyDescent="0.35">
      <c r="B435" s="244" t="s">
        <v>5366</v>
      </c>
      <c r="C435" s="245"/>
      <c r="D435" s="279" t="str">
        <f>IF(Y435="","",Y435)</f>
        <v>NA</v>
      </c>
      <c r="E435" s="279" t="str">
        <f>IF(Z435="","",Z435)</f>
        <v>NA</v>
      </c>
      <c r="F435" s="279" t="str">
        <f>IF(AA435="","",AA435)</f>
        <v>NA</v>
      </c>
      <c r="G435" s="279" t="str">
        <f>IF(AB435="","",AB435)</f>
        <v>NA</v>
      </c>
      <c r="H435" s="279" t="str">
        <f>IF(AC435="","",AC435)</f>
        <v>NA</v>
      </c>
      <c r="I435" s="279" t="str">
        <f>IF(AD435="","",AD435)</f>
        <v>NA</v>
      </c>
      <c r="J435" s="279" t="str">
        <f>IF(AE435="","",AE435)</f>
        <v>NA</v>
      </c>
      <c r="K435" s="279" t="str">
        <f>IF(AF435="","",AF435)</f>
        <v>NA</v>
      </c>
      <c r="L435" s="279" t="str">
        <f>IF(AG435="","",AG435)</f>
        <v>NA</v>
      </c>
      <c r="M435" s="279" t="str">
        <f>IF(AH435="","",AH435)</f>
        <v>NA</v>
      </c>
      <c r="N435" s="279" t="str">
        <f>IF(AI435="","",AI435)</f>
        <v>NA</v>
      </c>
      <c r="U435" s="388" t="s">
        <v>5474</v>
      </c>
      <c r="V435" s="389" t="s">
        <v>5383</v>
      </c>
      <c r="W435" s="389" t="str">
        <f t="shared" si="12"/>
        <v>2014Y</v>
      </c>
      <c r="X435" s="447" t="s">
        <v>5549</v>
      </c>
      <c r="Y435" s="391" t="s">
        <v>29</v>
      </c>
      <c r="Z435" s="391" t="s">
        <v>29</v>
      </c>
      <c r="AA435" s="391" t="s">
        <v>29</v>
      </c>
      <c r="AB435" s="391" t="s">
        <v>29</v>
      </c>
      <c r="AC435" s="391" t="s">
        <v>29</v>
      </c>
      <c r="AD435" s="391" t="s">
        <v>29</v>
      </c>
      <c r="AE435" s="391" t="s">
        <v>29</v>
      </c>
      <c r="AF435" s="391" t="s">
        <v>29</v>
      </c>
      <c r="AG435" s="391" t="s">
        <v>29</v>
      </c>
      <c r="AH435" s="391" t="s">
        <v>29</v>
      </c>
      <c r="AI435" s="391" t="s">
        <v>29</v>
      </c>
    </row>
    <row r="436" spans="2:35" ht="11.25" hidden="1" customHeight="1" outlineLevel="1" x14ac:dyDescent="0.35">
      <c r="B436" s="244" t="s">
        <v>5122</v>
      </c>
      <c r="C436" s="245"/>
      <c r="D436" s="279" t="str">
        <f>IF(Y436="","",Y436)</f>
        <v>NA</v>
      </c>
      <c r="E436" s="279" t="str">
        <f>IF(Z436="","",Z436)</f>
        <v>NA</v>
      </c>
      <c r="F436" s="279" t="str">
        <f>IF(AA436="","",AA436)</f>
        <v>NA</v>
      </c>
      <c r="G436" s="279" t="str">
        <f>IF(AB436="","",AB436)</f>
        <v>NA</v>
      </c>
      <c r="H436" s="279" t="str">
        <f>IF(AC436="","",AC436)</f>
        <v>NA</v>
      </c>
      <c r="I436" s="279" t="str">
        <f>IF(AD436="","",AD436)</f>
        <v>NA</v>
      </c>
      <c r="J436" s="279" t="str">
        <f>IF(AE436="","",AE436)</f>
        <v>NA</v>
      </c>
      <c r="K436" s="279" t="str">
        <f>IF(AF436="","",AF436)</f>
        <v>NA</v>
      </c>
      <c r="L436" s="279" t="str">
        <f>IF(AG436="","",AG436)</f>
        <v>NA</v>
      </c>
      <c r="M436" s="279" t="str">
        <f>IF(AH436="","",AH436)</f>
        <v>NA</v>
      </c>
      <c r="N436" s="279" t="str">
        <f>IF(AI436="","",AI436)</f>
        <v>NA</v>
      </c>
      <c r="U436" s="388" t="s">
        <v>5474</v>
      </c>
      <c r="V436" s="389" t="s">
        <v>5383</v>
      </c>
      <c r="W436" s="389" t="str">
        <f t="shared" si="12"/>
        <v>2014Y</v>
      </c>
      <c r="X436" s="447" t="s">
        <v>5550</v>
      </c>
      <c r="Y436" s="391" t="s">
        <v>29</v>
      </c>
      <c r="Z436" s="391" t="s">
        <v>29</v>
      </c>
      <c r="AA436" s="391" t="s">
        <v>29</v>
      </c>
      <c r="AB436" s="391" t="s">
        <v>29</v>
      </c>
      <c r="AC436" s="391" t="s">
        <v>29</v>
      </c>
      <c r="AD436" s="391" t="s">
        <v>29</v>
      </c>
      <c r="AE436" s="391" t="s">
        <v>29</v>
      </c>
      <c r="AF436" s="391" t="s">
        <v>29</v>
      </c>
      <c r="AG436" s="391" t="s">
        <v>29</v>
      </c>
      <c r="AH436" s="391" t="s">
        <v>29</v>
      </c>
      <c r="AI436" s="391" t="s">
        <v>29</v>
      </c>
    </row>
    <row r="437" spans="2:35" ht="11.25" hidden="1" customHeight="1" outlineLevel="1" x14ac:dyDescent="0.35">
      <c r="B437" s="244" t="s">
        <v>5124</v>
      </c>
      <c r="C437" s="245"/>
      <c r="D437" s="279" t="str">
        <f>IF(Y437="","",Y437)</f>
        <v>NA</v>
      </c>
      <c r="E437" s="279" t="str">
        <f>IF(Z437="","",Z437)</f>
        <v>NA</v>
      </c>
      <c r="F437" s="279" t="str">
        <f>IF(AA437="","",AA437)</f>
        <v>NA</v>
      </c>
      <c r="G437" s="279" t="str">
        <f>IF(AB437="","",AB437)</f>
        <v>NA</v>
      </c>
      <c r="H437" s="279" t="str">
        <f>IF(AC437="","",AC437)</f>
        <v>NA</v>
      </c>
      <c r="I437" s="279" t="str">
        <f>IF(AD437="","",AD437)</f>
        <v>NA</v>
      </c>
      <c r="J437" s="279" t="str">
        <f>IF(AE437="","",AE437)</f>
        <v>NA</v>
      </c>
      <c r="K437" s="279" t="str">
        <f>IF(AF437="","",AF437)</f>
        <v>NA</v>
      </c>
      <c r="L437" s="279" t="str">
        <f>IF(AG437="","",AG437)</f>
        <v>NA</v>
      </c>
      <c r="M437" s="279" t="str">
        <f>IF(AH437="","",AH437)</f>
        <v>NA</v>
      </c>
      <c r="N437" s="279" t="str">
        <f>IF(AI437="","",AI437)</f>
        <v>NA</v>
      </c>
      <c r="U437" s="388" t="s">
        <v>5474</v>
      </c>
      <c r="V437" s="389" t="s">
        <v>5383</v>
      </c>
      <c r="W437" s="389" t="str">
        <f t="shared" si="12"/>
        <v>2014Y</v>
      </c>
      <c r="X437" s="447" t="s">
        <v>5551</v>
      </c>
      <c r="Y437" s="391" t="s">
        <v>29</v>
      </c>
      <c r="Z437" s="391" t="s">
        <v>29</v>
      </c>
      <c r="AA437" s="391" t="s">
        <v>29</v>
      </c>
      <c r="AB437" s="391" t="s">
        <v>29</v>
      </c>
      <c r="AC437" s="391" t="s">
        <v>29</v>
      </c>
      <c r="AD437" s="391" t="s">
        <v>29</v>
      </c>
      <c r="AE437" s="391" t="s">
        <v>29</v>
      </c>
      <c r="AF437" s="391" t="s">
        <v>29</v>
      </c>
      <c r="AG437" s="391" t="s">
        <v>29</v>
      </c>
      <c r="AH437" s="391" t="s">
        <v>29</v>
      </c>
      <c r="AI437" s="391" t="s">
        <v>29</v>
      </c>
    </row>
    <row r="438" spans="2:35" ht="11.25" hidden="1" customHeight="1" outlineLevel="1" x14ac:dyDescent="0.35">
      <c r="B438" s="244" t="s">
        <v>5121</v>
      </c>
      <c r="C438" s="245"/>
      <c r="D438" s="279" t="str">
        <f>IF(Y438="","",Y438)</f>
        <v>NA</v>
      </c>
      <c r="E438" s="279" t="str">
        <f>IF(Z438="","",Z438)</f>
        <v>NA</v>
      </c>
      <c r="F438" s="279" t="str">
        <f>IF(AA438="","",AA438)</f>
        <v>NA</v>
      </c>
      <c r="G438" s="279" t="str">
        <f>IF(AB438="","",AB438)</f>
        <v>NA</v>
      </c>
      <c r="H438" s="279" t="str">
        <f>IF(AC438="","",AC438)</f>
        <v>NA</v>
      </c>
      <c r="I438" s="279" t="str">
        <f>IF(AD438="","",AD438)</f>
        <v>NA</v>
      </c>
      <c r="J438" s="279" t="str">
        <f>IF(AE438="","",AE438)</f>
        <v>NA</v>
      </c>
      <c r="K438" s="279" t="str">
        <f>IF(AF438="","",AF438)</f>
        <v>NA</v>
      </c>
      <c r="L438" s="279" t="str">
        <f>IF(AG438="","",AG438)</f>
        <v>NA</v>
      </c>
      <c r="M438" s="279" t="str">
        <f>IF(AH438="","",AH438)</f>
        <v>NA</v>
      </c>
      <c r="N438" s="279" t="str">
        <f>IF(AI438="","",AI438)</f>
        <v>NA</v>
      </c>
      <c r="U438" s="388" t="s">
        <v>5474</v>
      </c>
      <c r="V438" s="389" t="s">
        <v>5383</v>
      </c>
      <c r="W438" s="389" t="str">
        <f t="shared" si="12"/>
        <v>2014Y</v>
      </c>
      <c r="X438" s="447" t="s">
        <v>5552</v>
      </c>
      <c r="Y438" s="391" t="s">
        <v>29</v>
      </c>
      <c r="Z438" s="391" t="s">
        <v>29</v>
      </c>
      <c r="AA438" s="391" t="s">
        <v>29</v>
      </c>
      <c r="AB438" s="391" t="s">
        <v>29</v>
      </c>
      <c r="AC438" s="391" t="s">
        <v>29</v>
      </c>
      <c r="AD438" s="391" t="s">
        <v>29</v>
      </c>
      <c r="AE438" s="391" t="s">
        <v>29</v>
      </c>
      <c r="AF438" s="391" t="s">
        <v>29</v>
      </c>
      <c r="AG438" s="391" t="s">
        <v>29</v>
      </c>
      <c r="AH438" s="391" t="s">
        <v>29</v>
      </c>
      <c r="AI438" s="391" t="s">
        <v>29</v>
      </c>
    </row>
    <row r="439" spans="2:35" ht="11.25" hidden="1" customHeight="1" outlineLevel="1" x14ac:dyDescent="0.35">
      <c r="B439" s="244" t="s">
        <v>5367</v>
      </c>
      <c r="C439" s="245"/>
      <c r="D439" s="279" t="str">
        <f>IF(Y439="","",Y439)</f>
        <v>NA</v>
      </c>
      <c r="E439" s="279" t="str">
        <f>IF(Z439="","",Z439)</f>
        <v>NA</v>
      </c>
      <c r="F439" s="279" t="str">
        <f>IF(AA439="","",AA439)</f>
        <v>NA</v>
      </c>
      <c r="G439" s="279" t="str">
        <f>IF(AB439="","",AB439)</f>
        <v>NA</v>
      </c>
      <c r="H439" s="279" t="str">
        <f>IF(AC439="","",AC439)</f>
        <v>NA</v>
      </c>
      <c r="I439" s="279" t="str">
        <f>IF(AD439="","",AD439)</f>
        <v>NA</v>
      </c>
      <c r="J439" s="279" t="str">
        <f>IF(AE439="","",AE439)</f>
        <v>NA</v>
      </c>
      <c r="K439" s="279" t="str">
        <f>IF(AF439="","",AF439)</f>
        <v>NA</v>
      </c>
      <c r="L439" s="279" t="str">
        <f>IF(AG439="","",AG439)</f>
        <v>NA</v>
      </c>
      <c r="M439" s="279" t="str">
        <f>IF(AH439="","",AH439)</f>
        <v>NA</v>
      </c>
      <c r="N439" s="279" t="str">
        <f>IF(AI439="","",AI439)</f>
        <v>NA</v>
      </c>
      <c r="U439" s="388" t="s">
        <v>5474</v>
      </c>
      <c r="V439" s="389" t="s">
        <v>5383</v>
      </c>
      <c r="W439" s="389" t="str">
        <f t="shared" si="12"/>
        <v>2014Y</v>
      </c>
      <c r="X439" s="447" t="s">
        <v>5553</v>
      </c>
      <c r="Y439" s="391" t="s">
        <v>29</v>
      </c>
      <c r="Z439" s="391" t="s">
        <v>29</v>
      </c>
      <c r="AA439" s="391" t="s">
        <v>29</v>
      </c>
      <c r="AB439" s="391" t="s">
        <v>29</v>
      </c>
      <c r="AC439" s="391" t="s">
        <v>29</v>
      </c>
      <c r="AD439" s="391" t="s">
        <v>29</v>
      </c>
      <c r="AE439" s="391" t="s">
        <v>29</v>
      </c>
      <c r="AF439" s="391" t="s">
        <v>29</v>
      </c>
      <c r="AG439" s="391" t="s">
        <v>29</v>
      </c>
      <c r="AH439" s="391" t="s">
        <v>29</v>
      </c>
      <c r="AI439" s="391" t="s">
        <v>29</v>
      </c>
    </row>
    <row r="440" spans="2:35" ht="11.25" hidden="1" customHeight="1" outlineLevel="1" x14ac:dyDescent="0.35">
      <c r="B440" s="244" t="s">
        <v>5368</v>
      </c>
      <c r="C440" s="245"/>
      <c r="D440" s="279" t="str">
        <f>IF(Y440="","",Y440)</f>
        <v>NA</v>
      </c>
      <c r="E440" s="279" t="str">
        <f>IF(Z440="","",Z440)</f>
        <v>NA</v>
      </c>
      <c r="F440" s="279" t="str">
        <f>IF(AA440="","",AA440)</f>
        <v>NA</v>
      </c>
      <c r="G440" s="279" t="str">
        <f>IF(AB440="","",AB440)</f>
        <v>NA</v>
      </c>
      <c r="H440" s="279" t="str">
        <f>IF(AC440="","",AC440)</f>
        <v>NA</v>
      </c>
      <c r="I440" s="279" t="str">
        <f>IF(AD440="","",AD440)</f>
        <v>NA</v>
      </c>
      <c r="J440" s="279" t="str">
        <f>IF(AE440="","",AE440)</f>
        <v>NA</v>
      </c>
      <c r="K440" s="279" t="str">
        <f>IF(AF440="","",AF440)</f>
        <v>NA</v>
      </c>
      <c r="L440" s="279" t="str">
        <f>IF(AG440="","",AG440)</f>
        <v>NA</v>
      </c>
      <c r="M440" s="279" t="str">
        <f>IF(AH440="","",AH440)</f>
        <v>NA</v>
      </c>
      <c r="N440" s="279" t="str">
        <f>IF(AI440="","",AI440)</f>
        <v>NA</v>
      </c>
      <c r="U440" s="388" t="s">
        <v>5474</v>
      </c>
      <c r="V440" s="389" t="s">
        <v>5383</v>
      </c>
      <c r="W440" s="389" t="str">
        <f t="shared" si="12"/>
        <v>2014Y</v>
      </c>
      <c r="X440" s="447" t="s">
        <v>5554</v>
      </c>
      <c r="Y440" s="391" t="s">
        <v>29</v>
      </c>
      <c r="Z440" s="391" t="s">
        <v>29</v>
      </c>
      <c r="AA440" s="391" t="s">
        <v>29</v>
      </c>
      <c r="AB440" s="391" t="s">
        <v>29</v>
      </c>
      <c r="AC440" s="391" t="s">
        <v>29</v>
      </c>
      <c r="AD440" s="391" t="s">
        <v>29</v>
      </c>
      <c r="AE440" s="391" t="s">
        <v>29</v>
      </c>
      <c r="AF440" s="391" t="s">
        <v>29</v>
      </c>
      <c r="AG440" s="391" t="s">
        <v>29</v>
      </c>
      <c r="AH440" s="391" t="s">
        <v>29</v>
      </c>
      <c r="AI440" s="391" t="s">
        <v>29</v>
      </c>
    </row>
    <row r="441" spans="2:35" ht="11.25" hidden="1" customHeight="1" outlineLevel="1" x14ac:dyDescent="0.35">
      <c r="B441" s="244" t="s">
        <v>5369</v>
      </c>
      <c r="C441" s="245"/>
      <c r="D441" s="279" t="str">
        <f>IF(Y441="","",Y441)</f>
        <v>NA</v>
      </c>
      <c r="E441" s="279" t="str">
        <f>IF(Z441="","",Z441)</f>
        <v>NA</v>
      </c>
      <c r="F441" s="279" t="str">
        <f>IF(AA441="","",AA441)</f>
        <v>NA</v>
      </c>
      <c r="G441" s="279" t="str">
        <f>IF(AB441="","",AB441)</f>
        <v>NA</v>
      </c>
      <c r="H441" s="279" t="str">
        <f>IF(AC441="","",AC441)</f>
        <v>NA</v>
      </c>
      <c r="I441" s="279" t="str">
        <f>IF(AD441="","",AD441)</f>
        <v>NA</v>
      </c>
      <c r="J441" s="279" t="str">
        <f>IF(AE441="","",AE441)</f>
        <v>NA</v>
      </c>
      <c r="K441" s="279" t="str">
        <f>IF(AF441="","",AF441)</f>
        <v>NA</v>
      </c>
      <c r="L441" s="279" t="str">
        <f>IF(AG441="","",AG441)</f>
        <v>NA</v>
      </c>
      <c r="M441" s="279" t="str">
        <f>IF(AH441="","",AH441)</f>
        <v>NA</v>
      </c>
      <c r="N441" s="279" t="str">
        <f>IF(AI441="","",AI441)</f>
        <v>NA</v>
      </c>
      <c r="U441" s="388" t="s">
        <v>5474</v>
      </c>
      <c r="V441" s="389" t="s">
        <v>5383</v>
      </c>
      <c r="W441" s="389" t="str">
        <f t="shared" si="12"/>
        <v>2014Y</v>
      </c>
      <c r="X441" s="447" t="s">
        <v>5555</v>
      </c>
      <c r="Y441" s="391" t="s">
        <v>29</v>
      </c>
      <c r="Z441" s="391" t="s">
        <v>29</v>
      </c>
      <c r="AA441" s="391" t="s">
        <v>29</v>
      </c>
      <c r="AB441" s="391" t="s">
        <v>29</v>
      </c>
      <c r="AC441" s="391" t="s">
        <v>29</v>
      </c>
      <c r="AD441" s="391" t="s">
        <v>29</v>
      </c>
      <c r="AE441" s="391" t="s">
        <v>29</v>
      </c>
      <c r="AF441" s="391" t="s">
        <v>29</v>
      </c>
      <c r="AG441" s="391" t="s">
        <v>29</v>
      </c>
      <c r="AH441" s="391" t="s">
        <v>29</v>
      </c>
      <c r="AI441" s="391" t="s">
        <v>29</v>
      </c>
    </row>
    <row r="442" spans="2:35" ht="11.25" hidden="1" customHeight="1" outlineLevel="1" x14ac:dyDescent="0.35">
      <c r="B442" s="244" t="s">
        <v>5370</v>
      </c>
      <c r="C442" s="245"/>
      <c r="D442" s="279" t="str">
        <f>IF(Y442="","",Y442)</f>
        <v>NA</v>
      </c>
      <c r="E442" s="279" t="str">
        <f>IF(Z442="","",Z442)</f>
        <v>NA</v>
      </c>
      <c r="F442" s="279" t="str">
        <f>IF(AA442="","",AA442)</f>
        <v>NA</v>
      </c>
      <c r="G442" s="279" t="str">
        <f>IF(AB442="","",AB442)</f>
        <v>NA</v>
      </c>
      <c r="H442" s="279" t="str">
        <f>IF(AC442="","",AC442)</f>
        <v>NA</v>
      </c>
      <c r="I442" s="279" t="str">
        <f>IF(AD442="","",AD442)</f>
        <v>NA</v>
      </c>
      <c r="J442" s="279" t="str">
        <f>IF(AE442="","",AE442)</f>
        <v>NA</v>
      </c>
      <c r="K442" s="279" t="str">
        <f>IF(AF442="","",AF442)</f>
        <v>NA</v>
      </c>
      <c r="L442" s="279" t="str">
        <f>IF(AG442="","",AG442)</f>
        <v>NA</v>
      </c>
      <c r="M442" s="279" t="str">
        <f>IF(AH442="","",AH442)</f>
        <v>NA</v>
      </c>
      <c r="N442" s="279" t="str">
        <f>IF(AI442="","",AI442)</f>
        <v>NA</v>
      </c>
      <c r="U442" s="388" t="s">
        <v>5474</v>
      </c>
      <c r="V442" s="389" t="s">
        <v>5383</v>
      </c>
      <c r="W442" s="389" t="str">
        <f t="shared" si="12"/>
        <v>2014Y</v>
      </c>
      <c r="X442" s="447" t="s">
        <v>5556</v>
      </c>
      <c r="Y442" s="391" t="s">
        <v>29</v>
      </c>
      <c r="Z442" s="391" t="s">
        <v>29</v>
      </c>
      <c r="AA442" s="391" t="s">
        <v>29</v>
      </c>
      <c r="AB442" s="391" t="s">
        <v>29</v>
      </c>
      <c r="AC442" s="391" t="s">
        <v>29</v>
      </c>
      <c r="AD442" s="391" t="s">
        <v>29</v>
      </c>
      <c r="AE442" s="391" t="s">
        <v>29</v>
      </c>
      <c r="AF442" s="391" t="s">
        <v>29</v>
      </c>
      <c r="AG442" s="391" t="s">
        <v>29</v>
      </c>
      <c r="AH442" s="391" t="s">
        <v>29</v>
      </c>
      <c r="AI442" s="391" t="s">
        <v>29</v>
      </c>
    </row>
    <row r="443" spans="2:35" ht="11.25" hidden="1" customHeight="1" outlineLevel="1" x14ac:dyDescent="0.35">
      <c r="B443" s="244" t="s">
        <v>5371</v>
      </c>
      <c r="C443" s="245"/>
      <c r="D443" s="279" t="str">
        <f>IF(Y443="","",Y443)</f>
        <v>NA</v>
      </c>
      <c r="E443" s="279" t="str">
        <f>IF(Z443="","",Z443)</f>
        <v>NA</v>
      </c>
      <c r="F443" s="279" t="str">
        <f>IF(AA443="","",AA443)</f>
        <v>NA</v>
      </c>
      <c r="G443" s="279" t="str">
        <f>IF(AB443="","",AB443)</f>
        <v>NA</v>
      </c>
      <c r="H443" s="279" t="str">
        <f>IF(AC443="","",AC443)</f>
        <v>NA</v>
      </c>
      <c r="I443" s="279" t="str">
        <f>IF(AD443="","",AD443)</f>
        <v>NA</v>
      </c>
      <c r="J443" s="279" t="str">
        <f>IF(AE443="","",AE443)</f>
        <v>NA</v>
      </c>
      <c r="K443" s="279" t="str">
        <f>IF(AF443="","",AF443)</f>
        <v>NA</v>
      </c>
      <c r="L443" s="279" t="str">
        <f>IF(AG443="","",AG443)</f>
        <v>NA</v>
      </c>
      <c r="M443" s="279" t="str">
        <f>IF(AH443="","",AH443)</f>
        <v>NA</v>
      </c>
      <c r="N443" s="279" t="str">
        <f>IF(AI443="","",AI443)</f>
        <v>NA</v>
      </c>
      <c r="U443" s="388" t="s">
        <v>5474</v>
      </c>
      <c r="V443" s="389" t="s">
        <v>5383</v>
      </c>
      <c r="W443" s="389" t="str">
        <f t="shared" si="12"/>
        <v>2014Y</v>
      </c>
      <c r="X443" s="447" t="s">
        <v>5557</v>
      </c>
      <c r="Y443" s="391" t="s">
        <v>29</v>
      </c>
      <c r="Z443" s="391" t="s">
        <v>29</v>
      </c>
      <c r="AA443" s="391" t="s">
        <v>29</v>
      </c>
      <c r="AB443" s="391" t="s">
        <v>29</v>
      </c>
      <c r="AC443" s="391" t="s">
        <v>29</v>
      </c>
      <c r="AD443" s="391" t="s">
        <v>29</v>
      </c>
      <c r="AE443" s="391" t="s">
        <v>29</v>
      </c>
      <c r="AF443" s="391" t="s">
        <v>29</v>
      </c>
      <c r="AG443" s="391" t="s">
        <v>29</v>
      </c>
      <c r="AH443" s="391" t="s">
        <v>29</v>
      </c>
      <c r="AI443" s="391" t="s">
        <v>29</v>
      </c>
    </row>
    <row r="444" spans="2:35" ht="11.25" hidden="1" customHeight="1" outlineLevel="1" x14ac:dyDescent="0.35">
      <c r="B444" s="244" t="s">
        <v>5372</v>
      </c>
      <c r="C444" s="245"/>
      <c r="D444" s="279" t="str">
        <f>IF(Y444="","",Y444)</f>
        <v>NA</v>
      </c>
      <c r="E444" s="279" t="str">
        <f>IF(Z444="","",Z444)</f>
        <v>NA</v>
      </c>
      <c r="F444" s="279" t="str">
        <f>IF(AA444="","",AA444)</f>
        <v>NA</v>
      </c>
      <c r="G444" s="279" t="str">
        <f>IF(AB444="","",AB444)</f>
        <v>NA</v>
      </c>
      <c r="H444" s="279" t="str">
        <f>IF(AC444="","",AC444)</f>
        <v>NA</v>
      </c>
      <c r="I444" s="279" t="str">
        <f>IF(AD444="","",AD444)</f>
        <v>NA</v>
      </c>
      <c r="J444" s="279" t="str">
        <f>IF(AE444="","",AE444)</f>
        <v>NA</v>
      </c>
      <c r="K444" s="279" t="str">
        <f>IF(AF444="","",AF444)</f>
        <v>NA</v>
      </c>
      <c r="L444" s="279" t="str">
        <f>IF(AG444="","",AG444)</f>
        <v>NA</v>
      </c>
      <c r="M444" s="279" t="str">
        <f>IF(AH444="","",AH444)</f>
        <v>NA</v>
      </c>
      <c r="N444" s="279" t="str">
        <f>IF(AI444="","",AI444)</f>
        <v>NA</v>
      </c>
      <c r="U444" s="367" t="s">
        <v>5474</v>
      </c>
      <c r="V444" s="368" t="s">
        <v>5383</v>
      </c>
      <c r="W444" s="368" t="str">
        <f t="shared" si="12"/>
        <v>2014Y</v>
      </c>
      <c r="X444" s="412" t="s">
        <v>5558</v>
      </c>
      <c r="Y444" s="371" t="s">
        <v>29</v>
      </c>
      <c r="Z444" s="371" t="s">
        <v>29</v>
      </c>
      <c r="AA444" s="371" t="s">
        <v>29</v>
      </c>
      <c r="AB444" s="371" t="s">
        <v>29</v>
      </c>
      <c r="AC444" s="371" t="s">
        <v>29</v>
      </c>
      <c r="AD444" s="371" t="s">
        <v>29</v>
      </c>
      <c r="AE444" s="371" t="s">
        <v>29</v>
      </c>
      <c r="AF444" s="371" t="s">
        <v>29</v>
      </c>
      <c r="AG444" s="371" t="s">
        <v>29</v>
      </c>
      <c r="AH444" s="371" t="s">
        <v>29</v>
      </c>
      <c r="AI444" s="371" t="s">
        <v>29</v>
      </c>
    </row>
    <row r="445" spans="2:35" ht="11.25" hidden="1" customHeight="1" outlineLevel="1" x14ac:dyDescent="0.35">
      <c r="B445" s="244"/>
      <c r="C445" s="245"/>
      <c r="D445" s="279"/>
      <c r="E445" s="305"/>
      <c r="F445" s="305"/>
      <c r="G445" s="305"/>
      <c r="H445" s="305"/>
      <c r="I445" s="305"/>
      <c r="J445" s="305"/>
      <c r="K445" s="305"/>
      <c r="L445" s="305"/>
      <c r="M445" s="305"/>
      <c r="N445" s="305"/>
    </row>
    <row r="446" spans="2:35" ht="11.25" customHeight="1" collapsed="1" x14ac:dyDescent="0.35">
      <c r="B446" s="244" t="s">
        <v>5079</v>
      </c>
      <c r="C446" s="245"/>
      <c r="D446" s="279">
        <f>IF(LEFT(D$6,4)&gt;"2018",D469,D453)</f>
        <v>2707762.3429999999</v>
      </c>
      <c r="E446" s="279">
        <f>IF(LEFT(E$6,4)&gt;"2018",E469,E453)</f>
        <v>0</v>
      </c>
      <c r="F446" s="279">
        <f>IF(LEFT(F$6,4)&gt;"2018",F469,F453)</f>
        <v>0</v>
      </c>
      <c r="G446" s="279">
        <f>IF(LEFT(G$6,4)&gt;"2018",G469,G453)</f>
        <v>0</v>
      </c>
      <c r="H446" s="279">
        <f>IF(LEFT(H$6,4)&gt;"2018",H469,H453)</f>
        <v>0</v>
      </c>
      <c r="I446" s="279">
        <f>IF(LEFT(I$6,4)&gt;"2018",I469,I453)</f>
        <v>0</v>
      </c>
      <c r="J446" s="279">
        <f>IF(LEFT(J$6,4)&gt;"2018",J469,J453)</f>
        <v>2.1310000000000002</v>
      </c>
      <c r="K446" s="279">
        <f>IF(LEFT(K$6,4)&gt;"2018",K469,K453)</f>
        <v>0</v>
      </c>
      <c r="L446" s="279">
        <f>IF(LEFT(L$6,4)&gt;"2018",L469,L453)</f>
        <v>0</v>
      </c>
      <c r="M446" s="279">
        <f>IF(LEFT(M$6,4)&gt;"2018",M469,M453)</f>
        <v>0</v>
      </c>
      <c r="N446" s="279">
        <f>IF(LEFT(N$6,4)&gt;"2018",N469,N453)</f>
        <v>0</v>
      </c>
    </row>
    <row r="447" spans="2:35" ht="11.25" customHeight="1" x14ac:dyDescent="0.35">
      <c r="B447" s="244" t="s">
        <v>5078</v>
      </c>
      <c r="C447" s="245"/>
      <c r="D447" s="279">
        <f>IF(LEFT(D$6,4)&gt;"2018",D470,D454)</f>
        <v>-19610448.093000002</v>
      </c>
      <c r="E447" s="279">
        <f>IF(LEFT(E$6,4)&gt;"2018",E470,E454)</f>
        <v>-341766.05900000001</v>
      </c>
      <c r="F447" s="279">
        <f>IF(LEFT(F$6,4)&gt;"2018",F470,F454)</f>
        <v>0</v>
      </c>
      <c r="G447" s="279">
        <f>IF(LEFT(G$6,4)&gt;"2018",G470,G454)</f>
        <v>0</v>
      </c>
      <c r="H447" s="279">
        <f>IF(LEFT(H$6,4)&gt;"2018",H470,H454)</f>
        <v>0</v>
      </c>
      <c r="I447" s="279">
        <f>IF(LEFT(I$6,4)&gt;"2018",I470,I454)</f>
        <v>0</v>
      </c>
      <c r="J447" s="279">
        <f>IF(LEFT(J$6,4)&gt;"2018",J470,J454)</f>
        <v>-108173.133</v>
      </c>
      <c r="K447" s="279">
        <f>IF(LEFT(K$6,4)&gt;"2018",K470,K454)</f>
        <v>-5269.0789999999997</v>
      </c>
      <c r="L447" s="279">
        <f>IF(LEFT(L$6,4)&gt;"2018",L470,L454)</f>
        <v>0</v>
      </c>
      <c r="M447" s="279">
        <f>IF(LEFT(M$6,4)&gt;"2018",M470,M454)</f>
        <v>0</v>
      </c>
      <c r="N447" s="279">
        <f>IF(LEFT(N$6,4)&gt;"2018",N470,N454)</f>
        <v>0</v>
      </c>
    </row>
    <row r="448" spans="2:35" ht="11.25" customHeight="1" x14ac:dyDescent="0.35">
      <c r="B448" s="244" t="s">
        <v>5077</v>
      </c>
      <c r="C448" s="245"/>
      <c r="D448" s="279">
        <f>IF(LEFT(D$6,4)&gt;"2018",D465,D455)</f>
        <v>427891.55599999998</v>
      </c>
      <c r="E448" s="279">
        <f>IF(LEFT(E$6,4)&gt;"2018",E465,E455)</f>
        <v>0</v>
      </c>
      <c r="F448" s="279">
        <f>IF(LEFT(F$6,4)&gt;"2018",F465,F455)</f>
        <v>0</v>
      </c>
      <c r="G448" s="279">
        <f>IF(LEFT(G$6,4)&gt;"2018",G465,G455)</f>
        <v>0</v>
      </c>
      <c r="H448" s="279">
        <f>IF(LEFT(H$6,4)&gt;"2018",H465,H455)</f>
        <v>0</v>
      </c>
      <c r="I448" s="279">
        <f>IF(LEFT(I$6,4)&gt;"2018",I465,I455)</f>
        <v>0</v>
      </c>
      <c r="J448" s="279">
        <f>IF(LEFT(J$6,4)&gt;"2018",J465,J455)</f>
        <v>0</v>
      </c>
      <c r="K448" s="279">
        <f>IF(LEFT(K$6,4)&gt;"2018",K465,K455)</f>
        <v>0</v>
      </c>
      <c r="L448" s="279">
        <f>IF(LEFT(L$6,4)&gt;"2018",L465,L455)</f>
        <v>0</v>
      </c>
      <c r="M448" s="279">
        <f>IF(LEFT(M$6,4)&gt;"2018",M465,M455)</f>
        <v>0</v>
      </c>
      <c r="N448" s="279">
        <f>IF(LEFT(N$6,4)&gt;"2018",N465,N455)</f>
        <v>0</v>
      </c>
    </row>
    <row r="449" spans="2:35" ht="11.25" customHeight="1" x14ac:dyDescent="0.35">
      <c r="B449" s="244" t="s">
        <v>5475</v>
      </c>
      <c r="C449" s="245"/>
      <c r="D449" s="279">
        <f>IF(LEFT(D$6,4)&gt;"2018","NA",D456)</f>
        <v>0</v>
      </c>
      <c r="E449" s="279">
        <f>IF(LEFT(E$6,4)&gt;"2018","NA",E456)</f>
        <v>0</v>
      </c>
      <c r="F449" s="279">
        <f>IF(LEFT(F$6,4)&gt;"2018","NA",F456)</f>
        <v>0</v>
      </c>
      <c r="G449" s="279">
        <f>IF(LEFT(G$6,4)&gt;"2018","NA",G456)</f>
        <v>0</v>
      </c>
      <c r="H449" s="279">
        <f>IF(LEFT(H$6,4)&gt;"2018","NA",H456)</f>
        <v>0</v>
      </c>
      <c r="I449" s="279">
        <f>IF(LEFT(I$6,4)&gt;"2018","NA",I456)</f>
        <v>0</v>
      </c>
      <c r="J449" s="279">
        <f>IF(LEFT(J$6,4)&gt;"2018","NA",J456)</f>
        <v>0</v>
      </c>
      <c r="K449" s="279">
        <f>IF(LEFT(K$6,4)&gt;"2018","NA",K456)</f>
        <v>0</v>
      </c>
      <c r="L449" s="279">
        <f>IF(LEFT(L$6,4)&gt;"2018","NA",L456)</f>
        <v>0</v>
      </c>
      <c r="M449" s="279">
        <f>IF(LEFT(M$6,4)&gt;"2018","NA",M456)</f>
        <v>0</v>
      </c>
      <c r="N449" s="279">
        <f>IF(LEFT(N$6,4)&gt;"2018","NA",N456)</f>
        <v>0</v>
      </c>
    </row>
    <row r="450" spans="2:35" ht="11.25" customHeight="1" x14ac:dyDescent="0.35">
      <c r="B450" s="244" t="s">
        <v>5075</v>
      </c>
      <c r="C450" s="245"/>
      <c r="D450" s="279">
        <f>IF(LEFT(D$6,4)&gt;"2018",SUM(D466:D468),D457)</f>
        <v>10105.34</v>
      </c>
      <c r="E450" s="279">
        <f>IF(LEFT(E$6,4)&gt;"2018",SUM(E466:E468),E457)</f>
        <v>0</v>
      </c>
      <c r="F450" s="279">
        <f>IF(LEFT(F$6,4)&gt;"2018",SUM(F466:F468),F457)</f>
        <v>0</v>
      </c>
      <c r="G450" s="279">
        <f>IF(LEFT(G$6,4)&gt;"2018",SUM(G466:G468),G457)</f>
        <v>0</v>
      </c>
      <c r="H450" s="279">
        <f>IF(LEFT(H$6,4)&gt;"2018",SUM(H466:H468),H457)</f>
        <v>0</v>
      </c>
      <c r="I450" s="279">
        <f>IF(LEFT(I$6,4)&gt;"2018",SUM(I466:I468),I457)</f>
        <v>0</v>
      </c>
      <c r="J450" s="279">
        <f>IF(LEFT(J$6,4)&gt;"2018",SUM(J466:J468),J457)</f>
        <v>43.561</v>
      </c>
      <c r="K450" s="279">
        <f>IF(LEFT(K$6,4)&gt;"2018",SUM(K466:K468),K457)</f>
        <v>0</v>
      </c>
      <c r="L450" s="279">
        <f>IF(LEFT(L$6,4)&gt;"2018",SUM(L466:L468),L457)</f>
        <v>0</v>
      </c>
      <c r="M450" s="279">
        <f>IF(LEFT(M$6,4)&gt;"2018",SUM(M466:M468),M457)</f>
        <v>0</v>
      </c>
      <c r="N450" s="279">
        <f>IF(LEFT(N$6,4)&gt;"2018",SUM(N466:N468),N457)</f>
        <v>0</v>
      </c>
    </row>
    <row r="451" spans="2:35" ht="11.25" customHeight="1" x14ac:dyDescent="0.35">
      <c r="B451" s="244" t="s">
        <v>5074</v>
      </c>
      <c r="C451" s="245">
        <v>123576</v>
      </c>
      <c r="D451" s="279">
        <v>-16464688.812000001</v>
      </c>
      <c r="E451" s="305">
        <v>-341766.05900000001</v>
      </c>
      <c r="F451" s="305">
        <v>0</v>
      </c>
      <c r="G451" s="305">
        <v>0</v>
      </c>
      <c r="H451" s="305">
        <v>0</v>
      </c>
      <c r="I451" s="305">
        <v>0</v>
      </c>
      <c r="J451" s="305">
        <v>-108127.44100000001</v>
      </c>
      <c r="K451" s="305">
        <v>-5269.0789999999997</v>
      </c>
      <c r="L451" s="305">
        <v>0</v>
      </c>
      <c r="M451" s="305">
        <v>0</v>
      </c>
      <c r="N451" s="305">
        <v>0</v>
      </c>
    </row>
    <row r="452" spans="2:35" ht="11.25" customHeight="1" x14ac:dyDescent="0.35">
      <c r="B452" s="244"/>
      <c r="C452" s="245"/>
      <c r="D452" s="279"/>
      <c r="E452" s="305"/>
      <c r="F452" s="305"/>
      <c r="G452" s="305"/>
      <c r="H452" s="305"/>
      <c r="I452" s="305"/>
      <c r="J452" s="305"/>
      <c r="K452" s="305"/>
      <c r="L452" s="305"/>
      <c r="M452" s="305"/>
      <c r="N452" s="305"/>
    </row>
    <row r="453" spans="2:35" ht="11.25" hidden="1" customHeight="1" outlineLevel="1" x14ac:dyDescent="0.35">
      <c r="B453" s="244" t="s">
        <v>5079</v>
      </c>
      <c r="C453" s="245">
        <v>123571</v>
      </c>
      <c r="D453" s="279">
        <v>2707762.3429999999</v>
      </c>
      <c r="E453" s="305">
        <v>0</v>
      </c>
      <c r="F453" s="305">
        <v>0</v>
      </c>
      <c r="G453" s="305">
        <v>0</v>
      </c>
      <c r="H453" s="305">
        <v>0</v>
      </c>
      <c r="I453" s="305">
        <v>0</v>
      </c>
      <c r="J453" s="305">
        <v>2.1310000000000002</v>
      </c>
      <c r="K453" s="305">
        <v>0</v>
      </c>
      <c r="L453" s="305">
        <v>0</v>
      </c>
      <c r="M453" s="305">
        <v>0</v>
      </c>
      <c r="N453" s="305">
        <v>0</v>
      </c>
    </row>
    <row r="454" spans="2:35" ht="11.25" hidden="1" customHeight="1" outlineLevel="1" x14ac:dyDescent="0.35">
      <c r="B454" s="244" t="s">
        <v>5078</v>
      </c>
      <c r="C454" s="245">
        <v>123572</v>
      </c>
      <c r="D454" s="279">
        <v>-19610448.093000002</v>
      </c>
      <c r="E454" s="305">
        <v>-341766.05900000001</v>
      </c>
      <c r="F454" s="305">
        <v>0</v>
      </c>
      <c r="G454" s="305">
        <v>0</v>
      </c>
      <c r="H454" s="305">
        <v>0</v>
      </c>
      <c r="I454" s="305">
        <v>0</v>
      </c>
      <c r="J454" s="305">
        <v>-108173.133</v>
      </c>
      <c r="K454" s="305">
        <v>-5269.0789999999997</v>
      </c>
      <c r="L454" s="305">
        <v>0</v>
      </c>
      <c r="M454" s="305">
        <v>0</v>
      </c>
      <c r="N454" s="305">
        <v>0</v>
      </c>
    </row>
    <row r="455" spans="2:35" ht="11.25" hidden="1" customHeight="1" outlineLevel="1" x14ac:dyDescent="0.35">
      <c r="B455" s="244" t="s">
        <v>5077</v>
      </c>
      <c r="C455" s="245">
        <v>123573</v>
      </c>
      <c r="D455" s="279">
        <v>427891.55599999998</v>
      </c>
      <c r="E455" s="305">
        <v>0</v>
      </c>
      <c r="F455" s="305">
        <v>0</v>
      </c>
      <c r="G455" s="305">
        <v>0</v>
      </c>
      <c r="H455" s="305">
        <v>0</v>
      </c>
      <c r="I455" s="305">
        <v>0</v>
      </c>
      <c r="J455" s="305">
        <v>0</v>
      </c>
      <c r="K455" s="305">
        <v>0</v>
      </c>
      <c r="L455" s="305">
        <v>0</v>
      </c>
      <c r="M455" s="305">
        <v>0</v>
      </c>
      <c r="N455" s="305">
        <v>0</v>
      </c>
    </row>
    <row r="456" spans="2:35" ht="11.25" hidden="1" customHeight="1" outlineLevel="1" x14ac:dyDescent="0.35">
      <c r="B456" s="244" t="s">
        <v>5475</v>
      </c>
      <c r="C456" s="245">
        <v>123574</v>
      </c>
      <c r="D456" s="279">
        <v>0</v>
      </c>
      <c r="E456" s="305">
        <v>0</v>
      </c>
      <c r="F456" s="305">
        <v>0</v>
      </c>
      <c r="G456" s="305">
        <v>0</v>
      </c>
      <c r="H456" s="305">
        <v>0</v>
      </c>
      <c r="I456" s="305">
        <v>0</v>
      </c>
      <c r="J456" s="305">
        <v>0</v>
      </c>
      <c r="K456" s="305">
        <v>0</v>
      </c>
      <c r="L456" s="305">
        <v>0</v>
      </c>
      <c r="M456" s="305">
        <v>0</v>
      </c>
      <c r="N456" s="305">
        <v>0</v>
      </c>
    </row>
    <row r="457" spans="2:35" ht="11.25" hidden="1" customHeight="1" outlineLevel="1" x14ac:dyDescent="0.35">
      <c r="B457" s="244" t="s">
        <v>5075</v>
      </c>
      <c r="C457" s="245">
        <v>123575</v>
      </c>
      <c r="D457" s="279">
        <v>10105.34</v>
      </c>
      <c r="E457" s="305">
        <v>0</v>
      </c>
      <c r="F457" s="305">
        <v>0</v>
      </c>
      <c r="G457" s="305">
        <v>0</v>
      </c>
      <c r="H457" s="305">
        <v>0</v>
      </c>
      <c r="I457" s="305">
        <v>0</v>
      </c>
      <c r="J457" s="305">
        <v>43.561</v>
      </c>
      <c r="K457" s="305">
        <v>0</v>
      </c>
      <c r="L457" s="305">
        <v>0</v>
      </c>
      <c r="M457" s="305">
        <v>0</v>
      </c>
      <c r="N457" s="305">
        <v>0</v>
      </c>
    </row>
    <row r="458" spans="2:35" ht="11.25" hidden="1" customHeight="1" outlineLevel="1" x14ac:dyDescent="0.55000000000000004">
      <c r="B458" s="244"/>
      <c r="C458" s="245"/>
      <c r="D458" s="279"/>
      <c r="E458" s="305"/>
      <c r="F458" s="305"/>
      <c r="G458" s="305"/>
      <c r="H458" s="305"/>
      <c r="I458" s="305"/>
      <c r="J458" s="305"/>
      <c r="K458" s="305"/>
      <c r="L458" s="305"/>
      <c r="M458" s="305"/>
      <c r="N458" s="305"/>
      <c r="U458" s="396" t="str">
        <f ca="1">[1]!snltable(287,$Y$458:$AI$458,$V$460:$V$470,$W$460:$W$470,,"Options:Curr=USD, Mag=Thousands, ConvMethod=SNLrecommended")</f>
        <v>SNLTable</v>
      </c>
      <c r="V458" s="397"/>
      <c r="W458" s="397"/>
      <c r="X458" s="397"/>
      <c r="Y458" s="298" t="str">
        <f ca="1">IF(Entity_Code="","",Entity_Code)</f>
        <v>I36</v>
      </c>
      <c r="Z458" s="298" t="str">
        <f ca="1">IF(Entity_C1="","",Entity_C1)</f>
        <v>C2874</v>
      </c>
      <c r="AA458" s="298" t="str">
        <f ca="1">IF(Entity_C2="","",Entity_C2)</f>
        <v>C5004</v>
      </c>
      <c r="AB458" s="298" t="str">
        <f ca="1">IF(Entity_C3="","",Entity_C3)</f>
        <v>C2093</v>
      </c>
      <c r="AC458" s="298" t="str">
        <f ca="1">IF(Entity_C4="","",Entity_C4)</f>
        <v>C2623</v>
      </c>
      <c r="AD458" s="298" t="str">
        <f ca="1">IF(Entity_C5="","",Entity_C5)</f>
        <v>C3048</v>
      </c>
      <c r="AE458" s="298" t="str">
        <f ca="1">IF(Entity_C6="","",Entity_C6)</f>
        <v>C2409</v>
      </c>
      <c r="AF458" s="298" t="str">
        <f ca="1">IF(Entity_C7="","",Entity_C7)</f>
        <v>C2921</v>
      </c>
      <c r="AG458" s="298" t="str">
        <f ca="1">IF(Entity_C8="","",Entity_C8)</f>
        <v>C2284</v>
      </c>
      <c r="AH458" s="298" t="str">
        <f ca="1">IF(Entity_C9="","",Entity_C9)</f>
        <v>C3613</v>
      </c>
      <c r="AI458" s="298" t="str">
        <f ca="1">IF(Entity_C10="","",Entity_C10)</f>
        <v>C2253</v>
      </c>
    </row>
    <row r="459" spans="2:35" ht="11.25" hidden="1" customHeight="1" outlineLevel="1" x14ac:dyDescent="0.55000000000000004">
      <c r="B459" s="246" t="s">
        <v>5476</v>
      </c>
      <c r="C459" s="245"/>
      <c r="D459" s="335"/>
      <c r="E459" s="335"/>
      <c r="F459" s="335"/>
      <c r="G459" s="335"/>
      <c r="H459" s="335"/>
      <c r="I459" s="335"/>
      <c r="J459" s="335"/>
      <c r="K459" s="335"/>
      <c r="L459" s="335"/>
      <c r="M459" s="335"/>
      <c r="N459" s="335"/>
      <c r="U459" s="403"/>
      <c r="V459" s="400"/>
      <c r="W459" s="400"/>
      <c r="X459" s="400"/>
      <c r="Y459" s="402"/>
      <c r="Z459" s="402"/>
      <c r="AA459" s="402"/>
      <c r="AB459" s="402"/>
      <c r="AC459" s="402"/>
      <c r="AD459" s="402"/>
      <c r="AE459" s="402"/>
      <c r="AF459" s="402"/>
      <c r="AG459" s="402"/>
      <c r="AH459" s="402"/>
      <c r="AI459" s="402"/>
    </row>
    <row r="460" spans="2:35" ht="11.25" hidden="1" customHeight="1" outlineLevel="1" x14ac:dyDescent="0.35">
      <c r="B460" s="244" t="s">
        <v>5365</v>
      </c>
      <c r="C460" s="245"/>
      <c r="D460" s="279" t="str">
        <f>IF(Y460="","",Y460)</f>
        <v>NA</v>
      </c>
      <c r="E460" s="279" t="str">
        <f>IF(Z460="","",Z460)</f>
        <v>NA</v>
      </c>
      <c r="F460" s="279" t="str">
        <f>IF(AA460="","",AA460)</f>
        <v>NA</v>
      </c>
      <c r="G460" s="279" t="str">
        <f>IF(AB460="","",AB460)</f>
        <v>NA</v>
      </c>
      <c r="H460" s="279" t="str">
        <f>IF(AC460="","",AC460)</f>
        <v>NA</v>
      </c>
      <c r="I460" s="279" t="str">
        <f>IF(AD460="","",AD460)</f>
        <v>NA</v>
      </c>
      <c r="J460" s="279" t="str">
        <f>IF(AE460="","",AE460)</f>
        <v>NA</v>
      </c>
      <c r="K460" s="279" t="str">
        <f>IF(AF460="","",AF460)</f>
        <v>NA</v>
      </c>
      <c r="L460" s="279" t="str">
        <f>IF(AG460="","",AG460)</f>
        <v>NA</v>
      </c>
      <c r="M460" s="279" t="str">
        <f>IF(AH460="","",AH460)</f>
        <v>NA</v>
      </c>
      <c r="N460" s="279" t="str">
        <f>IF(AI460="","",AI460)</f>
        <v>NA</v>
      </c>
      <c r="U460" s="384" t="s">
        <v>5476</v>
      </c>
      <c r="V460" s="385" t="s">
        <v>5384</v>
      </c>
      <c r="W460" s="385" t="str">
        <f t="shared" ref="W460:W470" si="13">Period</f>
        <v>2014Y</v>
      </c>
      <c r="X460" s="446" t="s">
        <v>5548</v>
      </c>
      <c r="Y460" s="387" t="s">
        <v>29</v>
      </c>
      <c r="Z460" s="387" t="s">
        <v>29</v>
      </c>
      <c r="AA460" s="387" t="s">
        <v>29</v>
      </c>
      <c r="AB460" s="387" t="s">
        <v>29</v>
      </c>
      <c r="AC460" s="387" t="s">
        <v>29</v>
      </c>
      <c r="AD460" s="387" t="s">
        <v>29</v>
      </c>
      <c r="AE460" s="387" t="s">
        <v>29</v>
      </c>
      <c r="AF460" s="387" t="s">
        <v>29</v>
      </c>
      <c r="AG460" s="387" t="s">
        <v>29</v>
      </c>
      <c r="AH460" s="387" t="s">
        <v>29</v>
      </c>
      <c r="AI460" s="387" t="s">
        <v>29</v>
      </c>
    </row>
    <row r="461" spans="2:35" ht="11.25" hidden="1" customHeight="1" outlineLevel="1" x14ac:dyDescent="0.35">
      <c r="B461" s="244" t="s">
        <v>5366</v>
      </c>
      <c r="C461" s="245"/>
      <c r="D461" s="279" t="str">
        <f>IF(Y461="","",Y461)</f>
        <v>NA</v>
      </c>
      <c r="E461" s="279" t="str">
        <f>IF(Z461="","",Z461)</f>
        <v>NA</v>
      </c>
      <c r="F461" s="279" t="str">
        <f>IF(AA461="","",AA461)</f>
        <v>NA</v>
      </c>
      <c r="G461" s="279" t="str">
        <f>IF(AB461="","",AB461)</f>
        <v>NA</v>
      </c>
      <c r="H461" s="279" t="str">
        <f>IF(AC461="","",AC461)</f>
        <v>NA</v>
      </c>
      <c r="I461" s="279" t="str">
        <f>IF(AD461="","",AD461)</f>
        <v>NA</v>
      </c>
      <c r="J461" s="279" t="str">
        <f>IF(AE461="","",AE461)</f>
        <v>NA</v>
      </c>
      <c r="K461" s="279" t="str">
        <f>IF(AF461="","",AF461)</f>
        <v>NA</v>
      </c>
      <c r="L461" s="279" t="str">
        <f>IF(AG461="","",AG461)</f>
        <v>NA</v>
      </c>
      <c r="M461" s="279" t="str">
        <f>IF(AH461="","",AH461)</f>
        <v>NA</v>
      </c>
      <c r="N461" s="279" t="str">
        <f>IF(AI461="","",AI461)</f>
        <v>NA</v>
      </c>
      <c r="U461" s="388" t="s">
        <v>5476</v>
      </c>
      <c r="V461" s="389" t="s">
        <v>5384</v>
      </c>
      <c r="W461" s="389" t="str">
        <f t="shared" si="13"/>
        <v>2014Y</v>
      </c>
      <c r="X461" s="447" t="s">
        <v>5549</v>
      </c>
      <c r="Y461" s="391" t="s">
        <v>29</v>
      </c>
      <c r="Z461" s="391" t="s">
        <v>29</v>
      </c>
      <c r="AA461" s="391" t="s">
        <v>29</v>
      </c>
      <c r="AB461" s="391" t="s">
        <v>29</v>
      </c>
      <c r="AC461" s="391" t="s">
        <v>29</v>
      </c>
      <c r="AD461" s="391" t="s">
        <v>29</v>
      </c>
      <c r="AE461" s="391" t="s">
        <v>29</v>
      </c>
      <c r="AF461" s="391" t="s">
        <v>29</v>
      </c>
      <c r="AG461" s="391" t="s">
        <v>29</v>
      </c>
      <c r="AH461" s="391" t="s">
        <v>29</v>
      </c>
      <c r="AI461" s="391" t="s">
        <v>29</v>
      </c>
    </row>
    <row r="462" spans="2:35" ht="11.25" hidden="1" customHeight="1" outlineLevel="1" x14ac:dyDescent="0.35">
      <c r="B462" s="244" t="s">
        <v>5122</v>
      </c>
      <c r="C462" s="245"/>
      <c r="D462" s="279" t="str">
        <f>IF(Y462="","",Y462)</f>
        <v>NA</v>
      </c>
      <c r="E462" s="279" t="str">
        <f>IF(Z462="","",Z462)</f>
        <v>NA</v>
      </c>
      <c r="F462" s="279" t="str">
        <f>IF(AA462="","",AA462)</f>
        <v>NA</v>
      </c>
      <c r="G462" s="279" t="str">
        <f>IF(AB462="","",AB462)</f>
        <v>NA</v>
      </c>
      <c r="H462" s="279" t="str">
        <f>IF(AC462="","",AC462)</f>
        <v>NA</v>
      </c>
      <c r="I462" s="279" t="str">
        <f>IF(AD462="","",AD462)</f>
        <v>NA</v>
      </c>
      <c r="J462" s="279" t="str">
        <f>IF(AE462="","",AE462)</f>
        <v>NA</v>
      </c>
      <c r="K462" s="279" t="str">
        <f>IF(AF462="","",AF462)</f>
        <v>NA</v>
      </c>
      <c r="L462" s="279" t="str">
        <f>IF(AG462="","",AG462)</f>
        <v>NA</v>
      </c>
      <c r="M462" s="279" t="str">
        <f>IF(AH462="","",AH462)</f>
        <v>NA</v>
      </c>
      <c r="N462" s="279" t="str">
        <f>IF(AI462="","",AI462)</f>
        <v>NA</v>
      </c>
      <c r="U462" s="388" t="s">
        <v>5476</v>
      </c>
      <c r="V462" s="389" t="s">
        <v>5384</v>
      </c>
      <c r="W462" s="389" t="str">
        <f t="shared" si="13"/>
        <v>2014Y</v>
      </c>
      <c r="X462" s="447" t="s">
        <v>5550</v>
      </c>
      <c r="Y462" s="391" t="s">
        <v>29</v>
      </c>
      <c r="Z462" s="391" t="s">
        <v>29</v>
      </c>
      <c r="AA462" s="391" t="s">
        <v>29</v>
      </c>
      <c r="AB462" s="391" t="s">
        <v>29</v>
      </c>
      <c r="AC462" s="391" t="s">
        <v>29</v>
      </c>
      <c r="AD462" s="391" t="s">
        <v>29</v>
      </c>
      <c r="AE462" s="391" t="s">
        <v>29</v>
      </c>
      <c r="AF462" s="391" t="s">
        <v>29</v>
      </c>
      <c r="AG462" s="391" t="s">
        <v>29</v>
      </c>
      <c r="AH462" s="391" t="s">
        <v>29</v>
      </c>
      <c r="AI462" s="391" t="s">
        <v>29</v>
      </c>
    </row>
    <row r="463" spans="2:35" ht="11.25" hidden="1" customHeight="1" outlineLevel="1" x14ac:dyDescent="0.35">
      <c r="B463" s="244" t="s">
        <v>5124</v>
      </c>
      <c r="C463" s="245"/>
      <c r="D463" s="279" t="str">
        <f>IF(Y463="","",Y463)</f>
        <v>NA</v>
      </c>
      <c r="E463" s="279" t="str">
        <f>IF(Z463="","",Z463)</f>
        <v>NA</v>
      </c>
      <c r="F463" s="279" t="str">
        <f>IF(AA463="","",AA463)</f>
        <v>NA</v>
      </c>
      <c r="G463" s="279" t="str">
        <f>IF(AB463="","",AB463)</f>
        <v>NA</v>
      </c>
      <c r="H463" s="279" t="str">
        <f>IF(AC463="","",AC463)</f>
        <v>NA</v>
      </c>
      <c r="I463" s="279" t="str">
        <f>IF(AD463="","",AD463)</f>
        <v>NA</v>
      </c>
      <c r="J463" s="279" t="str">
        <f>IF(AE463="","",AE463)</f>
        <v>NA</v>
      </c>
      <c r="K463" s="279" t="str">
        <f>IF(AF463="","",AF463)</f>
        <v>NA</v>
      </c>
      <c r="L463" s="279" t="str">
        <f>IF(AG463="","",AG463)</f>
        <v>NA</v>
      </c>
      <c r="M463" s="279" t="str">
        <f>IF(AH463="","",AH463)</f>
        <v>NA</v>
      </c>
      <c r="N463" s="279" t="str">
        <f>IF(AI463="","",AI463)</f>
        <v>NA</v>
      </c>
      <c r="U463" s="388" t="s">
        <v>5476</v>
      </c>
      <c r="V463" s="389" t="s">
        <v>5384</v>
      </c>
      <c r="W463" s="389" t="str">
        <f t="shared" si="13"/>
        <v>2014Y</v>
      </c>
      <c r="X463" s="447" t="s">
        <v>5551</v>
      </c>
      <c r="Y463" s="391" t="s">
        <v>29</v>
      </c>
      <c r="Z463" s="391" t="s">
        <v>29</v>
      </c>
      <c r="AA463" s="391" t="s">
        <v>29</v>
      </c>
      <c r="AB463" s="391" t="s">
        <v>29</v>
      </c>
      <c r="AC463" s="391" t="s">
        <v>29</v>
      </c>
      <c r="AD463" s="391" t="s">
        <v>29</v>
      </c>
      <c r="AE463" s="391" t="s">
        <v>29</v>
      </c>
      <c r="AF463" s="391" t="s">
        <v>29</v>
      </c>
      <c r="AG463" s="391" t="s">
        <v>29</v>
      </c>
      <c r="AH463" s="391" t="s">
        <v>29</v>
      </c>
      <c r="AI463" s="391" t="s">
        <v>29</v>
      </c>
    </row>
    <row r="464" spans="2:35" ht="11.25" hidden="1" customHeight="1" outlineLevel="1" x14ac:dyDescent="0.35">
      <c r="B464" s="244" t="s">
        <v>5121</v>
      </c>
      <c r="C464" s="245"/>
      <c r="D464" s="279" t="str">
        <f>IF(Y464="","",Y464)</f>
        <v>NA</v>
      </c>
      <c r="E464" s="279" t="str">
        <f>IF(Z464="","",Z464)</f>
        <v>NA</v>
      </c>
      <c r="F464" s="279" t="str">
        <f>IF(AA464="","",AA464)</f>
        <v>NA</v>
      </c>
      <c r="G464" s="279" t="str">
        <f>IF(AB464="","",AB464)</f>
        <v>NA</v>
      </c>
      <c r="H464" s="279" t="str">
        <f>IF(AC464="","",AC464)</f>
        <v>NA</v>
      </c>
      <c r="I464" s="279" t="str">
        <f>IF(AD464="","",AD464)</f>
        <v>NA</v>
      </c>
      <c r="J464" s="279" t="str">
        <f>IF(AE464="","",AE464)</f>
        <v>NA</v>
      </c>
      <c r="K464" s="279" t="str">
        <f>IF(AF464="","",AF464)</f>
        <v>NA</v>
      </c>
      <c r="L464" s="279" t="str">
        <f>IF(AG464="","",AG464)</f>
        <v>NA</v>
      </c>
      <c r="M464" s="279" t="str">
        <f>IF(AH464="","",AH464)</f>
        <v>NA</v>
      </c>
      <c r="N464" s="279" t="str">
        <f>IF(AI464="","",AI464)</f>
        <v>NA</v>
      </c>
      <c r="U464" s="388" t="s">
        <v>5476</v>
      </c>
      <c r="V464" s="389" t="s">
        <v>5384</v>
      </c>
      <c r="W464" s="389" t="str">
        <f t="shared" si="13"/>
        <v>2014Y</v>
      </c>
      <c r="X464" s="447" t="s">
        <v>5552</v>
      </c>
      <c r="Y464" s="391" t="s">
        <v>29</v>
      </c>
      <c r="Z464" s="391" t="s">
        <v>29</v>
      </c>
      <c r="AA464" s="391" t="s">
        <v>29</v>
      </c>
      <c r="AB464" s="391" t="s">
        <v>29</v>
      </c>
      <c r="AC464" s="391" t="s">
        <v>29</v>
      </c>
      <c r="AD464" s="391" t="s">
        <v>29</v>
      </c>
      <c r="AE464" s="391" t="s">
        <v>29</v>
      </c>
      <c r="AF464" s="391" t="s">
        <v>29</v>
      </c>
      <c r="AG464" s="391" t="s">
        <v>29</v>
      </c>
      <c r="AH464" s="391" t="s">
        <v>29</v>
      </c>
      <c r="AI464" s="391" t="s">
        <v>29</v>
      </c>
    </row>
    <row r="465" spans="2:35" ht="11.25" hidden="1" customHeight="1" outlineLevel="1" x14ac:dyDescent="0.35">
      <c r="B465" s="244" t="s">
        <v>5367</v>
      </c>
      <c r="C465" s="245"/>
      <c r="D465" s="279" t="str">
        <f>IF(Y465="","",Y465)</f>
        <v>NA</v>
      </c>
      <c r="E465" s="279" t="str">
        <f>IF(Z465="","",Z465)</f>
        <v>NA</v>
      </c>
      <c r="F465" s="279" t="str">
        <f>IF(AA465="","",AA465)</f>
        <v>NA</v>
      </c>
      <c r="G465" s="279" t="str">
        <f>IF(AB465="","",AB465)</f>
        <v>NA</v>
      </c>
      <c r="H465" s="279" t="str">
        <f>IF(AC465="","",AC465)</f>
        <v>NA</v>
      </c>
      <c r="I465" s="279" t="str">
        <f>IF(AD465="","",AD465)</f>
        <v>NA</v>
      </c>
      <c r="J465" s="279" t="str">
        <f>IF(AE465="","",AE465)</f>
        <v>NA</v>
      </c>
      <c r="K465" s="279" t="str">
        <f>IF(AF465="","",AF465)</f>
        <v>NA</v>
      </c>
      <c r="L465" s="279" t="str">
        <f>IF(AG465="","",AG465)</f>
        <v>NA</v>
      </c>
      <c r="M465" s="279" t="str">
        <f>IF(AH465="","",AH465)</f>
        <v>NA</v>
      </c>
      <c r="N465" s="279" t="str">
        <f>IF(AI465="","",AI465)</f>
        <v>NA</v>
      </c>
      <c r="U465" s="388" t="s">
        <v>5476</v>
      </c>
      <c r="V465" s="389" t="s">
        <v>5384</v>
      </c>
      <c r="W465" s="389" t="str">
        <f t="shared" si="13"/>
        <v>2014Y</v>
      </c>
      <c r="X465" s="447" t="s">
        <v>5553</v>
      </c>
      <c r="Y465" s="391" t="s">
        <v>29</v>
      </c>
      <c r="Z465" s="391" t="s">
        <v>29</v>
      </c>
      <c r="AA465" s="391" t="s">
        <v>29</v>
      </c>
      <c r="AB465" s="391" t="s">
        <v>29</v>
      </c>
      <c r="AC465" s="391" t="s">
        <v>29</v>
      </c>
      <c r="AD465" s="391" t="s">
        <v>29</v>
      </c>
      <c r="AE465" s="391" t="s">
        <v>29</v>
      </c>
      <c r="AF465" s="391" t="s">
        <v>29</v>
      </c>
      <c r="AG465" s="391" t="s">
        <v>29</v>
      </c>
      <c r="AH465" s="391" t="s">
        <v>29</v>
      </c>
      <c r="AI465" s="391" t="s">
        <v>29</v>
      </c>
    </row>
    <row r="466" spans="2:35" ht="11.25" hidden="1" customHeight="1" outlineLevel="1" x14ac:dyDescent="0.35">
      <c r="B466" s="244" t="s">
        <v>5368</v>
      </c>
      <c r="C466" s="245"/>
      <c r="D466" s="279" t="str">
        <f>IF(Y466="","",Y466)</f>
        <v>NA</v>
      </c>
      <c r="E466" s="279" t="str">
        <f>IF(Z466="","",Z466)</f>
        <v>NA</v>
      </c>
      <c r="F466" s="279" t="str">
        <f>IF(AA466="","",AA466)</f>
        <v>NA</v>
      </c>
      <c r="G466" s="279" t="str">
        <f>IF(AB466="","",AB466)</f>
        <v>NA</v>
      </c>
      <c r="H466" s="279" t="str">
        <f>IF(AC466="","",AC466)</f>
        <v>NA</v>
      </c>
      <c r="I466" s="279" t="str">
        <f>IF(AD466="","",AD466)</f>
        <v>NA</v>
      </c>
      <c r="J466" s="279" t="str">
        <f>IF(AE466="","",AE466)</f>
        <v>NA</v>
      </c>
      <c r="K466" s="279" t="str">
        <f>IF(AF466="","",AF466)</f>
        <v>NA</v>
      </c>
      <c r="L466" s="279" t="str">
        <f>IF(AG466="","",AG466)</f>
        <v>NA</v>
      </c>
      <c r="M466" s="279" t="str">
        <f>IF(AH466="","",AH466)</f>
        <v>NA</v>
      </c>
      <c r="N466" s="279" t="str">
        <f>IF(AI466="","",AI466)</f>
        <v>NA</v>
      </c>
      <c r="U466" s="388" t="s">
        <v>5476</v>
      </c>
      <c r="V466" s="389" t="s">
        <v>5384</v>
      </c>
      <c r="W466" s="389" t="str">
        <f t="shared" si="13"/>
        <v>2014Y</v>
      </c>
      <c r="X466" s="447" t="s">
        <v>5554</v>
      </c>
      <c r="Y466" s="391" t="s">
        <v>29</v>
      </c>
      <c r="Z466" s="391" t="s">
        <v>29</v>
      </c>
      <c r="AA466" s="391" t="s">
        <v>29</v>
      </c>
      <c r="AB466" s="391" t="s">
        <v>29</v>
      </c>
      <c r="AC466" s="391" t="s">
        <v>29</v>
      </c>
      <c r="AD466" s="391" t="s">
        <v>29</v>
      </c>
      <c r="AE466" s="391" t="s">
        <v>29</v>
      </c>
      <c r="AF466" s="391" t="s">
        <v>29</v>
      </c>
      <c r="AG466" s="391" t="s">
        <v>29</v>
      </c>
      <c r="AH466" s="391" t="s">
        <v>29</v>
      </c>
      <c r="AI466" s="391" t="s">
        <v>29</v>
      </c>
    </row>
    <row r="467" spans="2:35" ht="11.25" hidden="1" customHeight="1" outlineLevel="1" x14ac:dyDescent="0.35">
      <c r="B467" s="244" t="s">
        <v>5369</v>
      </c>
      <c r="C467" s="247"/>
      <c r="D467" s="279" t="str">
        <f>IF(Y467="","",Y467)</f>
        <v>NA</v>
      </c>
      <c r="E467" s="279" t="str">
        <f>IF(Z467="","",Z467)</f>
        <v>NA</v>
      </c>
      <c r="F467" s="279" t="str">
        <f>IF(AA467="","",AA467)</f>
        <v>NA</v>
      </c>
      <c r="G467" s="279" t="str">
        <f>IF(AB467="","",AB467)</f>
        <v>NA</v>
      </c>
      <c r="H467" s="279" t="str">
        <f>IF(AC467="","",AC467)</f>
        <v>NA</v>
      </c>
      <c r="I467" s="279" t="str">
        <f>IF(AD467="","",AD467)</f>
        <v>NA</v>
      </c>
      <c r="J467" s="279" t="str">
        <f>IF(AE467="","",AE467)</f>
        <v>NA</v>
      </c>
      <c r="K467" s="279" t="str">
        <f>IF(AF467="","",AF467)</f>
        <v>NA</v>
      </c>
      <c r="L467" s="279" t="str">
        <f>IF(AG467="","",AG467)</f>
        <v>NA</v>
      </c>
      <c r="M467" s="279" t="str">
        <f>IF(AH467="","",AH467)</f>
        <v>NA</v>
      </c>
      <c r="N467" s="279" t="str">
        <f>IF(AI467="","",AI467)</f>
        <v>NA</v>
      </c>
      <c r="U467" s="388" t="s">
        <v>5476</v>
      </c>
      <c r="V467" s="389" t="s">
        <v>5384</v>
      </c>
      <c r="W467" s="389" t="str">
        <f t="shared" si="13"/>
        <v>2014Y</v>
      </c>
      <c r="X467" s="447" t="s">
        <v>5555</v>
      </c>
      <c r="Y467" s="391" t="s">
        <v>29</v>
      </c>
      <c r="Z467" s="391" t="s">
        <v>29</v>
      </c>
      <c r="AA467" s="391" t="s">
        <v>29</v>
      </c>
      <c r="AB467" s="391" t="s">
        <v>29</v>
      </c>
      <c r="AC467" s="391" t="s">
        <v>29</v>
      </c>
      <c r="AD467" s="391" t="s">
        <v>29</v>
      </c>
      <c r="AE467" s="391" t="s">
        <v>29</v>
      </c>
      <c r="AF467" s="391" t="s">
        <v>29</v>
      </c>
      <c r="AG467" s="391" t="s">
        <v>29</v>
      </c>
      <c r="AH467" s="391" t="s">
        <v>29</v>
      </c>
      <c r="AI467" s="391" t="s">
        <v>29</v>
      </c>
    </row>
    <row r="468" spans="2:35" ht="11.25" hidden="1" customHeight="1" outlineLevel="1" x14ac:dyDescent="0.35">
      <c r="B468" s="244" t="s">
        <v>5370</v>
      </c>
      <c r="C468" s="247"/>
      <c r="D468" s="279" t="str">
        <f>IF(Y468="","",Y468)</f>
        <v>NA</v>
      </c>
      <c r="E468" s="279" t="str">
        <f>IF(Z468="","",Z468)</f>
        <v>NA</v>
      </c>
      <c r="F468" s="279" t="str">
        <f>IF(AA468="","",AA468)</f>
        <v>NA</v>
      </c>
      <c r="G468" s="279" t="str">
        <f>IF(AB468="","",AB468)</f>
        <v>NA</v>
      </c>
      <c r="H468" s="279" t="str">
        <f>IF(AC468="","",AC468)</f>
        <v>NA</v>
      </c>
      <c r="I468" s="279" t="str">
        <f>IF(AD468="","",AD468)</f>
        <v>NA</v>
      </c>
      <c r="J468" s="279" t="str">
        <f>IF(AE468="","",AE468)</f>
        <v>NA</v>
      </c>
      <c r="K468" s="279" t="str">
        <f>IF(AF468="","",AF468)</f>
        <v>NA</v>
      </c>
      <c r="L468" s="279" t="str">
        <f>IF(AG468="","",AG468)</f>
        <v>NA</v>
      </c>
      <c r="M468" s="279" t="str">
        <f>IF(AH468="","",AH468)</f>
        <v>NA</v>
      </c>
      <c r="N468" s="279" t="str">
        <f>IF(AI468="","",AI468)</f>
        <v>NA</v>
      </c>
      <c r="U468" s="388" t="s">
        <v>5476</v>
      </c>
      <c r="V468" s="389" t="s">
        <v>5384</v>
      </c>
      <c r="W468" s="389" t="str">
        <f t="shared" si="13"/>
        <v>2014Y</v>
      </c>
      <c r="X468" s="447" t="s">
        <v>5556</v>
      </c>
      <c r="Y468" s="391" t="s">
        <v>29</v>
      </c>
      <c r="Z468" s="391" t="s">
        <v>29</v>
      </c>
      <c r="AA468" s="391" t="s">
        <v>29</v>
      </c>
      <c r="AB468" s="391" t="s">
        <v>29</v>
      </c>
      <c r="AC468" s="391" t="s">
        <v>29</v>
      </c>
      <c r="AD468" s="391" t="s">
        <v>29</v>
      </c>
      <c r="AE468" s="391" t="s">
        <v>29</v>
      </c>
      <c r="AF468" s="391" t="s">
        <v>29</v>
      </c>
      <c r="AG468" s="391" t="s">
        <v>29</v>
      </c>
      <c r="AH468" s="391" t="s">
        <v>29</v>
      </c>
      <c r="AI468" s="391" t="s">
        <v>29</v>
      </c>
    </row>
    <row r="469" spans="2:35" ht="11.25" hidden="1" customHeight="1" outlineLevel="1" x14ac:dyDescent="0.35">
      <c r="B469" s="244" t="s">
        <v>5371</v>
      </c>
      <c r="C469" s="245"/>
      <c r="D469" s="279" t="str">
        <f>IF(Y469="","",Y469)</f>
        <v>NA</v>
      </c>
      <c r="E469" s="279" t="str">
        <f>IF(Z469="","",Z469)</f>
        <v>NA</v>
      </c>
      <c r="F469" s="279" t="str">
        <f>IF(AA469="","",AA469)</f>
        <v>NA</v>
      </c>
      <c r="G469" s="279" t="str">
        <f>IF(AB469="","",AB469)</f>
        <v>NA</v>
      </c>
      <c r="H469" s="279" t="str">
        <f>IF(AC469="","",AC469)</f>
        <v>NA</v>
      </c>
      <c r="I469" s="279" t="str">
        <f>IF(AD469="","",AD469)</f>
        <v>NA</v>
      </c>
      <c r="J469" s="279" t="str">
        <f>IF(AE469="","",AE469)</f>
        <v>NA</v>
      </c>
      <c r="K469" s="279" t="str">
        <f>IF(AF469="","",AF469)</f>
        <v>NA</v>
      </c>
      <c r="L469" s="279" t="str">
        <f>IF(AG469="","",AG469)</f>
        <v>NA</v>
      </c>
      <c r="M469" s="279" t="str">
        <f>IF(AH469="","",AH469)</f>
        <v>NA</v>
      </c>
      <c r="N469" s="279" t="str">
        <f>IF(AI469="","",AI469)</f>
        <v>NA</v>
      </c>
      <c r="U469" s="388" t="s">
        <v>5476</v>
      </c>
      <c r="V469" s="389" t="s">
        <v>5384</v>
      </c>
      <c r="W469" s="389" t="str">
        <f t="shared" si="13"/>
        <v>2014Y</v>
      </c>
      <c r="X469" s="447" t="s">
        <v>5557</v>
      </c>
      <c r="Y469" s="391" t="s">
        <v>29</v>
      </c>
      <c r="Z469" s="391" t="s">
        <v>29</v>
      </c>
      <c r="AA469" s="391" t="s">
        <v>29</v>
      </c>
      <c r="AB469" s="391" t="s">
        <v>29</v>
      </c>
      <c r="AC469" s="391" t="s">
        <v>29</v>
      </c>
      <c r="AD469" s="391" t="s">
        <v>29</v>
      </c>
      <c r="AE469" s="391" t="s">
        <v>29</v>
      </c>
      <c r="AF469" s="391" t="s">
        <v>29</v>
      </c>
      <c r="AG469" s="391" t="s">
        <v>29</v>
      </c>
      <c r="AH469" s="391" t="s">
        <v>29</v>
      </c>
      <c r="AI469" s="391" t="s">
        <v>29</v>
      </c>
    </row>
    <row r="470" spans="2:35" ht="11.25" hidden="1" customHeight="1" outlineLevel="1" x14ac:dyDescent="0.35">
      <c r="B470" s="244" t="s">
        <v>5372</v>
      </c>
      <c r="C470" s="245"/>
      <c r="D470" s="279" t="str">
        <f>IF(Y470="","",Y470)</f>
        <v>NA</v>
      </c>
      <c r="E470" s="279" t="str">
        <f>IF(Z470="","",Z470)</f>
        <v>NA</v>
      </c>
      <c r="F470" s="279" t="str">
        <f>IF(AA470="","",AA470)</f>
        <v>NA</v>
      </c>
      <c r="G470" s="279" t="str">
        <f>IF(AB470="","",AB470)</f>
        <v>NA</v>
      </c>
      <c r="H470" s="279" t="str">
        <f>IF(AC470="","",AC470)</f>
        <v>NA</v>
      </c>
      <c r="I470" s="279" t="str">
        <f>IF(AD470="","",AD470)</f>
        <v>NA</v>
      </c>
      <c r="J470" s="279" t="str">
        <f>IF(AE470="","",AE470)</f>
        <v>NA</v>
      </c>
      <c r="K470" s="279" t="str">
        <f>IF(AF470="","",AF470)</f>
        <v>NA</v>
      </c>
      <c r="L470" s="279" t="str">
        <f>IF(AG470="","",AG470)</f>
        <v>NA</v>
      </c>
      <c r="M470" s="279" t="str">
        <f>IF(AH470="","",AH470)</f>
        <v>NA</v>
      </c>
      <c r="N470" s="279" t="str">
        <f>IF(AI470="","",AI470)</f>
        <v>NA</v>
      </c>
      <c r="U470" s="367" t="s">
        <v>5476</v>
      </c>
      <c r="V470" s="368" t="s">
        <v>5384</v>
      </c>
      <c r="W470" s="368" t="str">
        <f t="shared" si="13"/>
        <v>2014Y</v>
      </c>
      <c r="X470" s="412" t="s">
        <v>5558</v>
      </c>
      <c r="Y470" s="371" t="s">
        <v>29</v>
      </c>
      <c r="Z470" s="371" t="s">
        <v>29</v>
      </c>
      <c r="AA470" s="371" t="s">
        <v>29</v>
      </c>
      <c r="AB470" s="371" t="s">
        <v>29</v>
      </c>
      <c r="AC470" s="371" t="s">
        <v>29</v>
      </c>
      <c r="AD470" s="371" t="s">
        <v>29</v>
      </c>
      <c r="AE470" s="371" t="s">
        <v>29</v>
      </c>
      <c r="AF470" s="371" t="s">
        <v>29</v>
      </c>
      <c r="AG470" s="371" t="s">
        <v>29</v>
      </c>
      <c r="AH470" s="371" t="s">
        <v>29</v>
      </c>
      <c r="AI470" s="371" t="s">
        <v>29</v>
      </c>
    </row>
    <row r="471" spans="2:35" ht="11.25" hidden="1" customHeight="1" outlineLevel="1" x14ac:dyDescent="0.35">
      <c r="B471" s="244"/>
      <c r="C471" s="245"/>
      <c r="D471" s="279"/>
      <c r="E471" s="305"/>
      <c r="F471" s="305"/>
      <c r="G471" s="305"/>
      <c r="H471" s="305"/>
      <c r="I471" s="305"/>
      <c r="J471" s="305"/>
      <c r="K471" s="305"/>
      <c r="L471" s="305"/>
      <c r="M471" s="305"/>
      <c r="N471" s="305"/>
    </row>
    <row r="472" spans="2:35" ht="11.25" customHeight="1" collapsed="1" x14ac:dyDescent="0.35">
      <c r="B472" s="244" t="s">
        <v>4967</v>
      </c>
      <c r="C472" s="245">
        <v>123577</v>
      </c>
      <c r="D472" s="279">
        <v>52063513.546999998</v>
      </c>
      <c r="E472" s="305">
        <v>54422.762999999999</v>
      </c>
      <c r="F472" s="305">
        <v>7902.2669999999998</v>
      </c>
      <c r="G472" s="305">
        <v>2427178.023</v>
      </c>
      <c r="H472" s="305">
        <v>428341.46299999999</v>
      </c>
      <c r="I472" s="305">
        <v>167217.05600000001</v>
      </c>
      <c r="J472" s="305">
        <v>51770.22</v>
      </c>
      <c r="K472" s="305">
        <v>125392.47600000001</v>
      </c>
      <c r="L472" s="305">
        <v>3920.482</v>
      </c>
      <c r="M472" s="305">
        <v>129191.124</v>
      </c>
      <c r="N472" s="305">
        <v>256254.42199999999</v>
      </c>
    </row>
    <row r="473" spans="2:35" ht="11.25" customHeight="1" x14ac:dyDescent="0.35">
      <c r="B473" s="244" t="s">
        <v>5073</v>
      </c>
      <c r="C473" s="247">
        <v>123578</v>
      </c>
      <c r="D473" s="279">
        <v>58950535.903999999</v>
      </c>
      <c r="E473" s="305">
        <v>41934.04</v>
      </c>
      <c r="F473" s="305">
        <v>42842.67</v>
      </c>
      <c r="G473" s="305">
        <v>2625885.3909999998</v>
      </c>
      <c r="H473" s="305">
        <v>193681.16500000001</v>
      </c>
      <c r="I473" s="305">
        <v>204754.829</v>
      </c>
      <c r="J473" s="305">
        <v>44256.476000000002</v>
      </c>
      <c r="K473" s="305">
        <v>128111.755</v>
      </c>
      <c r="L473" s="305">
        <v>4540.4949999999999</v>
      </c>
      <c r="M473" s="305">
        <v>116798.92600000001</v>
      </c>
      <c r="N473" s="305">
        <v>202806.86000000002</v>
      </c>
    </row>
    <row r="474" spans="2:35" ht="11.25" customHeight="1" x14ac:dyDescent="0.35">
      <c r="B474" s="244" t="s">
        <v>5072</v>
      </c>
      <c r="C474" s="245">
        <v>123579</v>
      </c>
      <c r="D474" s="279">
        <v>9981134.0439999998</v>
      </c>
      <c r="E474" s="305">
        <v>982.952</v>
      </c>
      <c r="F474" s="305">
        <v>181.9</v>
      </c>
      <c r="G474" s="305">
        <v>200318.345</v>
      </c>
      <c r="H474" s="305">
        <v>27143.157999999999</v>
      </c>
      <c r="I474" s="305">
        <v>28839.173999999999</v>
      </c>
      <c r="J474" s="305">
        <v>5807.6490000000003</v>
      </c>
      <c r="K474" s="305">
        <v>17077.36</v>
      </c>
      <c r="L474" s="305">
        <v>987.60199999999998</v>
      </c>
      <c r="M474" s="305">
        <v>18902.419000000002</v>
      </c>
      <c r="N474" s="305">
        <v>32580.244999999999</v>
      </c>
    </row>
    <row r="475" spans="2:35" ht="11.25" customHeight="1" x14ac:dyDescent="0.35">
      <c r="B475" s="244" t="s">
        <v>5071</v>
      </c>
      <c r="C475" s="247">
        <v>123580</v>
      </c>
      <c r="D475" s="279">
        <v>65995973.362000003</v>
      </c>
      <c r="E475" s="305">
        <v>-313.99099999999999</v>
      </c>
      <c r="F475" s="305">
        <v>3237.2350000000001</v>
      </c>
      <c r="G475" s="305">
        <v>13271.854000000001</v>
      </c>
      <c r="H475" s="305">
        <v>64328.315999999999</v>
      </c>
      <c r="I475" s="305">
        <v>236128.88200000001</v>
      </c>
      <c r="J475" s="305">
        <v>8529.3539999999994</v>
      </c>
      <c r="K475" s="305">
        <v>17499.732</v>
      </c>
      <c r="L475" s="305">
        <v>-40.180999999999997</v>
      </c>
      <c r="M475" s="305">
        <v>139137.34900000002</v>
      </c>
      <c r="N475" s="305">
        <v>835.74300000000005</v>
      </c>
    </row>
    <row r="476" spans="2:35" ht="11.25" customHeight="1" x14ac:dyDescent="0.35">
      <c r="B476" s="244" t="s">
        <v>5070</v>
      </c>
      <c r="C476" s="245">
        <v>124435</v>
      </c>
      <c r="D476" s="279">
        <v>812545876.329</v>
      </c>
      <c r="E476" s="305">
        <v>1811938.3800000001</v>
      </c>
      <c r="F476" s="305">
        <v>-244512.94</v>
      </c>
      <c r="G476" s="305">
        <v>19431426.566</v>
      </c>
      <c r="H476" s="305">
        <v>2328748.7710000002</v>
      </c>
      <c r="I476" s="305">
        <v>1077675.047</v>
      </c>
      <c r="J476" s="305">
        <v>1000098.975</v>
      </c>
      <c r="K476" s="305">
        <v>805727.821</v>
      </c>
      <c r="L476" s="305">
        <v>33991.406999999999</v>
      </c>
      <c r="M476" s="305">
        <v>505254.89</v>
      </c>
      <c r="N476" s="305">
        <v>1187850.43</v>
      </c>
    </row>
    <row r="477" spans="2:35" ht="11.25" customHeight="1" x14ac:dyDescent="0.35">
      <c r="B477" s="244" t="s">
        <v>4946</v>
      </c>
      <c r="C477" s="247"/>
      <c r="D477" s="279"/>
      <c r="E477" s="305"/>
      <c r="F477" s="305"/>
      <c r="G477" s="305"/>
      <c r="H477" s="305"/>
      <c r="I477" s="305"/>
      <c r="J477" s="305"/>
      <c r="K477" s="305"/>
      <c r="L477" s="305"/>
      <c r="M477" s="305"/>
      <c r="N477" s="305"/>
    </row>
    <row r="478" spans="2:35" ht="11.25" customHeight="1" x14ac:dyDescent="0.35">
      <c r="B478" s="246" t="s">
        <v>4934</v>
      </c>
      <c r="C478" s="245"/>
      <c r="D478" s="279"/>
      <c r="E478" s="305"/>
      <c r="F478" s="305"/>
      <c r="G478" s="305"/>
      <c r="H478" s="305"/>
      <c r="I478" s="305"/>
      <c r="J478" s="305"/>
      <c r="K478" s="305"/>
      <c r="L478" s="305"/>
      <c r="M478" s="305"/>
      <c r="N478" s="305"/>
    </row>
    <row r="479" spans="2:35" ht="11.25" customHeight="1" x14ac:dyDescent="0.35">
      <c r="B479" s="244" t="s">
        <v>4970</v>
      </c>
      <c r="C479" s="247">
        <v>123042</v>
      </c>
      <c r="D479" s="279">
        <v>16430514.796</v>
      </c>
      <c r="E479" s="305">
        <v>0</v>
      </c>
      <c r="F479" s="305">
        <v>0</v>
      </c>
      <c r="G479" s="305">
        <v>1.0070000000000001</v>
      </c>
      <c r="H479" s="305">
        <v>29.916</v>
      </c>
      <c r="I479" s="305">
        <v>0</v>
      </c>
      <c r="J479" s="305">
        <v>15.992000000000001</v>
      </c>
      <c r="K479" s="305">
        <v>587.60199999999998</v>
      </c>
      <c r="L479" s="305">
        <v>15.282999999999999</v>
      </c>
      <c r="M479" s="305">
        <v>450.10500000000002</v>
      </c>
      <c r="N479" s="305">
        <v>0</v>
      </c>
    </row>
    <row r="480" spans="2:35" ht="11.25" customHeight="1" x14ac:dyDescent="0.35">
      <c r="B480" s="244" t="s">
        <v>5069</v>
      </c>
      <c r="C480" s="247">
        <v>123583</v>
      </c>
      <c r="D480" s="279">
        <v>49012242.648000002</v>
      </c>
      <c r="E480" s="305">
        <v>-354852.60399999999</v>
      </c>
      <c r="F480" s="305">
        <v>495833.10100000002</v>
      </c>
      <c r="G480" s="305">
        <v>3499188.389</v>
      </c>
      <c r="H480" s="305">
        <v>59859.614999999998</v>
      </c>
      <c r="I480" s="305">
        <v>247461.101</v>
      </c>
      <c r="J480" s="305">
        <v>-95761.682000000001</v>
      </c>
      <c r="K480" s="305">
        <v>77719.775999999998</v>
      </c>
      <c r="L480" s="305">
        <v>2601.098</v>
      </c>
      <c r="M480" s="305">
        <v>24556.858</v>
      </c>
      <c r="N480" s="305">
        <v>242482.82500000001</v>
      </c>
    </row>
    <row r="481" spans="2:14" ht="11.25" customHeight="1" x14ac:dyDescent="0.35">
      <c r="B481" s="244" t="s">
        <v>5068</v>
      </c>
      <c r="C481" s="245">
        <v>123048</v>
      </c>
      <c r="D481" s="279">
        <v>10106056.346000001</v>
      </c>
      <c r="E481" s="305">
        <v>-66654.271999999997</v>
      </c>
      <c r="F481" s="305">
        <v>46717.838000000003</v>
      </c>
      <c r="G481" s="305">
        <v>1084470.193</v>
      </c>
      <c r="H481" s="305">
        <v>18396.965</v>
      </c>
      <c r="I481" s="305">
        <v>60599.224000000002</v>
      </c>
      <c r="J481" s="305">
        <v>-260.35700000000003</v>
      </c>
      <c r="K481" s="305">
        <v>15923.550999999999</v>
      </c>
      <c r="L481" s="305">
        <v>-839.57900000000006</v>
      </c>
      <c r="M481" s="305">
        <v>6477.2240000000002</v>
      </c>
      <c r="N481" s="305">
        <v>83142.600999999995</v>
      </c>
    </row>
    <row r="482" spans="2:14" ht="11.25" customHeight="1" x14ac:dyDescent="0.35">
      <c r="B482" s="244" t="s">
        <v>5067</v>
      </c>
      <c r="C482" s="245">
        <v>123584</v>
      </c>
      <c r="D482" s="279">
        <v>38905344.108330004</v>
      </c>
      <c r="E482" s="305">
        <v>-288198.33199999999</v>
      </c>
      <c r="F482" s="305">
        <v>449115.26300000004</v>
      </c>
      <c r="G482" s="305">
        <v>2414718.196</v>
      </c>
      <c r="H482" s="305">
        <v>41462.65</v>
      </c>
      <c r="I482" s="305">
        <v>186861.87700000001</v>
      </c>
      <c r="J482" s="305">
        <v>-95501.324999999997</v>
      </c>
      <c r="K482" s="305">
        <v>61796.224999999999</v>
      </c>
      <c r="L482" s="305">
        <v>3440.6770000000001</v>
      </c>
      <c r="M482" s="305">
        <v>18079.634000000002</v>
      </c>
      <c r="N482" s="305">
        <v>159340.22400000002</v>
      </c>
    </row>
    <row r="483" spans="2:14" ht="11.25" customHeight="1" x14ac:dyDescent="0.35">
      <c r="B483" s="244" t="s">
        <v>4946</v>
      </c>
      <c r="C483" s="245"/>
      <c r="D483" s="279"/>
      <c r="E483" s="305"/>
      <c r="F483" s="305"/>
      <c r="G483" s="305"/>
      <c r="H483" s="305"/>
      <c r="I483" s="305"/>
      <c r="J483" s="305"/>
      <c r="K483" s="305"/>
      <c r="L483" s="305"/>
      <c r="M483" s="305"/>
      <c r="N483" s="305"/>
    </row>
    <row r="484" spans="2:14" ht="11.25" customHeight="1" x14ac:dyDescent="0.35">
      <c r="B484" s="244" t="s">
        <v>4972</v>
      </c>
      <c r="C484" s="245">
        <v>123044</v>
      </c>
      <c r="D484" s="279">
        <v>-1306441.395</v>
      </c>
      <c r="E484" s="305">
        <v>7392.576</v>
      </c>
      <c r="F484" s="305">
        <v>1510.4470000000001</v>
      </c>
      <c r="G484" s="305">
        <v>-22100.554</v>
      </c>
      <c r="H484" s="305">
        <v>-11101.789000000001</v>
      </c>
      <c r="I484" s="305">
        <v>188.21899999999999</v>
      </c>
      <c r="J484" s="305">
        <v>2211.4870000000001</v>
      </c>
      <c r="K484" s="305">
        <v>-11006.232</v>
      </c>
      <c r="L484" s="305">
        <v>-1496.5029999999999</v>
      </c>
      <c r="M484" s="305">
        <v>-1136.4760000000001</v>
      </c>
      <c r="N484" s="305">
        <v>1598.886</v>
      </c>
    </row>
    <row r="485" spans="2:14" ht="11.25" customHeight="1" x14ac:dyDescent="0.35">
      <c r="B485" s="244" t="s">
        <v>4946</v>
      </c>
      <c r="C485" s="245"/>
      <c r="D485" s="279"/>
      <c r="E485" s="305"/>
      <c r="F485" s="305"/>
      <c r="G485" s="305"/>
      <c r="H485" s="305"/>
      <c r="I485" s="305"/>
      <c r="J485" s="305"/>
      <c r="K485" s="305"/>
      <c r="L485" s="305"/>
      <c r="M485" s="305"/>
      <c r="N485" s="305"/>
    </row>
    <row r="486" spans="2:14" ht="11.25" customHeight="1" x14ac:dyDescent="0.35">
      <c r="B486" s="244" t="s">
        <v>4934</v>
      </c>
      <c r="C486" s="245">
        <v>123049</v>
      </c>
      <c r="D486" s="279">
        <v>37605615.140000001</v>
      </c>
      <c r="E486" s="305">
        <v>-280805.75599999999</v>
      </c>
      <c r="F486" s="305">
        <v>450625.71</v>
      </c>
      <c r="G486" s="305">
        <v>2392617.642</v>
      </c>
      <c r="H486" s="305">
        <v>30360.861000000001</v>
      </c>
      <c r="I486" s="305">
        <v>187050.09599999999</v>
      </c>
      <c r="J486" s="305">
        <v>-93289.838000000003</v>
      </c>
      <c r="K486" s="305">
        <v>50789.993000000002</v>
      </c>
      <c r="L486" s="305">
        <v>1944.174</v>
      </c>
      <c r="M486" s="305">
        <v>16943.156999999999</v>
      </c>
      <c r="N486" s="305">
        <v>160939.11000000002</v>
      </c>
    </row>
    <row r="487" spans="2:14" ht="11.25" customHeight="1" x14ac:dyDescent="0.35">
      <c r="B487" s="244" t="s">
        <v>4946</v>
      </c>
      <c r="C487" s="245"/>
      <c r="D487" s="279"/>
      <c r="E487" s="305"/>
      <c r="F487" s="305"/>
      <c r="G487" s="305"/>
      <c r="H487" s="305"/>
      <c r="I487" s="305"/>
      <c r="J487" s="305"/>
      <c r="K487" s="305"/>
      <c r="L487" s="305"/>
      <c r="M487" s="305"/>
      <c r="N487" s="305"/>
    </row>
    <row r="488" spans="2:14" ht="11.25" customHeight="1" x14ac:dyDescent="0.35">
      <c r="B488" s="244" t="s">
        <v>4973</v>
      </c>
      <c r="C488" s="245">
        <v>123583</v>
      </c>
      <c r="D488" s="279">
        <v>49012242.648000002</v>
      </c>
      <c r="E488" s="305">
        <v>-354852.60399999999</v>
      </c>
      <c r="F488" s="305">
        <v>495833.10100000002</v>
      </c>
      <c r="G488" s="305">
        <v>3499188.389</v>
      </c>
      <c r="H488" s="305">
        <v>59859.614999999998</v>
      </c>
      <c r="I488" s="305">
        <v>247461.101</v>
      </c>
      <c r="J488" s="305">
        <v>-95761.682000000001</v>
      </c>
      <c r="K488" s="305">
        <v>77719.775999999998</v>
      </c>
      <c r="L488" s="305">
        <v>2601.098</v>
      </c>
      <c r="M488" s="305">
        <v>24556.858</v>
      </c>
      <c r="N488" s="305">
        <v>242482.82500000001</v>
      </c>
    </row>
    <row r="489" spans="2:14" s="318" customFormat="1" ht="11.25" customHeight="1" x14ac:dyDescent="0.35">
      <c r="B489" s="294" t="s">
        <v>4946</v>
      </c>
      <c r="C489" s="329"/>
      <c r="D489" s="305"/>
      <c r="E489" s="305"/>
      <c r="F489" s="305"/>
      <c r="G489" s="305"/>
      <c r="H489" s="305"/>
      <c r="I489" s="305"/>
      <c r="J489" s="305"/>
      <c r="K489" s="305"/>
      <c r="L489" s="305"/>
      <c r="M489" s="305"/>
      <c r="N489" s="305"/>
    </row>
    <row r="490" spans="2:14" ht="11.25" customHeight="1" x14ac:dyDescent="0.35">
      <c r="B490" s="246" t="s">
        <v>5066</v>
      </c>
      <c r="C490" s="329"/>
      <c r="D490" s="305"/>
      <c r="E490" s="305"/>
      <c r="F490" s="305"/>
      <c r="G490" s="305"/>
      <c r="H490" s="305"/>
      <c r="I490" s="305"/>
      <c r="J490" s="305"/>
      <c r="K490" s="305"/>
      <c r="L490" s="305"/>
      <c r="M490" s="305"/>
      <c r="N490" s="305"/>
    </row>
    <row r="491" spans="2:14" ht="11.25" customHeight="1" x14ac:dyDescent="0.35">
      <c r="B491" s="244" t="s">
        <v>5065</v>
      </c>
      <c r="C491" s="247">
        <v>123053</v>
      </c>
      <c r="D491" s="279">
        <v>330498415.27965903</v>
      </c>
      <c r="E491" s="305">
        <v>569342.75300000003</v>
      </c>
      <c r="F491" s="305">
        <v>608786.17700000003</v>
      </c>
      <c r="G491" s="305">
        <v>9630058.8200000003</v>
      </c>
      <c r="H491" s="305">
        <v>2674545.844</v>
      </c>
      <c r="I491" s="305">
        <v>699708.31500000006</v>
      </c>
      <c r="J491" s="305">
        <v>527264.29599999997</v>
      </c>
      <c r="K491" s="305">
        <v>431898.97899999999</v>
      </c>
      <c r="L491" s="305">
        <v>22774.343000000001</v>
      </c>
      <c r="M491" s="305">
        <v>582999.72200000007</v>
      </c>
      <c r="N491" s="305">
        <v>538245.74699999997</v>
      </c>
    </row>
    <row r="492" spans="2:14" ht="11.25" customHeight="1" x14ac:dyDescent="0.35">
      <c r="B492" s="244" t="s">
        <v>4934</v>
      </c>
      <c r="C492" s="245">
        <v>123049</v>
      </c>
      <c r="D492" s="279">
        <v>37605615.140000001</v>
      </c>
      <c r="E492" s="305">
        <v>-280805.75599999999</v>
      </c>
      <c r="F492" s="305">
        <v>450625.71</v>
      </c>
      <c r="G492" s="305">
        <v>2392617.642</v>
      </c>
      <c r="H492" s="305">
        <v>30360.861000000001</v>
      </c>
      <c r="I492" s="305">
        <v>187050.09599999999</v>
      </c>
      <c r="J492" s="305">
        <v>-93289.838000000003</v>
      </c>
      <c r="K492" s="305">
        <v>50789.993000000002</v>
      </c>
      <c r="L492" s="305">
        <v>1944.174</v>
      </c>
      <c r="M492" s="305">
        <v>16943.156999999999</v>
      </c>
      <c r="N492" s="305">
        <v>160939.11000000002</v>
      </c>
    </row>
    <row r="493" spans="2:14" ht="11.25" customHeight="1" x14ac:dyDescent="0.35">
      <c r="B493" s="244" t="s">
        <v>5064</v>
      </c>
      <c r="C493" s="245">
        <v>123055</v>
      </c>
      <c r="D493" s="279">
        <v>18979268.046347</v>
      </c>
      <c r="E493" s="305">
        <v>1569.117</v>
      </c>
      <c r="F493" s="305">
        <v>-171235.609</v>
      </c>
      <c r="G493" s="305">
        <v>-69849.392000000007</v>
      </c>
      <c r="H493" s="305">
        <v>221672.272</v>
      </c>
      <c r="I493" s="305">
        <v>-3074.6680000000001</v>
      </c>
      <c r="J493" s="305">
        <v>5474.0140000000001</v>
      </c>
      <c r="K493" s="305">
        <v>1419.2</v>
      </c>
      <c r="L493" s="305">
        <v>-279.27699999999999</v>
      </c>
      <c r="M493" s="305">
        <v>170.06300000000002</v>
      </c>
      <c r="N493" s="305">
        <v>-2063.8209999999999</v>
      </c>
    </row>
    <row r="494" spans="2:14" ht="11.25" customHeight="1" x14ac:dyDescent="0.35">
      <c r="B494" s="244" t="s">
        <v>5063</v>
      </c>
      <c r="C494" s="245">
        <v>123056</v>
      </c>
      <c r="D494" s="279">
        <v>2219741.5070000002</v>
      </c>
      <c r="E494" s="305">
        <v>0</v>
      </c>
      <c r="F494" s="305">
        <v>0</v>
      </c>
      <c r="G494" s="305">
        <v>0</v>
      </c>
      <c r="H494" s="305">
        <v>135111.98500000002</v>
      </c>
      <c r="I494" s="305">
        <v>0</v>
      </c>
      <c r="J494" s="305">
        <v>0</v>
      </c>
      <c r="K494" s="305">
        <v>0</v>
      </c>
      <c r="L494" s="305">
        <v>0</v>
      </c>
      <c r="M494" s="305">
        <v>0</v>
      </c>
      <c r="N494" s="305">
        <v>0</v>
      </c>
    </row>
    <row r="495" spans="2:14" ht="11.25" customHeight="1" x14ac:dyDescent="0.35">
      <c r="B495" s="244" t="s">
        <v>5062</v>
      </c>
      <c r="C495" s="245">
        <v>123057</v>
      </c>
      <c r="D495" s="279">
        <v>-3454597.5383310001</v>
      </c>
      <c r="E495" s="305">
        <v>250000</v>
      </c>
      <c r="F495" s="305">
        <v>20864.312000000002</v>
      </c>
      <c r="G495" s="305">
        <v>0</v>
      </c>
      <c r="H495" s="305">
        <v>0</v>
      </c>
      <c r="I495" s="305">
        <v>0</v>
      </c>
      <c r="J495" s="305">
        <v>35475.671000000002</v>
      </c>
      <c r="K495" s="305">
        <v>-130000</v>
      </c>
      <c r="L495" s="305">
        <v>0</v>
      </c>
      <c r="M495" s="305">
        <v>-12116.557000000001</v>
      </c>
      <c r="N495" s="305">
        <v>0</v>
      </c>
    </row>
    <row r="496" spans="2:14" ht="11.25" customHeight="1" x14ac:dyDescent="0.35">
      <c r="B496" s="244" t="s">
        <v>5061</v>
      </c>
      <c r="C496" s="247">
        <v>123058</v>
      </c>
      <c r="D496" s="279">
        <v>-27465336.322999999</v>
      </c>
      <c r="E496" s="305">
        <v>0</v>
      </c>
      <c r="F496" s="305">
        <v>-22500</v>
      </c>
      <c r="G496" s="305">
        <v>-1473219.9129999999</v>
      </c>
      <c r="H496" s="305">
        <v>0</v>
      </c>
      <c r="I496" s="305">
        <v>-170000</v>
      </c>
      <c r="J496" s="305">
        <v>0</v>
      </c>
      <c r="K496" s="305">
        <v>0</v>
      </c>
      <c r="L496" s="305">
        <v>0</v>
      </c>
      <c r="M496" s="305">
        <v>-322883.44300000003</v>
      </c>
      <c r="N496" s="305">
        <v>-135000</v>
      </c>
    </row>
    <row r="497" spans="2:14" ht="11.25" customHeight="1" x14ac:dyDescent="0.35">
      <c r="B497" s="244" t="s">
        <v>5060</v>
      </c>
      <c r="C497" s="247">
        <v>123059</v>
      </c>
      <c r="D497" s="279">
        <v>-4414509.46</v>
      </c>
      <c r="E497" s="305">
        <v>-21677.757000000001</v>
      </c>
      <c r="F497" s="305">
        <v>-43942.773000000001</v>
      </c>
      <c r="G497" s="305">
        <v>359512.09500000003</v>
      </c>
      <c r="H497" s="305">
        <v>-266033.74400000001</v>
      </c>
      <c r="I497" s="305">
        <v>6275.3</v>
      </c>
      <c r="J497" s="305">
        <v>6196.6660000000002</v>
      </c>
      <c r="K497" s="305">
        <v>-27119.8</v>
      </c>
      <c r="L497" s="305">
        <v>-2939.105</v>
      </c>
      <c r="M497" s="305">
        <v>4349.5600000000004</v>
      </c>
      <c r="N497" s="305">
        <v>4937.3109999999997</v>
      </c>
    </row>
    <row r="498" spans="2:14" ht="11.25" customHeight="1" x14ac:dyDescent="0.35">
      <c r="B498" s="244" t="s">
        <v>5059</v>
      </c>
      <c r="C498" s="245">
        <v>123060</v>
      </c>
      <c r="D498" s="279">
        <v>353968596.65167499</v>
      </c>
      <c r="E498" s="305">
        <v>518428.35700000002</v>
      </c>
      <c r="F498" s="305">
        <v>842597.81700000004</v>
      </c>
      <c r="G498" s="305">
        <v>10839119.252</v>
      </c>
      <c r="H498" s="305">
        <v>2795657.2179999999</v>
      </c>
      <c r="I498" s="305">
        <v>719959.04300000006</v>
      </c>
      <c r="J498" s="305">
        <v>481120.80900000001</v>
      </c>
      <c r="K498" s="305">
        <v>326988.37200000003</v>
      </c>
      <c r="L498" s="305">
        <v>21500.135000000002</v>
      </c>
      <c r="M498" s="305">
        <v>269462.50199999998</v>
      </c>
      <c r="N498" s="305">
        <v>567058.34700000007</v>
      </c>
    </row>
    <row r="499" spans="2:14" ht="11.25" customHeight="1" thickBot="1" x14ac:dyDescent="0.4">
      <c r="B499" s="249"/>
      <c r="C499" s="250"/>
      <c r="D499" s="280"/>
      <c r="E499" s="325"/>
      <c r="F499" s="325"/>
      <c r="G499" s="325"/>
      <c r="H499" s="325"/>
      <c r="I499" s="325"/>
      <c r="J499" s="325"/>
      <c r="K499" s="325"/>
      <c r="L499" s="325"/>
      <c r="M499" s="325"/>
      <c r="N499" s="325"/>
    </row>
    <row r="500" spans="2:14" ht="11.25" customHeight="1" thickBot="1" x14ac:dyDescent="0.4">
      <c r="B500" s="265" t="s">
        <v>5356</v>
      </c>
      <c r="C500" s="253"/>
      <c r="D500" s="253"/>
      <c r="E500" s="253"/>
      <c r="F500" s="253"/>
      <c r="G500" s="253"/>
      <c r="H500" s="253"/>
      <c r="I500" s="253"/>
      <c r="J500" s="253"/>
      <c r="K500" s="253"/>
      <c r="L500" s="253"/>
      <c r="M500" s="253"/>
      <c r="N500" s="253"/>
    </row>
    <row r="501" spans="2:14" ht="11.25" customHeight="1" x14ac:dyDescent="0.35">
      <c r="B501" s="246" t="s">
        <v>4978</v>
      </c>
      <c r="C501" s="245"/>
      <c r="D501" s="279"/>
      <c r="E501" s="305"/>
      <c r="F501" s="305"/>
      <c r="G501" s="305"/>
      <c r="H501" s="305"/>
      <c r="I501" s="305"/>
      <c r="J501" s="305"/>
      <c r="K501" s="305"/>
      <c r="L501" s="305"/>
      <c r="M501" s="305"/>
      <c r="N501" s="305"/>
    </row>
    <row r="502" spans="2:14" ht="11.25" customHeight="1" x14ac:dyDescent="0.35">
      <c r="B502" s="244" t="s">
        <v>5155</v>
      </c>
      <c r="C502" s="247">
        <v>123585</v>
      </c>
      <c r="D502" s="278">
        <v>15.0578197</v>
      </c>
      <c r="E502" s="307">
        <v>-6.4775814</v>
      </c>
      <c r="F502" s="307">
        <v>70.605298599999998</v>
      </c>
      <c r="G502" s="307">
        <v>-5.7778136</v>
      </c>
      <c r="H502" s="307">
        <v>5.5532392000000002</v>
      </c>
      <c r="I502" s="307">
        <v>-0.96743210000000002</v>
      </c>
      <c r="J502" s="307">
        <v>-13.863522</v>
      </c>
      <c r="K502" s="307">
        <v>11.7298831</v>
      </c>
      <c r="L502" s="307">
        <v>-6.3813225999999998</v>
      </c>
      <c r="M502" s="307">
        <v>-1.6461650000000001</v>
      </c>
      <c r="N502" s="307">
        <v>3.1189239</v>
      </c>
    </row>
    <row r="503" spans="2:14" ht="11.25" customHeight="1" x14ac:dyDescent="0.35">
      <c r="B503" s="244" t="s">
        <v>4983</v>
      </c>
      <c r="C503" s="245">
        <v>123586</v>
      </c>
      <c r="D503" s="278">
        <v>38.894212099999997</v>
      </c>
      <c r="E503" s="307">
        <v>435.0998151</v>
      </c>
      <c r="F503" s="307">
        <v>44.1134336</v>
      </c>
      <c r="G503" s="307">
        <v>40.545288900000003</v>
      </c>
      <c r="H503" s="307">
        <v>65.724370300000004</v>
      </c>
      <c r="I503" s="307">
        <v>44.232025499999999</v>
      </c>
      <c r="J503" s="307">
        <v>51.040046199999999</v>
      </c>
      <c r="K503" s="307">
        <v>75.184796399999996</v>
      </c>
      <c r="L503" s="307">
        <v>108.9439552</v>
      </c>
      <c r="M503" s="307">
        <v>48.929979799999998</v>
      </c>
      <c r="N503" s="307">
        <v>42.626300800000003</v>
      </c>
    </row>
    <row r="504" spans="2:14" ht="11.25" customHeight="1" x14ac:dyDescent="0.35">
      <c r="B504" s="244" t="s">
        <v>5154</v>
      </c>
      <c r="C504" s="247">
        <v>123587</v>
      </c>
      <c r="D504" s="278">
        <v>9.1075099999999996</v>
      </c>
      <c r="E504" s="307">
        <v>14.669673299999999</v>
      </c>
      <c r="F504" s="307">
        <v>7.0204119</v>
      </c>
      <c r="G504" s="307">
        <v>13.5614589</v>
      </c>
      <c r="H504" s="307">
        <v>8.8589809000000006</v>
      </c>
      <c r="I504" s="307">
        <v>23.010945299999999</v>
      </c>
      <c r="J504" s="307">
        <v>8.3173524000000008</v>
      </c>
      <c r="K504" s="307">
        <v>20.9750002</v>
      </c>
      <c r="L504" s="307">
        <v>31.683381300000001</v>
      </c>
      <c r="M504" s="307">
        <v>102.443145</v>
      </c>
      <c r="N504" s="307">
        <v>15.8756501</v>
      </c>
    </row>
    <row r="505" spans="2:14" ht="11.25" customHeight="1" x14ac:dyDescent="0.35">
      <c r="B505" s="244" t="s">
        <v>4984</v>
      </c>
      <c r="C505" s="245">
        <v>123588</v>
      </c>
      <c r="D505" s="278">
        <v>8.0435057000000008</v>
      </c>
      <c r="E505" s="307">
        <v>19.03857</v>
      </c>
      <c r="F505" s="307">
        <v>1.2949046</v>
      </c>
      <c r="G505" s="307">
        <v>12.5352291</v>
      </c>
      <c r="H505" s="307">
        <v>19.592348300000001</v>
      </c>
      <c r="I505" s="307">
        <v>18.792340800000002</v>
      </c>
      <c r="J505" s="307">
        <v>9.7294497999999994</v>
      </c>
      <c r="K505" s="307">
        <v>20.5297883</v>
      </c>
      <c r="L505" s="307">
        <v>27.3569569</v>
      </c>
      <c r="M505" s="307">
        <v>113.31221530000001</v>
      </c>
      <c r="N505" s="307">
        <v>20.059506500000001</v>
      </c>
    </row>
    <row r="506" spans="2:14" ht="11.25" customHeight="1" x14ac:dyDescent="0.35">
      <c r="B506" s="244" t="s">
        <v>4946</v>
      </c>
      <c r="C506" s="245"/>
      <c r="D506" s="278"/>
      <c r="E506" s="307"/>
      <c r="F506" s="307"/>
      <c r="G506" s="307"/>
      <c r="H506" s="307"/>
      <c r="I506" s="307"/>
      <c r="J506" s="307"/>
      <c r="K506" s="307"/>
      <c r="L506" s="307"/>
      <c r="M506" s="307"/>
      <c r="N506" s="307"/>
    </row>
    <row r="507" spans="2:14" ht="11.25" customHeight="1" x14ac:dyDescent="0.35">
      <c r="B507" s="246" t="s">
        <v>5153</v>
      </c>
      <c r="C507" s="245"/>
      <c r="D507" s="278"/>
      <c r="E507" s="307"/>
      <c r="F507" s="307"/>
      <c r="G507" s="307"/>
      <c r="H507" s="307"/>
      <c r="I507" s="307"/>
      <c r="J507" s="307"/>
      <c r="K507" s="307"/>
      <c r="L507" s="307"/>
      <c r="M507" s="307"/>
      <c r="N507" s="307"/>
    </row>
    <row r="508" spans="2:14" ht="11.25" customHeight="1" x14ac:dyDescent="0.35">
      <c r="B508" s="244" t="s">
        <v>5152</v>
      </c>
      <c r="C508" s="245">
        <v>123589</v>
      </c>
      <c r="D508" s="279">
        <v>273880407.24300003</v>
      </c>
      <c r="E508" s="305">
        <v>68.372</v>
      </c>
      <c r="F508" s="305">
        <v>0</v>
      </c>
      <c r="G508" s="305">
        <v>1975819.0220000001</v>
      </c>
      <c r="H508" s="305">
        <v>0</v>
      </c>
      <c r="I508" s="305">
        <v>60214.39</v>
      </c>
      <c r="J508" s="305">
        <v>319517.71399999998</v>
      </c>
      <c r="K508" s="305">
        <v>80283.531000000003</v>
      </c>
      <c r="L508" s="305">
        <v>0</v>
      </c>
      <c r="M508" s="305">
        <v>48264.224999999999</v>
      </c>
      <c r="N508" s="305">
        <v>45349.993000000002</v>
      </c>
    </row>
    <row r="509" spans="2:14" ht="11.25" customHeight="1" x14ac:dyDescent="0.35">
      <c r="B509" s="244" t="s">
        <v>5151</v>
      </c>
      <c r="C509" s="245">
        <v>123590</v>
      </c>
      <c r="D509" s="279">
        <v>388401817.458</v>
      </c>
      <c r="E509" s="305">
        <v>36451.83</v>
      </c>
      <c r="F509" s="305">
        <v>0</v>
      </c>
      <c r="G509" s="305">
        <v>17599423.761</v>
      </c>
      <c r="H509" s="305">
        <v>1049633.362</v>
      </c>
      <c r="I509" s="305">
        <v>1065149.6370000001</v>
      </c>
      <c r="J509" s="305">
        <v>276390.36599999998</v>
      </c>
      <c r="K509" s="305">
        <v>570979.85699999996</v>
      </c>
      <c r="L509" s="305">
        <v>92857.205000000002</v>
      </c>
      <c r="M509" s="305">
        <v>443601.239</v>
      </c>
      <c r="N509" s="305">
        <v>1239274.5150000001</v>
      </c>
    </row>
    <row r="510" spans="2:14" ht="11.25" customHeight="1" x14ac:dyDescent="0.35">
      <c r="B510" s="244" t="s">
        <v>5150</v>
      </c>
      <c r="C510" s="247">
        <v>123591</v>
      </c>
      <c r="D510" s="279">
        <v>-17802600.376000002</v>
      </c>
      <c r="E510" s="305">
        <v>249335.106</v>
      </c>
      <c r="F510" s="305">
        <v>605985.58900000004</v>
      </c>
      <c r="G510" s="305">
        <v>-212389.53200000001</v>
      </c>
      <c r="H510" s="305">
        <v>1136635.773</v>
      </c>
      <c r="I510" s="305">
        <v>-235549.08900000001</v>
      </c>
      <c r="J510" s="305">
        <v>-74186.934000000008</v>
      </c>
      <c r="K510" s="305">
        <v>-41231.923999999999</v>
      </c>
      <c r="L510" s="305">
        <v>-78526.364000000001</v>
      </c>
      <c r="M510" s="305">
        <v>-377852.05100000004</v>
      </c>
      <c r="N510" s="305">
        <v>-7153.2930000000006</v>
      </c>
    </row>
    <row r="511" spans="2:14" ht="11.25" customHeight="1" x14ac:dyDescent="0.35">
      <c r="B511" s="244" t="s">
        <v>5149</v>
      </c>
      <c r="C511" s="245" t="s">
        <v>5507</v>
      </c>
      <c r="D511" s="279">
        <v>647273909.29062998</v>
      </c>
      <c r="E511" s="305">
        <v>285855.30900000001</v>
      </c>
      <c r="F511" s="305">
        <v>610258.63500000001</v>
      </c>
      <c r="G511" s="305">
        <v>19362853.251000002</v>
      </c>
      <c r="H511" s="305">
        <v>2186269.1350000002</v>
      </c>
      <c r="I511" s="305">
        <v>889814.93799999997</v>
      </c>
      <c r="J511" s="305">
        <v>532098.125</v>
      </c>
      <c r="K511" s="305">
        <v>610783.09299999999</v>
      </c>
      <c r="L511" s="305">
        <v>14330.841</v>
      </c>
      <c r="M511" s="305">
        <v>114013.413</v>
      </c>
      <c r="N511" s="305">
        <v>1277471.2150000001</v>
      </c>
    </row>
    <row r="512" spans="2:14" ht="11.25" customHeight="1" x14ac:dyDescent="0.35">
      <c r="B512" s="244" t="s">
        <v>5148</v>
      </c>
      <c r="C512" s="245">
        <v>123593</v>
      </c>
      <c r="D512" s="279">
        <v>128647096.12800001</v>
      </c>
      <c r="E512" s="305">
        <v>77.216000000000008</v>
      </c>
      <c r="F512" s="305">
        <v>0</v>
      </c>
      <c r="G512" s="305">
        <v>127044.22100000001</v>
      </c>
      <c r="H512" s="305">
        <v>0</v>
      </c>
      <c r="I512" s="305">
        <v>1351.5440000000001</v>
      </c>
      <c r="J512" s="305">
        <v>46007.396000000001</v>
      </c>
      <c r="K512" s="305">
        <v>302338.27400000003</v>
      </c>
      <c r="L512" s="305">
        <v>0</v>
      </c>
      <c r="M512" s="305">
        <v>0</v>
      </c>
      <c r="N512" s="305">
        <v>0</v>
      </c>
    </row>
    <row r="513" spans="2:14" ht="11.25" customHeight="1" x14ac:dyDescent="0.35">
      <c r="B513" s="244" t="s">
        <v>4946</v>
      </c>
      <c r="C513" s="245"/>
      <c r="D513" s="278"/>
      <c r="E513" s="307"/>
      <c r="F513" s="307"/>
      <c r="G513" s="307"/>
      <c r="H513" s="307"/>
      <c r="I513" s="307"/>
      <c r="J513" s="307"/>
      <c r="K513" s="307"/>
      <c r="L513" s="307"/>
      <c r="M513" s="307"/>
      <c r="N513" s="307"/>
    </row>
    <row r="514" spans="2:14" ht="11.25" customHeight="1" x14ac:dyDescent="0.35">
      <c r="B514" s="244" t="s">
        <v>5147</v>
      </c>
      <c r="C514" s="245">
        <v>123594</v>
      </c>
      <c r="D514" s="278">
        <v>3.0469373000000002</v>
      </c>
      <c r="E514" s="307">
        <v>55.140568600000002</v>
      </c>
      <c r="F514" s="307" t="s">
        <v>29</v>
      </c>
      <c r="G514" s="307">
        <v>-22.041924300000002</v>
      </c>
      <c r="H514" s="307" t="s">
        <v>29</v>
      </c>
      <c r="I514" s="307">
        <v>33.719836399999998</v>
      </c>
      <c r="J514" s="307">
        <v>-24.003790800000001</v>
      </c>
      <c r="K514" s="307">
        <v>6.8925998000000002</v>
      </c>
      <c r="L514" s="307" t="s">
        <v>29</v>
      </c>
      <c r="M514" s="307">
        <v>-0.31593739999999998</v>
      </c>
      <c r="N514" s="307">
        <v>8.6773288999999991</v>
      </c>
    </row>
    <row r="515" spans="2:14" ht="11.25" customHeight="1" x14ac:dyDescent="0.35">
      <c r="B515" s="244" t="s">
        <v>5146</v>
      </c>
      <c r="C515" s="245">
        <v>123595</v>
      </c>
      <c r="D515" s="278">
        <v>1.9834219</v>
      </c>
      <c r="E515" s="307">
        <v>-13.6162694</v>
      </c>
      <c r="F515" s="307" t="s">
        <v>29</v>
      </c>
      <c r="G515" s="307">
        <v>-2.1933902000000001</v>
      </c>
      <c r="H515" s="307">
        <v>6.2213538000000002</v>
      </c>
      <c r="I515" s="307">
        <v>-4.2639161000000003</v>
      </c>
      <c r="J515" s="307">
        <v>4.9996042999999997</v>
      </c>
      <c r="K515" s="307">
        <v>-0.48010730000000001</v>
      </c>
      <c r="L515" s="307">
        <v>-11.6621884</v>
      </c>
      <c r="M515" s="307">
        <v>7.6275202000000002</v>
      </c>
      <c r="N515" s="307">
        <v>2.9015556</v>
      </c>
    </row>
    <row r="516" spans="2:14" ht="11.25" customHeight="1" x14ac:dyDescent="0.35">
      <c r="B516" s="244" t="s">
        <v>5145</v>
      </c>
      <c r="C516" s="245">
        <v>123596</v>
      </c>
      <c r="D516" s="278" t="s">
        <v>2107</v>
      </c>
      <c r="E516" s="307">
        <v>-5.3443041999999998</v>
      </c>
      <c r="F516" s="307">
        <v>75.614827500000004</v>
      </c>
      <c r="G516" s="307" t="s">
        <v>2107</v>
      </c>
      <c r="H516" s="307">
        <v>4.9436857999999999</v>
      </c>
      <c r="I516" s="307" t="s">
        <v>2107</v>
      </c>
      <c r="J516" s="307" t="s">
        <v>2107</v>
      </c>
      <c r="K516" s="307" t="s">
        <v>2107</v>
      </c>
      <c r="L516" s="307" t="s">
        <v>2107</v>
      </c>
      <c r="M516" s="307" t="s">
        <v>2107</v>
      </c>
      <c r="N516" s="307" t="s">
        <v>2107</v>
      </c>
    </row>
    <row r="517" spans="2:14" ht="11.25" customHeight="1" x14ac:dyDescent="0.35">
      <c r="B517" s="244" t="s">
        <v>5144</v>
      </c>
      <c r="C517" s="245">
        <v>123597</v>
      </c>
      <c r="D517" s="278">
        <v>15.0578197</v>
      </c>
      <c r="E517" s="307">
        <v>-6.4775814</v>
      </c>
      <c r="F517" s="307">
        <v>70.605298599999998</v>
      </c>
      <c r="G517" s="307">
        <v>-5.7778136</v>
      </c>
      <c r="H517" s="307">
        <v>5.5532392000000002</v>
      </c>
      <c r="I517" s="307">
        <v>-0.96743210000000002</v>
      </c>
      <c r="J517" s="307">
        <v>-13.863522</v>
      </c>
      <c r="K517" s="307">
        <v>11.7298831</v>
      </c>
      <c r="L517" s="307">
        <v>-6.3813225999999998</v>
      </c>
      <c r="M517" s="307">
        <v>-1.6461650000000001</v>
      </c>
      <c r="N517" s="307">
        <v>3.1189239</v>
      </c>
    </row>
    <row r="518" spans="2:14" ht="11.25" customHeight="1" x14ac:dyDescent="0.35">
      <c r="B518" s="244" t="s">
        <v>5143</v>
      </c>
      <c r="C518" s="247">
        <v>123598</v>
      </c>
      <c r="D518" s="278">
        <v>13.7228709</v>
      </c>
      <c r="E518" s="307" t="s">
        <v>2107</v>
      </c>
      <c r="F518" s="307" t="s">
        <v>29</v>
      </c>
      <c r="G518" s="307">
        <v>13.6352633</v>
      </c>
      <c r="H518" s="307" t="s">
        <v>29</v>
      </c>
      <c r="I518" s="307">
        <v>3.6538816999999999</v>
      </c>
      <c r="J518" s="307">
        <v>139.94217699999999</v>
      </c>
      <c r="K518" s="307">
        <v>13.2475533</v>
      </c>
      <c r="L518" s="307" t="s">
        <v>29</v>
      </c>
      <c r="M518" s="307" t="s">
        <v>29</v>
      </c>
      <c r="N518" s="307" t="s">
        <v>29</v>
      </c>
    </row>
    <row r="519" spans="2:14" ht="11.25" customHeight="1" x14ac:dyDescent="0.35">
      <c r="B519" s="246" t="s">
        <v>4946</v>
      </c>
      <c r="C519" s="247"/>
      <c r="D519" s="248"/>
      <c r="E519" s="322"/>
      <c r="F519" s="322"/>
      <c r="G519" s="322"/>
      <c r="H519" s="322"/>
      <c r="I519" s="322"/>
      <c r="J519" s="322"/>
      <c r="K519" s="322"/>
      <c r="L519" s="322"/>
      <c r="M519" s="322"/>
      <c r="N519" s="322"/>
    </row>
    <row r="520" spans="2:14" ht="11.25" customHeight="1" x14ac:dyDescent="0.35">
      <c r="B520" s="246" t="s">
        <v>5142</v>
      </c>
      <c r="C520" s="245"/>
      <c r="D520" s="278"/>
      <c r="E520" s="307"/>
      <c r="F520" s="307"/>
      <c r="G520" s="307"/>
      <c r="H520" s="307"/>
      <c r="I520" s="307"/>
      <c r="J520" s="307"/>
      <c r="K520" s="307"/>
      <c r="L520" s="307"/>
      <c r="M520" s="307"/>
      <c r="N520" s="307"/>
    </row>
    <row r="521" spans="2:14" ht="11.25" customHeight="1" x14ac:dyDescent="0.35">
      <c r="B521" s="244" t="s">
        <v>5140</v>
      </c>
      <c r="C521" s="245">
        <v>123599</v>
      </c>
      <c r="D521" s="278">
        <v>6.7484335</v>
      </c>
      <c r="E521" s="307">
        <v>5.2380015999999996</v>
      </c>
      <c r="F521" s="307" t="s">
        <v>29</v>
      </c>
      <c r="G521" s="307">
        <v>0.203792</v>
      </c>
      <c r="H521" s="307" t="s">
        <v>29</v>
      </c>
      <c r="I521" s="307">
        <v>2.9066458000000002</v>
      </c>
      <c r="J521" s="307">
        <v>0.52333200000000002</v>
      </c>
      <c r="K521" s="307">
        <v>1.7117163</v>
      </c>
      <c r="L521" s="307">
        <v>0.30191489999999999</v>
      </c>
      <c r="M521" s="307">
        <v>13.2219426</v>
      </c>
      <c r="N521" s="307">
        <v>6.0217583000000001</v>
      </c>
    </row>
    <row r="522" spans="2:14" ht="11.25" customHeight="1" x14ac:dyDescent="0.35">
      <c r="B522" s="244" t="s">
        <v>5139</v>
      </c>
      <c r="C522" s="245">
        <v>123600</v>
      </c>
      <c r="D522" s="278">
        <v>29.384380400000001</v>
      </c>
      <c r="E522" s="307">
        <v>20.0241981</v>
      </c>
      <c r="F522" s="307" t="s">
        <v>29</v>
      </c>
      <c r="G522" s="307">
        <v>0.34629799999999999</v>
      </c>
      <c r="H522" s="307" t="s">
        <v>29</v>
      </c>
      <c r="I522" s="307">
        <v>7.8999712000000004</v>
      </c>
      <c r="J522" s="307">
        <v>97.566724100000002</v>
      </c>
      <c r="K522" s="307">
        <v>4.3001111999999999</v>
      </c>
      <c r="L522" s="307">
        <v>2.1929905000000001</v>
      </c>
      <c r="M522" s="307">
        <v>42.990879700000001</v>
      </c>
      <c r="N522" s="307">
        <v>6.6804296000000001</v>
      </c>
    </row>
    <row r="523" spans="2:14" ht="11.25" customHeight="1" x14ac:dyDescent="0.35">
      <c r="B523" s="244" t="s">
        <v>5138</v>
      </c>
      <c r="C523" s="245">
        <v>123601</v>
      </c>
      <c r="D523" s="278">
        <v>16.911910500000001</v>
      </c>
      <c r="E523" s="307">
        <v>16.866060399999999</v>
      </c>
      <c r="F523" s="307" t="s">
        <v>29</v>
      </c>
      <c r="G523" s="307">
        <v>1.4727368000000001</v>
      </c>
      <c r="H523" s="307" t="s">
        <v>29</v>
      </c>
      <c r="I523" s="307">
        <v>46.0991596</v>
      </c>
      <c r="J523" s="307">
        <v>0.96783620000000004</v>
      </c>
      <c r="K523" s="307">
        <v>11.826762199999999</v>
      </c>
      <c r="L523" s="307">
        <v>30.418922500000001</v>
      </c>
      <c r="M523" s="307">
        <v>13.0799536</v>
      </c>
      <c r="N523" s="307">
        <v>40.412875999999997</v>
      </c>
    </row>
    <row r="524" spans="2:14" ht="11.25" customHeight="1" x14ac:dyDescent="0.35">
      <c r="B524" s="244" t="s">
        <v>5137</v>
      </c>
      <c r="C524" s="245">
        <v>123602</v>
      </c>
      <c r="D524" s="278">
        <v>22.197402</v>
      </c>
      <c r="E524" s="307">
        <v>30.126737599999998</v>
      </c>
      <c r="F524" s="307" t="s">
        <v>29</v>
      </c>
      <c r="G524" s="307">
        <v>0.89443079999999997</v>
      </c>
      <c r="H524" s="307" t="s">
        <v>29</v>
      </c>
      <c r="I524" s="307">
        <v>22.370112800000001</v>
      </c>
      <c r="J524" s="307">
        <v>0.49938959999999999</v>
      </c>
      <c r="K524" s="307">
        <v>71.109069300000002</v>
      </c>
      <c r="L524" s="307">
        <v>46.140433100000003</v>
      </c>
      <c r="M524" s="307">
        <v>13.469843600000001</v>
      </c>
      <c r="N524" s="307">
        <v>15.295576799999999</v>
      </c>
    </row>
    <row r="525" spans="2:14" ht="11.25" customHeight="1" x14ac:dyDescent="0.35">
      <c r="B525" s="244" t="s">
        <v>5136</v>
      </c>
      <c r="C525" s="245">
        <v>123603</v>
      </c>
      <c r="D525" s="278">
        <v>9.5805697999999992</v>
      </c>
      <c r="E525" s="307">
        <v>13.2919394</v>
      </c>
      <c r="F525" s="307" t="s">
        <v>29</v>
      </c>
      <c r="G525" s="307">
        <v>0.80901670000000003</v>
      </c>
      <c r="H525" s="307" t="s">
        <v>29</v>
      </c>
      <c r="I525" s="307">
        <v>13.5554951</v>
      </c>
      <c r="J525" s="307">
        <v>0.1532386</v>
      </c>
      <c r="K525" s="307">
        <v>4.5227772000000002</v>
      </c>
      <c r="L525" s="307">
        <v>15.0554287</v>
      </c>
      <c r="M525" s="307">
        <v>5.7424100999999999</v>
      </c>
      <c r="N525" s="307">
        <v>16.685410000000001</v>
      </c>
    </row>
    <row r="526" spans="2:14" ht="11.25" customHeight="1" x14ac:dyDescent="0.35">
      <c r="B526" s="244" t="s">
        <v>5135</v>
      </c>
      <c r="C526" s="247">
        <v>123604</v>
      </c>
      <c r="D526" s="278">
        <v>13.618577399999999</v>
      </c>
      <c r="E526" s="307">
        <v>14.375678499999999</v>
      </c>
      <c r="F526" s="307" t="s">
        <v>29</v>
      </c>
      <c r="G526" s="307">
        <v>0.64356080000000004</v>
      </c>
      <c r="H526" s="307" t="s">
        <v>29</v>
      </c>
      <c r="I526" s="307">
        <v>7.1411430999999999</v>
      </c>
      <c r="J526" s="307">
        <v>0.28393849999999998</v>
      </c>
      <c r="K526" s="307">
        <v>5.7172910000000003</v>
      </c>
      <c r="L526" s="307">
        <v>5.8878174999999997</v>
      </c>
      <c r="M526" s="307">
        <v>11.167036599999999</v>
      </c>
      <c r="N526" s="307">
        <v>14.899754400000001</v>
      </c>
    </row>
    <row r="527" spans="2:14" ht="11.25" customHeight="1" x14ac:dyDescent="0.35">
      <c r="B527" s="246" t="s">
        <v>4946</v>
      </c>
      <c r="C527" s="247"/>
      <c r="D527" s="278"/>
      <c r="E527" s="307"/>
      <c r="F527" s="307"/>
      <c r="G527" s="307"/>
      <c r="H527" s="307"/>
      <c r="I527" s="307"/>
      <c r="J527" s="307"/>
      <c r="K527" s="307"/>
      <c r="L527" s="307"/>
      <c r="M527" s="307"/>
      <c r="N527" s="307"/>
    </row>
    <row r="528" spans="2:14" ht="11.25" customHeight="1" x14ac:dyDescent="0.35">
      <c r="B528" s="246" t="s">
        <v>5141</v>
      </c>
      <c r="C528" s="247"/>
      <c r="D528" s="278"/>
      <c r="E528" s="307"/>
      <c r="F528" s="307"/>
      <c r="G528" s="307"/>
      <c r="H528" s="307"/>
      <c r="I528" s="307"/>
      <c r="J528" s="307"/>
      <c r="K528" s="307"/>
      <c r="L528" s="307"/>
      <c r="M528" s="307"/>
      <c r="N528" s="307"/>
    </row>
    <row r="529" spans="2:14" ht="11.25" customHeight="1" x14ac:dyDescent="0.35">
      <c r="B529" s="244" t="s">
        <v>5140</v>
      </c>
      <c r="C529" s="247">
        <v>123862</v>
      </c>
      <c r="D529" s="278">
        <v>4.9374517999999998</v>
      </c>
      <c r="E529" s="307">
        <v>2.0542113999999998</v>
      </c>
      <c r="F529" s="307" t="s">
        <v>29</v>
      </c>
      <c r="G529" s="307">
        <v>1.0498795999999999</v>
      </c>
      <c r="H529" s="307">
        <v>2.6666672999999999</v>
      </c>
      <c r="I529" s="307">
        <v>6.3708837000000003</v>
      </c>
      <c r="J529" s="307">
        <v>1.2648621</v>
      </c>
      <c r="K529" s="307">
        <v>1.3479235000000001</v>
      </c>
      <c r="L529" s="307">
        <v>0.70085160000000002</v>
      </c>
      <c r="M529" s="307">
        <v>7.8419154000000004</v>
      </c>
      <c r="N529" s="307">
        <v>7.4678050999999996</v>
      </c>
    </row>
    <row r="530" spans="2:14" ht="11.25" customHeight="1" x14ac:dyDescent="0.35">
      <c r="B530" s="244" t="s">
        <v>5139</v>
      </c>
      <c r="C530" s="245">
        <v>123863</v>
      </c>
      <c r="D530" s="278">
        <v>15.4443302</v>
      </c>
      <c r="E530" s="278">
        <v>8.1135515999999992</v>
      </c>
      <c r="F530" s="278" t="s">
        <v>29</v>
      </c>
      <c r="G530" s="278">
        <v>3.0004849</v>
      </c>
      <c r="H530" s="278">
        <v>11.810809600000001</v>
      </c>
      <c r="I530" s="278">
        <v>15.910693200000001</v>
      </c>
      <c r="J530" s="278">
        <v>92.366670900000003</v>
      </c>
      <c r="K530" s="278">
        <v>3.8649008</v>
      </c>
      <c r="L530" s="278">
        <v>5.0979017999999998</v>
      </c>
      <c r="M530" s="278">
        <v>30.0524266</v>
      </c>
      <c r="N530" s="278">
        <v>6.4326717999999996</v>
      </c>
    </row>
    <row r="531" spans="2:14" ht="11.25" customHeight="1" x14ac:dyDescent="0.35">
      <c r="B531" s="244" t="s">
        <v>5138</v>
      </c>
      <c r="C531" s="245">
        <v>123864</v>
      </c>
      <c r="D531" s="278">
        <v>21.005785500000002</v>
      </c>
      <c r="E531" s="278">
        <v>18.179443899999999</v>
      </c>
      <c r="F531" s="278" t="s">
        <v>29</v>
      </c>
      <c r="G531" s="278">
        <v>8.8742740999999992</v>
      </c>
      <c r="H531" s="278">
        <v>22.219987700000001</v>
      </c>
      <c r="I531" s="278">
        <v>26.663105300000002</v>
      </c>
      <c r="J531" s="278">
        <v>4.7398034999999998</v>
      </c>
      <c r="K531" s="278">
        <v>19.459025799999999</v>
      </c>
      <c r="L531" s="278">
        <v>26.3137565</v>
      </c>
      <c r="M531" s="278">
        <v>19.8392062</v>
      </c>
      <c r="N531" s="278">
        <v>38.7050774</v>
      </c>
    </row>
    <row r="532" spans="2:14" ht="11.25" customHeight="1" x14ac:dyDescent="0.35">
      <c r="B532" s="244" t="s">
        <v>5137</v>
      </c>
      <c r="C532" s="245">
        <v>123865</v>
      </c>
      <c r="D532" s="278">
        <v>21.781914400000002</v>
      </c>
      <c r="E532" s="278">
        <v>23.319286999999999</v>
      </c>
      <c r="F532" s="278" t="s">
        <v>29</v>
      </c>
      <c r="G532" s="278">
        <v>7.3043550000000002</v>
      </c>
      <c r="H532" s="278">
        <v>37.105250499999997</v>
      </c>
      <c r="I532" s="278">
        <v>23.0722062</v>
      </c>
      <c r="J532" s="278">
        <v>0.30119659999999998</v>
      </c>
      <c r="K532" s="278">
        <v>52.806736800000003</v>
      </c>
      <c r="L532" s="278">
        <v>48.726777400000003</v>
      </c>
      <c r="M532" s="278">
        <v>16.441483399999999</v>
      </c>
      <c r="N532" s="278">
        <v>14.2809159</v>
      </c>
    </row>
    <row r="533" spans="2:14" ht="11.25" customHeight="1" x14ac:dyDescent="0.35">
      <c r="B533" s="292" t="s">
        <v>5136</v>
      </c>
      <c r="C533" s="245">
        <v>123866</v>
      </c>
      <c r="D533" s="278">
        <v>13.808043100000001</v>
      </c>
      <c r="E533" s="278">
        <v>21.041400400000001</v>
      </c>
      <c r="F533" s="278" t="s">
        <v>29</v>
      </c>
      <c r="G533" s="278">
        <v>4.5760418999999999</v>
      </c>
      <c r="H533" s="278">
        <v>12.292851799999999</v>
      </c>
      <c r="I533" s="278">
        <v>11.6016201</v>
      </c>
      <c r="J533" s="278">
        <v>0.34321220000000002</v>
      </c>
      <c r="K533" s="278">
        <v>13.676295100000001</v>
      </c>
      <c r="L533" s="278">
        <v>14.0681428</v>
      </c>
      <c r="M533" s="278">
        <v>10.900956799999999</v>
      </c>
      <c r="N533" s="278">
        <v>16.0963314</v>
      </c>
    </row>
    <row r="534" spans="2:14" ht="11.25" customHeight="1" x14ac:dyDescent="0.35">
      <c r="B534" s="244" t="s">
        <v>5135</v>
      </c>
      <c r="C534" s="245">
        <v>123867</v>
      </c>
      <c r="D534" s="278">
        <v>15.4170672</v>
      </c>
      <c r="E534" s="278">
        <v>27.2213025</v>
      </c>
      <c r="F534" s="278" t="s">
        <v>29</v>
      </c>
      <c r="G534" s="278">
        <v>5.1734974999999999</v>
      </c>
      <c r="H534" s="278">
        <v>13.0869293</v>
      </c>
      <c r="I534" s="278">
        <v>16.2122019</v>
      </c>
      <c r="J534" s="278">
        <v>0.98425479999999999</v>
      </c>
      <c r="K534" s="278">
        <v>6.3524833999999997</v>
      </c>
      <c r="L534" s="278">
        <v>5.0722924000000003</v>
      </c>
      <c r="M534" s="278">
        <v>14.870628999999999</v>
      </c>
      <c r="N534" s="278">
        <v>17.005195199999999</v>
      </c>
    </row>
    <row r="535" spans="2:14" ht="11.25" customHeight="1" x14ac:dyDescent="0.35">
      <c r="B535" s="244" t="s">
        <v>4946</v>
      </c>
      <c r="C535" s="247"/>
      <c r="D535" s="278"/>
      <c r="E535" s="307"/>
      <c r="F535" s="307"/>
      <c r="G535" s="307"/>
      <c r="H535" s="307"/>
      <c r="I535" s="307"/>
      <c r="J535" s="307"/>
      <c r="K535" s="307"/>
      <c r="L535" s="307"/>
      <c r="M535" s="307"/>
      <c r="N535" s="307"/>
    </row>
    <row r="536" spans="2:14" ht="11.25" customHeight="1" x14ac:dyDescent="0.35">
      <c r="B536" s="246" t="s">
        <v>5134</v>
      </c>
      <c r="C536" s="245"/>
      <c r="D536" s="278"/>
      <c r="E536" s="307"/>
      <c r="F536" s="307"/>
      <c r="G536" s="307"/>
      <c r="H536" s="307"/>
      <c r="I536" s="307"/>
      <c r="J536" s="307"/>
      <c r="K536" s="307"/>
      <c r="L536" s="307"/>
      <c r="M536" s="307"/>
      <c r="N536" s="307"/>
    </row>
    <row r="537" spans="2:14" ht="11.25" customHeight="1" x14ac:dyDescent="0.35">
      <c r="B537" s="244" t="s">
        <v>5477</v>
      </c>
      <c r="C537" s="245" t="s">
        <v>5507</v>
      </c>
      <c r="D537" s="279">
        <v>647273909.29062998</v>
      </c>
      <c r="E537" s="305">
        <v>285855.30900000001</v>
      </c>
      <c r="F537" s="305">
        <v>610258.63500000001</v>
      </c>
      <c r="G537" s="305">
        <v>19362853.251000002</v>
      </c>
      <c r="H537" s="305">
        <v>2186269.1350000002</v>
      </c>
      <c r="I537" s="305">
        <v>889814.93799999997</v>
      </c>
      <c r="J537" s="305">
        <v>532098.125</v>
      </c>
      <c r="K537" s="305">
        <v>610783.09299999999</v>
      </c>
      <c r="L537" s="305">
        <v>14330.841</v>
      </c>
      <c r="M537" s="305">
        <v>114013.413</v>
      </c>
      <c r="N537" s="305">
        <v>1277471.2150000001</v>
      </c>
    </row>
    <row r="538" spans="2:14" ht="11.25" customHeight="1" x14ac:dyDescent="0.35">
      <c r="B538" s="292" t="s">
        <v>4946</v>
      </c>
      <c r="C538" s="245"/>
      <c r="D538" s="278"/>
      <c r="E538" s="307"/>
      <c r="F538" s="307"/>
      <c r="G538" s="307"/>
      <c r="H538" s="307"/>
      <c r="I538" s="307"/>
      <c r="J538" s="307"/>
      <c r="K538" s="307"/>
      <c r="L538" s="307"/>
      <c r="M538" s="307"/>
      <c r="N538" s="307"/>
    </row>
    <row r="539" spans="2:14" ht="11.25" customHeight="1" x14ac:dyDescent="0.35">
      <c r="B539" s="244" t="s">
        <v>5130</v>
      </c>
      <c r="C539" s="245"/>
      <c r="D539" s="278">
        <f>IF(LEFT(D$6,4)&gt;"2018",D555,D558)</f>
        <v>20.686921600000002</v>
      </c>
      <c r="E539" s="278">
        <f>IF(LEFT(E$6,4)&gt;"2018",E555,E558)</f>
        <v>5.7512841000000003</v>
      </c>
      <c r="F539" s="278">
        <f>IF(LEFT(F$6,4)&gt;"2018",F555,F558)</f>
        <v>99.173962200000005</v>
      </c>
      <c r="G539" s="278">
        <f>IF(LEFT(G$6,4)&gt;"2018",G555,G558)</f>
        <v>24.635034900000001</v>
      </c>
      <c r="H539" s="278">
        <f>IF(LEFT(H$6,4)&gt;"2018",H555,H558)</f>
        <v>0</v>
      </c>
      <c r="I539" s="278">
        <f>IF(LEFT(I$6,4)&gt;"2018",I555,I558)</f>
        <v>31.449392499999998</v>
      </c>
      <c r="J539" s="278">
        <f>IF(LEFT(J$6,4)&gt;"2018",J555,J558)</f>
        <v>8.6412593999999991</v>
      </c>
      <c r="K539" s="278">
        <f>IF(LEFT(K$6,4)&gt;"2018",K555,K558)</f>
        <v>4.4192318999999998</v>
      </c>
      <c r="L539" s="278">
        <f>IF(LEFT(L$6,4)&gt;"2018",L555,L558)</f>
        <v>35.880183199999998</v>
      </c>
      <c r="M539" s="278">
        <f>IF(LEFT(M$6,4)&gt;"2018",M555,M558)</f>
        <v>1.2152816</v>
      </c>
      <c r="N539" s="278">
        <f>IF(LEFT(N$6,4)&gt;"2018",N555,N558)</f>
        <v>20.793620700000002</v>
      </c>
    </row>
    <row r="540" spans="2:14" ht="11.25" customHeight="1" x14ac:dyDescent="0.35">
      <c r="B540" s="244" t="s">
        <v>5129</v>
      </c>
      <c r="C540" s="245"/>
      <c r="D540" s="278">
        <f>IF(LEFT(D$6,4)&gt;"2018",D556,D559)</f>
        <v>54.5091757</v>
      </c>
      <c r="E540" s="278">
        <f>IF(LEFT(E$6,4)&gt;"2018",E556,E559)</f>
        <v>6.1406821999999996</v>
      </c>
      <c r="F540" s="278">
        <f>IF(LEFT(F$6,4)&gt;"2018",F556,F559)</f>
        <v>3.1687100000000003E-2</v>
      </c>
      <c r="G540" s="278">
        <f>IF(LEFT(G$6,4)&gt;"2018",G556,G559)</f>
        <v>4.0200212999999998</v>
      </c>
      <c r="H540" s="278">
        <f>IF(LEFT(H$6,4)&gt;"2018",H556,H559)</f>
        <v>0</v>
      </c>
      <c r="I540" s="278">
        <f>IF(LEFT(I$6,4)&gt;"2018",I556,I559)</f>
        <v>0</v>
      </c>
      <c r="J540" s="278">
        <f>IF(LEFT(J$6,4)&gt;"2018",J556,J559)</f>
        <v>55.664485599999999</v>
      </c>
      <c r="K540" s="278">
        <f>IF(LEFT(K$6,4)&gt;"2018",K556,K559)</f>
        <v>0.41787489999999999</v>
      </c>
      <c r="L540" s="278">
        <f>IF(LEFT(L$6,4)&gt;"2018",L556,L559)</f>
        <v>1.1570919</v>
      </c>
      <c r="M540" s="278">
        <f>IF(LEFT(M$6,4)&gt;"2018",M556,M559)</f>
        <v>0</v>
      </c>
      <c r="N540" s="278">
        <f>IF(LEFT(N$6,4)&gt;"2018",N556,N559)</f>
        <v>0</v>
      </c>
    </row>
    <row r="541" spans="2:14" ht="11.25" customHeight="1" x14ac:dyDescent="0.35">
      <c r="B541" s="244" t="s">
        <v>5128</v>
      </c>
      <c r="C541" s="245"/>
      <c r="D541" s="278">
        <f>IF(LEFT(D$6,4)&gt;"2018",D551,D560)</f>
        <v>24.194672499999999</v>
      </c>
      <c r="E541" s="278">
        <f>IF(LEFT(E$6,4)&gt;"2018",E551,E560)</f>
        <v>88.108059600000004</v>
      </c>
      <c r="F541" s="278">
        <f>IF(LEFT(F$6,4)&gt;"2018",F551,F560)</f>
        <v>9.4148300000000004E-2</v>
      </c>
      <c r="G541" s="278">
        <f>IF(LEFT(G$6,4)&gt;"2018",G551,G560)</f>
        <v>71.344943700000002</v>
      </c>
      <c r="H541" s="278">
        <f>IF(LEFT(H$6,4)&gt;"2018",H551,H560)</f>
        <v>100</v>
      </c>
      <c r="I541" s="278">
        <f>IF(LEFT(I$6,4)&gt;"2018",I551,I560)</f>
        <v>68.550127700000004</v>
      </c>
      <c r="J541" s="278">
        <f>IF(LEFT(J$6,4)&gt;"2018",J551,J560)</f>
        <v>33.744054800000001</v>
      </c>
      <c r="K541" s="278">
        <f>IF(LEFT(K$6,4)&gt;"2018",K551,K560)</f>
        <v>95.039833400000006</v>
      </c>
      <c r="L541" s="278">
        <f>IF(LEFT(L$6,4)&gt;"2018",L551,L560)</f>
        <v>62.962724899999998</v>
      </c>
      <c r="M541" s="278">
        <f>IF(LEFT(M$6,4)&gt;"2018",M551,M560)</f>
        <v>98.784718400000003</v>
      </c>
      <c r="N541" s="278">
        <f>IF(LEFT(N$6,4)&gt;"2018",N551,N560)</f>
        <v>79.206379299999995</v>
      </c>
    </row>
    <row r="542" spans="2:14" ht="11.25" customHeight="1" x14ac:dyDescent="0.35">
      <c r="B542" s="244" t="s">
        <v>5387</v>
      </c>
      <c r="C542" s="245"/>
      <c r="D542" s="278">
        <f>IF(LEFT(D$6,4)&gt;"2018","NA",D561)</f>
        <v>0.2145292</v>
      </c>
      <c r="E542" s="278">
        <f>IF(LEFT(E$6,4)&gt;"2018","NA",E561)</f>
        <v>-2.5899999999999999E-5</v>
      </c>
      <c r="F542" s="278">
        <f>IF(LEFT(F$6,4)&gt;"2018","NA",F561)</f>
        <v>0</v>
      </c>
      <c r="G542" s="278">
        <f>IF(LEFT(G$6,4)&gt;"2018","NA",G561)</f>
        <v>0</v>
      </c>
      <c r="H542" s="278">
        <f>IF(LEFT(H$6,4)&gt;"2018","NA",H561)</f>
        <v>0</v>
      </c>
      <c r="I542" s="278">
        <f>IF(LEFT(I$6,4)&gt;"2018","NA",I561)</f>
        <v>4.8000000000000001E-4</v>
      </c>
      <c r="J542" s="278">
        <f>IF(LEFT(J$6,4)&gt;"2018","NA",J561)</f>
        <v>0</v>
      </c>
      <c r="K542" s="278">
        <f>IF(LEFT(K$6,4)&gt;"2018","NA",K561)</f>
        <v>0</v>
      </c>
      <c r="L542" s="278">
        <f>IF(LEFT(L$6,4)&gt;"2018","NA",L561)</f>
        <v>0</v>
      </c>
      <c r="M542" s="278">
        <f>IF(LEFT(M$6,4)&gt;"2018","NA",M561)</f>
        <v>0</v>
      </c>
      <c r="N542" s="278">
        <f>IF(LEFT(N$6,4)&gt;"2018","NA",N561)</f>
        <v>0</v>
      </c>
    </row>
    <row r="543" spans="2:14" ht="11.25" customHeight="1" x14ac:dyDescent="0.35">
      <c r="B543" s="244" t="s">
        <v>5127</v>
      </c>
      <c r="C543" s="245"/>
      <c r="D543" s="278">
        <f>IF(LEFT(D$6)&gt;"2018",IF(COUNT(D552:D554)=0,"NA",SUM(D552:D554)),D562)</f>
        <v>0.39470110000000003</v>
      </c>
      <c r="E543" s="278">
        <f>IF(LEFT(E$6)&gt;"2018",IF(COUNT(E552:E554)=0,"NA",SUM(E552:E554)),E562)</f>
        <v>0</v>
      </c>
      <c r="F543" s="278">
        <f>IF(LEFT(F$6)&gt;"2018",IF(COUNT(F552:F554)=0,"NA",SUM(F552:F554)),F562)</f>
        <v>0.70020249999999995</v>
      </c>
      <c r="G543" s="278">
        <f>IF(LEFT(G$6)&gt;"2018",IF(COUNT(G552:G554)=0,"NA",SUM(G552:G554)),G562)</f>
        <v>0</v>
      </c>
      <c r="H543" s="278">
        <f>IF(LEFT(H$6)&gt;"2018",IF(COUNT(H552:H554)=0,"NA",SUM(H552:H554)),H562)</f>
        <v>0</v>
      </c>
      <c r="I543" s="278">
        <f>IF(LEFT(I$6)&gt;"2018",IF(COUNT(I552:I554)=0,"NA",SUM(I552:I554)),I562)</f>
        <v>0</v>
      </c>
      <c r="J543" s="278">
        <f>IF(LEFT(J$6)&gt;"2018",IF(COUNT(J552:J554)=0,"NA",SUM(J552:J554)),J562)</f>
        <v>1.9502003000000001</v>
      </c>
      <c r="K543" s="278">
        <f>IF(LEFT(K$6)&gt;"2018",IF(COUNT(K552:K554)=0,"NA",SUM(K552:K554)),K562)</f>
        <v>0.1230599</v>
      </c>
      <c r="L543" s="278">
        <f>IF(LEFT(L$6)&gt;"2018",IF(COUNT(L552:L554)=0,"NA",SUM(L552:L554)),L562)</f>
        <v>0</v>
      </c>
      <c r="M543" s="278">
        <f>IF(LEFT(M$6)&gt;"2018",IF(COUNT(M552:M554)=0,"NA",SUM(M552:M554)),M562)</f>
        <v>0</v>
      </c>
      <c r="N543" s="278">
        <f>IF(LEFT(N$6)&gt;"2018",IF(COUNT(N552:N554)=0,"NA",SUM(N552:N554)),N562)</f>
        <v>0</v>
      </c>
    </row>
    <row r="544" spans="2:14" ht="11.25" customHeight="1" x14ac:dyDescent="0.35">
      <c r="B544" s="244" t="s">
        <v>4946</v>
      </c>
      <c r="C544" s="245"/>
      <c r="D544" s="278"/>
      <c r="E544" s="278"/>
      <c r="F544" s="278"/>
      <c r="G544" s="278"/>
      <c r="H544" s="278"/>
      <c r="I544" s="278"/>
      <c r="J544" s="278"/>
      <c r="K544" s="278"/>
      <c r="L544" s="278"/>
      <c r="M544" s="278"/>
      <c r="N544" s="278"/>
    </row>
    <row r="545" spans="2:14" ht="11.25" customHeight="1" x14ac:dyDescent="0.35">
      <c r="B545" s="246" t="s">
        <v>5509</v>
      </c>
      <c r="C545" s="245"/>
      <c r="D545" s="278"/>
      <c r="E545" s="278"/>
      <c r="F545" s="278"/>
      <c r="G545" s="278"/>
      <c r="H545" s="278"/>
      <c r="I545" s="278"/>
      <c r="J545" s="278"/>
      <c r="K545" s="278"/>
      <c r="L545" s="278"/>
      <c r="M545" s="278"/>
      <c r="N545" s="278"/>
    </row>
    <row r="546" spans="2:14" ht="11.25" customHeight="1" x14ac:dyDescent="0.35">
      <c r="B546" s="292" t="s">
        <v>5365</v>
      </c>
      <c r="C546" s="245"/>
      <c r="D546" s="278" t="str">
        <f>IFERROR(100*SUM(D565,D578)/SUM(D$565,D$578),"NA")</f>
        <v>NA</v>
      </c>
      <c r="E546" s="278" t="str">
        <f>IFERROR(100*SUM(E565,E578)/SUM(E$565,E$578),"NA")</f>
        <v>NA</v>
      </c>
      <c r="F546" s="278" t="str">
        <f>IFERROR(100*SUM(F565,F578)/SUM(F$565,F$578),"NA")</f>
        <v>NA</v>
      </c>
      <c r="G546" s="278" t="str">
        <f>IFERROR(100*SUM(G565,G578)/SUM(G$565,G$578),"NA")</f>
        <v>NA</v>
      </c>
      <c r="H546" s="278" t="str">
        <f>IFERROR(100*SUM(H565,H578)/SUM(H$565,H$578),"NA")</f>
        <v>NA</v>
      </c>
      <c r="I546" s="278" t="str">
        <f>IFERROR(100*SUM(I565,I578)/SUM(I$565,I$578),"NA")</f>
        <v>NA</v>
      </c>
      <c r="J546" s="278" t="str">
        <f>IFERROR(100*SUM(J565,J578)/SUM(J$565,J$578),"NA")</f>
        <v>NA</v>
      </c>
      <c r="K546" s="278" t="str">
        <f>IFERROR(100*SUM(K565,K578)/SUM(K$565,K$578),"NA")</f>
        <v>NA</v>
      </c>
      <c r="L546" s="278" t="str">
        <f>IFERROR(100*SUM(L565,L578)/SUM(L$565,L$578),"NA")</f>
        <v>NA</v>
      </c>
      <c r="M546" s="278" t="str">
        <f>IFERROR(100*SUM(M565,M578)/SUM(M$565,M$578),"NA")</f>
        <v>NA</v>
      </c>
      <c r="N546" s="278" t="str">
        <f>IFERROR(100*SUM(N565,N578)/SUM(N$565,N$578),"NA")</f>
        <v>NA</v>
      </c>
    </row>
    <row r="547" spans="2:14" ht="11.25" customHeight="1" x14ac:dyDescent="0.35">
      <c r="B547" s="244" t="s">
        <v>5366</v>
      </c>
      <c r="C547" s="245"/>
      <c r="D547" s="278" t="str">
        <f>IFERROR(100*SUM(D566,D579)/SUM(D$565,D$578),"NA")</f>
        <v>NA</v>
      </c>
      <c r="E547" s="278" t="str">
        <f>IFERROR(100*SUM(E566,E579)/SUM(E$565,E$578),"NA")</f>
        <v>NA</v>
      </c>
      <c r="F547" s="278" t="str">
        <f>IFERROR(100*SUM(F566,F579)/SUM(F$565,F$578),"NA")</f>
        <v>NA</v>
      </c>
      <c r="G547" s="278" t="str">
        <f>IFERROR(100*SUM(G566,G579)/SUM(G$565,G$578),"NA")</f>
        <v>NA</v>
      </c>
      <c r="H547" s="278" t="str">
        <f>IFERROR(100*SUM(H566,H579)/SUM(H$565,H$578),"NA")</f>
        <v>NA</v>
      </c>
      <c r="I547" s="278" t="str">
        <f>IFERROR(100*SUM(I566,I579)/SUM(I$565,I$578),"NA")</f>
        <v>NA</v>
      </c>
      <c r="J547" s="278" t="str">
        <f>IFERROR(100*SUM(J566,J579)/SUM(J$565,J$578),"NA")</f>
        <v>NA</v>
      </c>
      <c r="K547" s="278" t="str">
        <f>IFERROR(100*SUM(K566,K579)/SUM(K$565,K$578),"NA")</f>
        <v>NA</v>
      </c>
      <c r="L547" s="278" t="str">
        <f>IFERROR(100*SUM(L566,L579)/SUM(L$565,L$578),"NA")</f>
        <v>NA</v>
      </c>
      <c r="M547" s="278" t="str">
        <f>IFERROR(100*SUM(M566,M579)/SUM(M$565,M$578),"NA")</f>
        <v>NA</v>
      </c>
      <c r="N547" s="278" t="str">
        <f>IFERROR(100*SUM(N566,N579)/SUM(N$565,N$578),"NA")</f>
        <v>NA</v>
      </c>
    </row>
    <row r="548" spans="2:14" ht="11.25" customHeight="1" x14ac:dyDescent="0.35">
      <c r="B548" s="244" t="s">
        <v>5122</v>
      </c>
      <c r="C548" s="245"/>
      <c r="D548" s="278" t="str">
        <f>IFERROR(100*SUM(D567,D580)/SUM(D$565,D$578),"NA")</f>
        <v>NA</v>
      </c>
      <c r="E548" s="278" t="str">
        <f>IFERROR(100*SUM(E567,E580)/SUM(E$565,E$578),"NA")</f>
        <v>NA</v>
      </c>
      <c r="F548" s="278" t="str">
        <f>IFERROR(100*SUM(F567,F580)/SUM(F$565,F$578),"NA")</f>
        <v>NA</v>
      </c>
      <c r="G548" s="278" t="str">
        <f>IFERROR(100*SUM(G567,G580)/SUM(G$565,G$578),"NA")</f>
        <v>NA</v>
      </c>
      <c r="H548" s="278" t="str">
        <f>IFERROR(100*SUM(H567,H580)/SUM(H$565,H$578),"NA")</f>
        <v>NA</v>
      </c>
      <c r="I548" s="278" t="str">
        <f>IFERROR(100*SUM(I567,I580)/SUM(I$565,I$578),"NA")</f>
        <v>NA</v>
      </c>
      <c r="J548" s="278" t="str">
        <f>IFERROR(100*SUM(J567,J580)/SUM(J$565,J$578),"NA")</f>
        <v>NA</v>
      </c>
      <c r="K548" s="278" t="str">
        <f>IFERROR(100*SUM(K567,K580)/SUM(K$565,K$578),"NA")</f>
        <v>NA</v>
      </c>
      <c r="L548" s="278" t="str">
        <f>IFERROR(100*SUM(L567,L580)/SUM(L$565,L$578),"NA")</f>
        <v>NA</v>
      </c>
      <c r="M548" s="278" t="str">
        <f>IFERROR(100*SUM(M567,M580)/SUM(M$565,M$578),"NA")</f>
        <v>NA</v>
      </c>
      <c r="N548" s="278" t="str">
        <f>IFERROR(100*SUM(N567,N580)/SUM(N$565,N$578),"NA")</f>
        <v>NA</v>
      </c>
    </row>
    <row r="549" spans="2:14" ht="11.25" customHeight="1" x14ac:dyDescent="0.35">
      <c r="B549" s="244" t="s">
        <v>5124</v>
      </c>
      <c r="C549" s="245"/>
      <c r="D549" s="278" t="str">
        <f>IFERROR(100*SUM(D568,D581)/SUM(D$565,D$578),"NA")</f>
        <v>NA</v>
      </c>
      <c r="E549" s="278" t="str">
        <f>IFERROR(100*SUM(E568,E581)/SUM(E$565,E$578),"NA")</f>
        <v>NA</v>
      </c>
      <c r="F549" s="278" t="str">
        <f>IFERROR(100*SUM(F568,F581)/SUM(F$565,F$578),"NA")</f>
        <v>NA</v>
      </c>
      <c r="G549" s="278" t="str">
        <f>IFERROR(100*SUM(G568,G581)/SUM(G$565,G$578),"NA")</f>
        <v>NA</v>
      </c>
      <c r="H549" s="278" t="str">
        <f>IFERROR(100*SUM(H568,H581)/SUM(H$565,H$578),"NA")</f>
        <v>NA</v>
      </c>
      <c r="I549" s="278" t="str">
        <f>IFERROR(100*SUM(I568,I581)/SUM(I$565,I$578),"NA")</f>
        <v>NA</v>
      </c>
      <c r="J549" s="278" t="str">
        <f>IFERROR(100*SUM(J568,J581)/SUM(J$565,J$578),"NA")</f>
        <v>NA</v>
      </c>
      <c r="K549" s="278" t="str">
        <f>IFERROR(100*SUM(K568,K581)/SUM(K$565,K$578),"NA")</f>
        <v>NA</v>
      </c>
      <c r="L549" s="278" t="str">
        <f>IFERROR(100*SUM(L568,L581)/SUM(L$565,L$578),"NA")</f>
        <v>NA</v>
      </c>
      <c r="M549" s="278" t="str">
        <f>IFERROR(100*SUM(M568,M581)/SUM(M$565,M$578),"NA")</f>
        <v>NA</v>
      </c>
      <c r="N549" s="278" t="str">
        <f>IFERROR(100*SUM(N568,N581)/SUM(N$565,N$578),"NA")</f>
        <v>NA</v>
      </c>
    </row>
    <row r="550" spans="2:14" ht="11.25" customHeight="1" x14ac:dyDescent="0.35">
      <c r="B550" s="244" t="s">
        <v>5121</v>
      </c>
      <c r="C550" s="245"/>
      <c r="D550" s="278" t="str">
        <f>IFERROR(100*SUM(D569,D582)/SUM(D$565,D$578),"NA")</f>
        <v>NA</v>
      </c>
      <c r="E550" s="278" t="str">
        <f>IFERROR(100*SUM(E569,E582)/SUM(E$565,E$578),"NA")</f>
        <v>NA</v>
      </c>
      <c r="F550" s="278" t="str">
        <f>IFERROR(100*SUM(F569,F582)/SUM(F$565,F$578),"NA")</f>
        <v>NA</v>
      </c>
      <c r="G550" s="278" t="str">
        <f>IFERROR(100*SUM(G569,G582)/SUM(G$565,G$578),"NA")</f>
        <v>NA</v>
      </c>
      <c r="H550" s="278" t="str">
        <f>IFERROR(100*SUM(H569,H582)/SUM(H$565,H$578),"NA")</f>
        <v>NA</v>
      </c>
      <c r="I550" s="278" t="str">
        <f>IFERROR(100*SUM(I569,I582)/SUM(I$565,I$578),"NA")</f>
        <v>NA</v>
      </c>
      <c r="J550" s="278" t="str">
        <f>IFERROR(100*SUM(J569,J582)/SUM(J$565,J$578),"NA")</f>
        <v>NA</v>
      </c>
      <c r="K550" s="278" t="str">
        <f>IFERROR(100*SUM(K569,K582)/SUM(K$565,K$578),"NA")</f>
        <v>NA</v>
      </c>
      <c r="L550" s="278" t="str">
        <f>IFERROR(100*SUM(L569,L582)/SUM(L$565,L$578),"NA")</f>
        <v>NA</v>
      </c>
      <c r="M550" s="278" t="str">
        <f>IFERROR(100*SUM(M569,M582)/SUM(M$565,M$578),"NA")</f>
        <v>NA</v>
      </c>
      <c r="N550" s="278" t="str">
        <f>IFERROR(100*SUM(N569,N582)/SUM(N$565,N$578),"NA")</f>
        <v>NA</v>
      </c>
    </row>
    <row r="551" spans="2:14" ht="11.25" customHeight="1" x14ac:dyDescent="0.35">
      <c r="B551" s="244" t="s">
        <v>5367</v>
      </c>
      <c r="C551" s="245"/>
      <c r="D551" s="278" t="str">
        <f>IFERROR(100*SUM(D570,D583)/SUM(D$565,D$578),"NA")</f>
        <v>NA</v>
      </c>
      <c r="E551" s="278" t="str">
        <f>IFERROR(100*SUM(E570,E583)/SUM(E$565,E$578),"NA")</f>
        <v>NA</v>
      </c>
      <c r="F551" s="278" t="str">
        <f>IFERROR(100*SUM(F570,F583)/SUM(F$565,F$578),"NA")</f>
        <v>NA</v>
      </c>
      <c r="G551" s="278" t="str">
        <f>IFERROR(100*SUM(G570,G583)/SUM(G$565,G$578),"NA")</f>
        <v>NA</v>
      </c>
      <c r="H551" s="278" t="str">
        <f>IFERROR(100*SUM(H570,H583)/SUM(H$565,H$578),"NA")</f>
        <v>NA</v>
      </c>
      <c r="I551" s="278" t="str">
        <f>IFERROR(100*SUM(I570,I583)/SUM(I$565,I$578),"NA")</f>
        <v>NA</v>
      </c>
      <c r="J551" s="278" t="str">
        <f>IFERROR(100*SUM(J570,J583)/SUM(J$565,J$578),"NA")</f>
        <v>NA</v>
      </c>
      <c r="K551" s="278" t="str">
        <f>IFERROR(100*SUM(K570,K583)/SUM(K$565,K$578),"NA")</f>
        <v>NA</v>
      </c>
      <c r="L551" s="278" t="str">
        <f>IFERROR(100*SUM(L570,L583)/SUM(L$565,L$578),"NA")</f>
        <v>NA</v>
      </c>
      <c r="M551" s="278" t="str">
        <f>IFERROR(100*SUM(M570,M583)/SUM(M$565,M$578),"NA")</f>
        <v>NA</v>
      </c>
      <c r="N551" s="278" t="str">
        <f>IFERROR(100*SUM(N570,N583)/SUM(N$565,N$578),"NA")</f>
        <v>NA</v>
      </c>
    </row>
    <row r="552" spans="2:14" ht="11.25" customHeight="1" x14ac:dyDescent="0.35">
      <c r="B552" s="244" t="s">
        <v>5368</v>
      </c>
      <c r="C552" s="245"/>
      <c r="D552" s="278" t="str">
        <f>IFERROR(100*SUM(D571,D584)/SUM(D$565,D$578),"NA")</f>
        <v>NA</v>
      </c>
      <c r="E552" s="278" t="str">
        <f>IFERROR(100*SUM(E571,E584)/SUM(E$565,E$578),"NA")</f>
        <v>NA</v>
      </c>
      <c r="F552" s="278" t="str">
        <f>IFERROR(100*SUM(F571,F584)/SUM(F$565,F$578),"NA")</f>
        <v>NA</v>
      </c>
      <c r="G552" s="278" t="str">
        <f>IFERROR(100*SUM(G571,G584)/SUM(G$565,G$578),"NA")</f>
        <v>NA</v>
      </c>
      <c r="H552" s="278" t="str">
        <f>IFERROR(100*SUM(H571,H584)/SUM(H$565,H$578),"NA")</f>
        <v>NA</v>
      </c>
      <c r="I552" s="278" t="str">
        <f>IFERROR(100*SUM(I571,I584)/SUM(I$565,I$578),"NA")</f>
        <v>NA</v>
      </c>
      <c r="J552" s="278" t="str">
        <f>IFERROR(100*SUM(J571,J584)/SUM(J$565,J$578),"NA")</f>
        <v>NA</v>
      </c>
      <c r="K552" s="278" t="str">
        <f>IFERROR(100*SUM(K571,K584)/SUM(K$565,K$578),"NA")</f>
        <v>NA</v>
      </c>
      <c r="L552" s="278" t="str">
        <f>IFERROR(100*SUM(L571,L584)/SUM(L$565,L$578),"NA")</f>
        <v>NA</v>
      </c>
      <c r="M552" s="278" t="str">
        <f>IFERROR(100*SUM(M571,M584)/SUM(M$565,M$578),"NA")</f>
        <v>NA</v>
      </c>
      <c r="N552" s="278" t="str">
        <f>IFERROR(100*SUM(N571,N584)/SUM(N$565,N$578),"NA")</f>
        <v>NA</v>
      </c>
    </row>
    <row r="553" spans="2:14" ht="11.25" customHeight="1" x14ac:dyDescent="0.35">
      <c r="B553" s="244" t="s">
        <v>5369</v>
      </c>
      <c r="C553" s="245"/>
      <c r="D553" s="278" t="str">
        <f>IFERROR(100*SUM(D572,D585)/SUM(D$565,D$578),"NA")</f>
        <v>NA</v>
      </c>
      <c r="E553" s="278" t="str">
        <f>IFERROR(100*SUM(E572,E585)/SUM(E$565,E$578),"NA")</f>
        <v>NA</v>
      </c>
      <c r="F553" s="278" t="str">
        <f>IFERROR(100*SUM(F572,F585)/SUM(F$565,F$578),"NA")</f>
        <v>NA</v>
      </c>
      <c r="G553" s="278" t="str">
        <f>IFERROR(100*SUM(G572,G585)/SUM(G$565,G$578),"NA")</f>
        <v>NA</v>
      </c>
      <c r="H553" s="278" t="str">
        <f>IFERROR(100*SUM(H572,H585)/SUM(H$565,H$578),"NA")</f>
        <v>NA</v>
      </c>
      <c r="I553" s="278" t="str">
        <f>IFERROR(100*SUM(I572,I585)/SUM(I$565,I$578),"NA")</f>
        <v>NA</v>
      </c>
      <c r="J553" s="278" t="str">
        <f>IFERROR(100*SUM(J572,J585)/SUM(J$565,J$578),"NA")</f>
        <v>NA</v>
      </c>
      <c r="K553" s="278" t="str">
        <f>IFERROR(100*SUM(K572,K585)/SUM(K$565,K$578),"NA")</f>
        <v>NA</v>
      </c>
      <c r="L553" s="278" t="str">
        <f>IFERROR(100*SUM(L572,L585)/SUM(L$565,L$578),"NA")</f>
        <v>NA</v>
      </c>
      <c r="M553" s="278" t="str">
        <f>IFERROR(100*SUM(M572,M585)/SUM(M$565,M$578),"NA")</f>
        <v>NA</v>
      </c>
      <c r="N553" s="278" t="str">
        <f>IFERROR(100*SUM(N572,N585)/SUM(N$565,N$578),"NA")</f>
        <v>NA</v>
      </c>
    </row>
    <row r="554" spans="2:14" ht="11.25" customHeight="1" x14ac:dyDescent="0.35">
      <c r="B554" s="244" t="s">
        <v>5370</v>
      </c>
      <c r="C554" s="245"/>
      <c r="D554" s="278" t="str">
        <f>IFERROR(100*SUM(D573,D586)/SUM(D$565,D$578),"NA")</f>
        <v>NA</v>
      </c>
      <c r="E554" s="278" t="str">
        <f>IFERROR(100*SUM(E573,E586)/SUM(E$565,E$578),"NA")</f>
        <v>NA</v>
      </c>
      <c r="F554" s="278" t="str">
        <f>IFERROR(100*SUM(F573,F586)/SUM(F$565,F$578),"NA")</f>
        <v>NA</v>
      </c>
      <c r="G554" s="278" t="str">
        <f>IFERROR(100*SUM(G573,G586)/SUM(G$565,G$578),"NA")</f>
        <v>NA</v>
      </c>
      <c r="H554" s="278" t="str">
        <f>IFERROR(100*SUM(H573,H586)/SUM(H$565,H$578),"NA")</f>
        <v>NA</v>
      </c>
      <c r="I554" s="278" t="str">
        <f>IFERROR(100*SUM(I573,I586)/SUM(I$565,I$578),"NA")</f>
        <v>NA</v>
      </c>
      <c r="J554" s="278" t="str">
        <f>IFERROR(100*SUM(J573,J586)/SUM(J$565,J$578),"NA")</f>
        <v>NA</v>
      </c>
      <c r="K554" s="278" t="str">
        <f>IFERROR(100*SUM(K573,K586)/SUM(K$565,K$578),"NA")</f>
        <v>NA</v>
      </c>
      <c r="L554" s="278" t="str">
        <f>IFERROR(100*SUM(L573,L586)/SUM(L$565,L$578),"NA")</f>
        <v>NA</v>
      </c>
      <c r="M554" s="278" t="str">
        <f>IFERROR(100*SUM(M573,M586)/SUM(M$565,M$578),"NA")</f>
        <v>NA</v>
      </c>
      <c r="N554" s="278" t="str">
        <f>IFERROR(100*SUM(N573,N586)/SUM(N$565,N$578),"NA")</f>
        <v>NA</v>
      </c>
    </row>
    <row r="555" spans="2:14" ht="11.25" customHeight="1" x14ac:dyDescent="0.35">
      <c r="B555" s="244" t="s">
        <v>5371</v>
      </c>
      <c r="C555" s="245"/>
      <c r="D555" s="278" t="str">
        <f>IFERROR(100*SUM(D574,D587)/SUM(D$565,D$578),"NA")</f>
        <v>NA</v>
      </c>
      <c r="E555" s="278" t="str">
        <f>IFERROR(100*SUM(E574,E587)/SUM(E$565,E$578),"NA")</f>
        <v>NA</v>
      </c>
      <c r="F555" s="278" t="str">
        <f>IFERROR(100*SUM(F574,F587)/SUM(F$565,F$578),"NA")</f>
        <v>NA</v>
      </c>
      <c r="G555" s="278" t="str">
        <f>IFERROR(100*SUM(G574,G587)/SUM(G$565,G$578),"NA")</f>
        <v>NA</v>
      </c>
      <c r="H555" s="278" t="str">
        <f>IFERROR(100*SUM(H574,H587)/SUM(H$565,H$578),"NA")</f>
        <v>NA</v>
      </c>
      <c r="I555" s="278" t="str">
        <f>IFERROR(100*SUM(I574,I587)/SUM(I$565,I$578),"NA")</f>
        <v>NA</v>
      </c>
      <c r="J555" s="278" t="str">
        <f>IFERROR(100*SUM(J574,J587)/SUM(J$565,J$578),"NA")</f>
        <v>NA</v>
      </c>
      <c r="K555" s="278" t="str">
        <f>IFERROR(100*SUM(K574,K587)/SUM(K$565,K$578),"NA")</f>
        <v>NA</v>
      </c>
      <c r="L555" s="278" t="str">
        <f>IFERROR(100*SUM(L574,L587)/SUM(L$565,L$578),"NA")</f>
        <v>NA</v>
      </c>
      <c r="M555" s="278" t="str">
        <f>IFERROR(100*SUM(M574,M587)/SUM(M$565,M$578),"NA")</f>
        <v>NA</v>
      </c>
      <c r="N555" s="278" t="str">
        <f>IFERROR(100*SUM(N574,N587)/SUM(N$565,N$578),"NA")</f>
        <v>NA</v>
      </c>
    </row>
    <row r="556" spans="2:14" ht="11.25" customHeight="1" x14ac:dyDescent="0.35">
      <c r="B556" s="244" t="s">
        <v>5372</v>
      </c>
      <c r="C556" s="245"/>
      <c r="D556" s="278" t="str">
        <f>IFERROR(100*SUM(D575,D588)/SUM(D$565,D$578),"NA")</f>
        <v>NA</v>
      </c>
      <c r="E556" s="278" t="str">
        <f>IFERROR(100*SUM(E575,E588)/SUM(E$565,E$578),"NA")</f>
        <v>NA</v>
      </c>
      <c r="F556" s="278" t="str">
        <f>IFERROR(100*SUM(F575,F588)/SUM(F$565,F$578),"NA")</f>
        <v>NA</v>
      </c>
      <c r="G556" s="278" t="str">
        <f>IFERROR(100*SUM(G575,G588)/SUM(G$565,G$578),"NA")</f>
        <v>NA</v>
      </c>
      <c r="H556" s="278" t="str">
        <f>IFERROR(100*SUM(H575,H588)/SUM(H$565,H$578),"NA")</f>
        <v>NA</v>
      </c>
      <c r="I556" s="278" t="str">
        <f>IFERROR(100*SUM(I575,I588)/SUM(I$565,I$578),"NA")</f>
        <v>NA</v>
      </c>
      <c r="J556" s="278" t="str">
        <f>IFERROR(100*SUM(J575,J588)/SUM(J$565,J$578),"NA")</f>
        <v>NA</v>
      </c>
      <c r="K556" s="278" t="str">
        <f>IFERROR(100*SUM(K575,K588)/SUM(K$565,K$578),"NA")</f>
        <v>NA</v>
      </c>
      <c r="L556" s="278" t="str">
        <f>IFERROR(100*SUM(L575,L588)/SUM(L$565,L$578),"NA")</f>
        <v>NA</v>
      </c>
      <c r="M556" s="278" t="str">
        <f>IFERROR(100*SUM(M575,M588)/SUM(M$565,M$578),"NA")</f>
        <v>NA</v>
      </c>
      <c r="N556" s="278" t="str">
        <f>IFERROR(100*SUM(N575,N588)/SUM(N$565,N$578),"NA")</f>
        <v>NA</v>
      </c>
    </row>
    <row r="557" spans="2:14" ht="11.25" customHeight="1" x14ac:dyDescent="0.35">
      <c r="B557" s="244"/>
      <c r="C557" s="245"/>
      <c r="D557" s="278"/>
      <c r="E557" s="307"/>
      <c r="F557" s="307"/>
      <c r="G557" s="307"/>
      <c r="H557" s="307"/>
      <c r="I557" s="307"/>
      <c r="J557" s="307"/>
      <c r="K557" s="307"/>
      <c r="L557" s="307"/>
      <c r="M557" s="307"/>
      <c r="N557" s="307"/>
    </row>
    <row r="558" spans="2:14" ht="11.25" hidden="1" customHeight="1" outlineLevel="1" x14ac:dyDescent="0.35">
      <c r="B558" s="244" t="s">
        <v>4908</v>
      </c>
      <c r="C558" s="245">
        <v>123446</v>
      </c>
      <c r="D558" s="278">
        <v>20.686921600000002</v>
      </c>
      <c r="E558" s="307">
        <v>5.7512841000000003</v>
      </c>
      <c r="F558" s="307">
        <v>99.173962200000005</v>
      </c>
      <c r="G558" s="307">
        <v>24.635034900000001</v>
      </c>
      <c r="H558" s="307">
        <v>0</v>
      </c>
      <c r="I558" s="307">
        <v>31.449392499999998</v>
      </c>
      <c r="J558" s="307">
        <v>8.6412593999999991</v>
      </c>
      <c r="K558" s="307">
        <v>4.4192318999999998</v>
      </c>
      <c r="L558" s="307">
        <v>35.880183199999998</v>
      </c>
      <c r="M558" s="307">
        <v>1.2152816</v>
      </c>
      <c r="N558" s="307">
        <v>20.793620700000002</v>
      </c>
    </row>
    <row r="559" spans="2:14" ht="11.25" hidden="1" customHeight="1" outlineLevel="1" x14ac:dyDescent="0.35">
      <c r="B559" s="244" t="s">
        <v>4975</v>
      </c>
      <c r="C559" s="245">
        <v>123447</v>
      </c>
      <c r="D559" s="278">
        <v>54.5091757</v>
      </c>
      <c r="E559" s="307">
        <v>6.1406821999999996</v>
      </c>
      <c r="F559" s="307">
        <v>3.1687100000000003E-2</v>
      </c>
      <c r="G559" s="307">
        <v>4.0200212999999998</v>
      </c>
      <c r="H559" s="307">
        <v>0</v>
      </c>
      <c r="I559" s="307">
        <v>0</v>
      </c>
      <c r="J559" s="307">
        <v>55.664485599999999</v>
      </c>
      <c r="K559" s="307">
        <v>0.41787489999999999</v>
      </c>
      <c r="L559" s="307">
        <v>1.1570919</v>
      </c>
      <c r="M559" s="307">
        <v>0</v>
      </c>
      <c r="N559" s="307">
        <v>0</v>
      </c>
    </row>
    <row r="560" spans="2:14" ht="11.25" hidden="1" customHeight="1" outlineLevel="1" x14ac:dyDescent="0.35">
      <c r="B560" s="244" t="s">
        <v>4976</v>
      </c>
      <c r="C560" s="245">
        <v>123448</v>
      </c>
      <c r="D560" s="278">
        <v>24.194672499999999</v>
      </c>
      <c r="E560" s="307">
        <v>88.108059600000004</v>
      </c>
      <c r="F560" s="307">
        <v>9.4148300000000004E-2</v>
      </c>
      <c r="G560" s="307">
        <v>71.344943700000002</v>
      </c>
      <c r="H560" s="307">
        <v>100</v>
      </c>
      <c r="I560" s="307">
        <v>68.550127700000004</v>
      </c>
      <c r="J560" s="307">
        <v>33.744054800000001</v>
      </c>
      <c r="K560" s="307">
        <v>95.039833400000006</v>
      </c>
      <c r="L560" s="307">
        <v>62.962724899999998</v>
      </c>
      <c r="M560" s="307">
        <v>98.784718400000003</v>
      </c>
      <c r="N560" s="307">
        <v>79.206379299999995</v>
      </c>
    </row>
    <row r="561" spans="2:35" ht="11.25" hidden="1" customHeight="1" outlineLevel="1" x14ac:dyDescent="0.35">
      <c r="B561" s="244" t="s">
        <v>5385</v>
      </c>
      <c r="C561" s="245">
        <v>123449</v>
      </c>
      <c r="D561" s="278">
        <v>0.2145292</v>
      </c>
      <c r="E561" s="307">
        <v>-2.5899999999999999E-5</v>
      </c>
      <c r="F561" s="307">
        <v>0</v>
      </c>
      <c r="G561" s="307">
        <v>0</v>
      </c>
      <c r="H561" s="307">
        <v>0</v>
      </c>
      <c r="I561" s="307">
        <v>4.8000000000000001E-4</v>
      </c>
      <c r="J561" s="307">
        <v>0</v>
      </c>
      <c r="K561" s="307">
        <v>0</v>
      </c>
      <c r="L561" s="307">
        <v>0</v>
      </c>
      <c r="M561" s="307">
        <v>0</v>
      </c>
      <c r="N561" s="307">
        <v>0</v>
      </c>
    </row>
    <row r="562" spans="2:35" ht="11.25" hidden="1" customHeight="1" outlineLevel="1" x14ac:dyDescent="0.35">
      <c r="B562" s="244" t="s">
        <v>4977</v>
      </c>
      <c r="C562" s="245">
        <v>123450</v>
      </c>
      <c r="D562" s="278">
        <v>0.39470110000000003</v>
      </c>
      <c r="E562" s="307">
        <v>0</v>
      </c>
      <c r="F562" s="307">
        <v>0.70020249999999995</v>
      </c>
      <c r="G562" s="307">
        <v>0</v>
      </c>
      <c r="H562" s="307">
        <v>0</v>
      </c>
      <c r="I562" s="307">
        <v>0</v>
      </c>
      <c r="J562" s="307">
        <v>1.9502003000000001</v>
      </c>
      <c r="K562" s="307">
        <v>0.1230599</v>
      </c>
      <c r="L562" s="307">
        <v>0</v>
      </c>
      <c r="M562" s="307">
        <v>0</v>
      </c>
      <c r="N562" s="307">
        <v>0</v>
      </c>
    </row>
    <row r="563" spans="2:35" ht="11.25" hidden="1" customHeight="1" outlineLevel="1" x14ac:dyDescent="0.55000000000000004">
      <c r="B563" s="244"/>
      <c r="C563" s="245"/>
      <c r="D563" s="278"/>
      <c r="E563" s="307"/>
      <c r="F563" s="307"/>
      <c r="G563" s="307"/>
      <c r="H563" s="307"/>
      <c r="I563" s="307"/>
      <c r="J563" s="307"/>
      <c r="K563" s="307"/>
      <c r="L563" s="307"/>
      <c r="M563" s="307"/>
      <c r="N563" s="307"/>
      <c r="U563" s="420"/>
      <c r="V563" s="448"/>
      <c r="W563" s="448"/>
      <c r="X563" s="448"/>
      <c r="Y563" s="449"/>
      <c r="Z563" s="449"/>
      <c r="AA563" s="449"/>
      <c r="AB563" s="449"/>
      <c r="AC563" s="449"/>
      <c r="AD563" s="449"/>
      <c r="AE563" s="449"/>
      <c r="AF563" s="449"/>
      <c r="AG563" s="449"/>
      <c r="AH563" s="449"/>
      <c r="AI563" s="449"/>
    </row>
    <row r="564" spans="2:35" ht="11.25" hidden="1" customHeight="1" outlineLevel="1" x14ac:dyDescent="0.55000000000000004">
      <c r="B564" s="246" t="s">
        <v>5458</v>
      </c>
      <c r="C564" s="245"/>
      <c r="D564" s="334"/>
      <c r="E564" s="334"/>
      <c r="F564" s="334"/>
      <c r="G564" s="334"/>
      <c r="H564" s="334"/>
      <c r="I564" s="334"/>
      <c r="J564" s="334"/>
      <c r="K564" s="334"/>
      <c r="L564" s="334"/>
      <c r="M564" s="334"/>
      <c r="N564" s="334"/>
      <c r="U564" s="448"/>
      <c r="V564" s="448"/>
      <c r="W564" s="448"/>
      <c r="X564" s="448"/>
      <c r="Y564" s="448"/>
      <c r="Z564" s="448"/>
      <c r="AA564" s="448"/>
      <c r="AB564" s="448"/>
      <c r="AC564" s="448"/>
      <c r="AD564" s="448"/>
      <c r="AE564" s="448"/>
      <c r="AF564" s="448"/>
      <c r="AG564" s="448"/>
      <c r="AH564" s="448"/>
      <c r="AI564" s="448"/>
    </row>
    <row r="565" spans="2:35" ht="11.25" hidden="1" customHeight="1" outlineLevel="1" x14ac:dyDescent="0.35">
      <c r="B565" s="244" t="s">
        <v>5365</v>
      </c>
      <c r="C565" s="245"/>
      <c r="D565" s="279" t="str">
        <f>IF(Y77="","",Y77)</f>
        <v>NA</v>
      </c>
      <c r="E565" s="279" t="str">
        <f>IF(Z77="","",Z77)</f>
        <v>NA</v>
      </c>
      <c r="F565" s="279" t="str">
        <f>IF(AA77="","",AA77)</f>
        <v>NA</v>
      </c>
      <c r="G565" s="279" t="str">
        <f>IF(AB77="","",AB77)</f>
        <v>NA</v>
      </c>
      <c r="H565" s="279" t="str">
        <f>IF(AC77="","",AC77)</f>
        <v>NA</v>
      </c>
      <c r="I565" s="279" t="str">
        <f>IF(AD77="","",AD77)</f>
        <v>NA</v>
      </c>
      <c r="J565" s="279" t="str">
        <f>IF(AE77="","",AE77)</f>
        <v>NA</v>
      </c>
      <c r="K565" s="279" t="str">
        <f>IF(AF77="","",AF77)</f>
        <v>NA</v>
      </c>
      <c r="L565" s="279" t="str">
        <f>IF(AG77="","",AG77)</f>
        <v>NA</v>
      </c>
      <c r="M565" s="279" t="str">
        <f>IF(AH77="","",AH77)</f>
        <v>NA</v>
      </c>
      <c r="N565" s="279" t="str">
        <f>IF(AI77="","",AI77)</f>
        <v>NA</v>
      </c>
      <c r="U565" s="450"/>
      <c r="V565" s="451"/>
      <c r="W565" s="451"/>
      <c r="X565" s="420"/>
      <c r="Y565" s="452"/>
      <c r="Z565" s="452"/>
      <c r="AA565" s="452"/>
      <c r="AB565" s="452"/>
      <c r="AC565" s="452"/>
      <c r="AD565" s="452"/>
      <c r="AE565" s="452"/>
      <c r="AF565" s="452"/>
      <c r="AG565" s="452"/>
      <c r="AH565" s="452"/>
      <c r="AI565" s="452"/>
    </row>
    <row r="566" spans="2:35" ht="11.25" hidden="1" customHeight="1" outlineLevel="1" x14ac:dyDescent="0.35">
      <c r="B566" s="244" t="s">
        <v>5366</v>
      </c>
      <c r="C566" s="245"/>
      <c r="D566" s="279" t="str">
        <f>IF(Y78="","",Y78)</f>
        <v>NA</v>
      </c>
      <c r="E566" s="279" t="str">
        <f>IF(Z78="","",Z78)</f>
        <v>NA</v>
      </c>
      <c r="F566" s="279" t="str">
        <f>IF(AA78="","",AA78)</f>
        <v>NA</v>
      </c>
      <c r="G566" s="279" t="str">
        <f>IF(AB78="","",AB78)</f>
        <v>NA</v>
      </c>
      <c r="H566" s="279" t="str">
        <f>IF(AC78="","",AC78)</f>
        <v>NA</v>
      </c>
      <c r="I566" s="279" t="str">
        <f>IF(AD78="","",AD78)</f>
        <v>NA</v>
      </c>
      <c r="J566" s="279" t="str">
        <f>IF(AE78="","",AE78)</f>
        <v>NA</v>
      </c>
      <c r="K566" s="279" t="str">
        <f>IF(AF78="","",AF78)</f>
        <v>NA</v>
      </c>
      <c r="L566" s="279" t="str">
        <f>IF(AG78="","",AG78)</f>
        <v>NA</v>
      </c>
      <c r="M566" s="279" t="str">
        <f>IF(AH78="","",AH78)</f>
        <v>NA</v>
      </c>
      <c r="N566" s="279" t="str">
        <f>IF(AI78="","",AI78)</f>
        <v>NA</v>
      </c>
      <c r="U566" s="450"/>
      <c r="V566" s="451"/>
      <c r="W566" s="451"/>
      <c r="X566" s="420"/>
      <c r="Y566" s="452"/>
      <c r="Z566" s="452"/>
      <c r="AA566" s="452"/>
      <c r="AB566" s="452"/>
      <c r="AC566" s="452"/>
      <c r="AD566" s="452"/>
      <c r="AE566" s="452"/>
      <c r="AF566" s="452"/>
      <c r="AG566" s="452"/>
      <c r="AH566" s="452"/>
      <c r="AI566" s="452"/>
    </row>
    <row r="567" spans="2:35" ht="11.25" hidden="1" customHeight="1" outlineLevel="1" x14ac:dyDescent="0.35">
      <c r="B567" s="244" t="s">
        <v>5122</v>
      </c>
      <c r="C567" s="245"/>
      <c r="D567" s="279" t="str">
        <f>IF(Y79="","",Y79)</f>
        <v>NA</v>
      </c>
      <c r="E567" s="279" t="str">
        <f>IF(Z79="","",Z79)</f>
        <v>NA</v>
      </c>
      <c r="F567" s="279" t="str">
        <f>IF(AA79="","",AA79)</f>
        <v>NA</v>
      </c>
      <c r="G567" s="279" t="str">
        <f>IF(AB79="","",AB79)</f>
        <v>NA</v>
      </c>
      <c r="H567" s="279" t="str">
        <f>IF(AC79="","",AC79)</f>
        <v>NA</v>
      </c>
      <c r="I567" s="279" t="str">
        <f>IF(AD79="","",AD79)</f>
        <v>NA</v>
      </c>
      <c r="J567" s="279" t="str">
        <f>IF(AE79="","",AE79)</f>
        <v>NA</v>
      </c>
      <c r="K567" s="279" t="str">
        <f>IF(AF79="","",AF79)</f>
        <v>NA</v>
      </c>
      <c r="L567" s="279" t="str">
        <f>IF(AG79="","",AG79)</f>
        <v>NA</v>
      </c>
      <c r="M567" s="279" t="str">
        <f>IF(AH79="","",AH79)</f>
        <v>NA</v>
      </c>
      <c r="N567" s="279" t="str">
        <f>IF(AI79="","",AI79)</f>
        <v>NA</v>
      </c>
      <c r="U567" s="450"/>
      <c r="V567" s="451"/>
      <c r="W567" s="451"/>
      <c r="X567" s="420"/>
      <c r="Y567" s="452"/>
      <c r="Z567" s="452"/>
      <c r="AA567" s="452"/>
      <c r="AB567" s="452"/>
      <c r="AC567" s="452"/>
      <c r="AD567" s="452"/>
      <c r="AE567" s="452"/>
      <c r="AF567" s="452"/>
      <c r="AG567" s="452"/>
      <c r="AH567" s="452"/>
      <c r="AI567" s="452"/>
    </row>
    <row r="568" spans="2:35" ht="11.25" hidden="1" customHeight="1" outlineLevel="1" x14ac:dyDescent="0.35">
      <c r="B568" s="244" t="s">
        <v>5124</v>
      </c>
      <c r="C568" s="245"/>
      <c r="D568" s="279" t="str">
        <f>IF(Y80="","",Y80)</f>
        <v>NA</v>
      </c>
      <c r="E568" s="279" t="str">
        <f>IF(Z80="","",Z80)</f>
        <v>NA</v>
      </c>
      <c r="F568" s="279" t="str">
        <f>IF(AA80="","",AA80)</f>
        <v>NA</v>
      </c>
      <c r="G568" s="279" t="str">
        <f>IF(AB80="","",AB80)</f>
        <v>NA</v>
      </c>
      <c r="H568" s="279" t="str">
        <f>IF(AC80="","",AC80)</f>
        <v>NA</v>
      </c>
      <c r="I568" s="279" t="str">
        <f>IF(AD80="","",AD80)</f>
        <v>NA</v>
      </c>
      <c r="J568" s="279" t="str">
        <f>IF(AE80="","",AE80)</f>
        <v>NA</v>
      </c>
      <c r="K568" s="279" t="str">
        <f>IF(AF80="","",AF80)</f>
        <v>NA</v>
      </c>
      <c r="L568" s="279" t="str">
        <f>IF(AG80="","",AG80)</f>
        <v>NA</v>
      </c>
      <c r="M568" s="279" t="str">
        <f>IF(AH80="","",AH80)</f>
        <v>NA</v>
      </c>
      <c r="N568" s="279" t="str">
        <f>IF(AI80="","",AI80)</f>
        <v>NA</v>
      </c>
      <c r="U568" s="450"/>
      <c r="V568" s="451"/>
      <c r="W568" s="451"/>
      <c r="X568" s="420"/>
      <c r="Y568" s="452"/>
      <c r="Z568" s="452"/>
      <c r="AA568" s="452"/>
      <c r="AB568" s="452"/>
      <c r="AC568" s="452"/>
      <c r="AD568" s="452"/>
      <c r="AE568" s="452"/>
      <c r="AF568" s="452"/>
      <c r="AG568" s="452"/>
      <c r="AH568" s="452"/>
      <c r="AI568" s="452"/>
    </row>
    <row r="569" spans="2:35" ht="11.25" hidden="1" customHeight="1" outlineLevel="1" x14ac:dyDescent="0.35">
      <c r="B569" s="244" t="s">
        <v>5121</v>
      </c>
      <c r="C569" s="245"/>
      <c r="D569" s="279" t="str">
        <f>IF(Y81="","",Y81)</f>
        <v>NA</v>
      </c>
      <c r="E569" s="279" t="str">
        <f>IF(Z81="","",Z81)</f>
        <v>NA</v>
      </c>
      <c r="F569" s="279" t="str">
        <f>IF(AA81="","",AA81)</f>
        <v>NA</v>
      </c>
      <c r="G569" s="279" t="str">
        <f>IF(AB81="","",AB81)</f>
        <v>NA</v>
      </c>
      <c r="H569" s="279" t="str">
        <f>IF(AC81="","",AC81)</f>
        <v>NA</v>
      </c>
      <c r="I569" s="279" t="str">
        <f>IF(AD81="","",AD81)</f>
        <v>NA</v>
      </c>
      <c r="J569" s="279" t="str">
        <f>IF(AE81="","",AE81)</f>
        <v>NA</v>
      </c>
      <c r="K569" s="279" t="str">
        <f>IF(AF81="","",AF81)</f>
        <v>NA</v>
      </c>
      <c r="L569" s="279" t="str">
        <f>IF(AG81="","",AG81)</f>
        <v>NA</v>
      </c>
      <c r="M569" s="279" t="str">
        <f>IF(AH81="","",AH81)</f>
        <v>NA</v>
      </c>
      <c r="N569" s="279" t="str">
        <f>IF(AI81="","",AI81)</f>
        <v>NA</v>
      </c>
      <c r="U569" s="450"/>
      <c r="V569" s="451"/>
      <c r="W569" s="451"/>
      <c r="X569" s="420"/>
      <c r="Y569" s="452"/>
      <c r="Z569" s="452"/>
      <c r="AA569" s="452"/>
      <c r="AB569" s="452"/>
      <c r="AC569" s="452"/>
      <c r="AD569" s="452"/>
      <c r="AE569" s="452"/>
      <c r="AF569" s="452"/>
      <c r="AG569" s="452"/>
      <c r="AH569" s="452"/>
      <c r="AI569" s="452"/>
    </row>
    <row r="570" spans="2:35" ht="11.25" hidden="1" customHeight="1" outlineLevel="1" x14ac:dyDescent="0.35">
      <c r="B570" s="244" t="s">
        <v>5367</v>
      </c>
      <c r="C570" s="245"/>
      <c r="D570" s="279" t="str">
        <f>IF(Y82="","",Y82)</f>
        <v>NA</v>
      </c>
      <c r="E570" s="279" t="str">
        <f>IF(Z82="","",Z82)</f>
        <v>NA</v>
      </c>
      <c r="F570" s="279" t="str">
        <f>IF(AA82="","",AA82)</f>
        <v>NA</v>
      </c>
      <c r="G570" s="279" t="str">
        <f>IF(AB82="","",AB82)</f>
        <v>NA</v>
      </c>
      <c r="H570" s="279" t="str">
        <f>IF(AC82="","",AC82)</f>
        <v>NA</v>
      </c>
      <c r="I570" s="279" t="str">
        <f>IF(AD82="","",AD82)</f>
        <v>NA</v>
      </c>
      <c r="J570" s="279" t="str">
        <f>IF(AE82="","",AE82)</f>
        <v>NA</v>
      </c>
      <c r="K570" s="279" t="str">
        <f>IF(AF82="","",AF82)</f>
        <v>NA</v>
      </c>
      <c r="L570" s="279" t="str">
        <f>IF(AG82="","",AG82)</f>
        <v>NA</v>
      </c>
      <c r="M570" s="279" t="str">
        <f>IF(AH82="","",AH82)</f>
        <v>NA</v>
      </c>
      <c r="N570" s="279" t="str">
        <f>IF(AI82="","",AI82)</f>
        <v>NA</v>
      </c>
      <c r="U570" s="450"/>
      <c r="V570" s="451"/>
      <c r="W570" s="451"/>
      <c r="X570" s="420"/>
      <c r="Y570" s="452"/>
      <c r="Z570" s="452"/>
      <c r="AA570" s="452"/>
      <c r="AB570" s="452"/>
      <c r="AC570" s="452"/>
      <c r="AD570" s="452"/>
      <c r="AE570" s="452"/>
      <c r="AF570" s="452"/>
      <c r="AG570" s="452"/>
      <c r="AH570" s="452"/>
      <c r="AI570" s="452"/>
    </row>
    <row r="571" spans="2:35" ht="11.25" hidden="1" customHeight="1" outlineLevel="1" x14ac:dyDescent="0.35">
      <c r="B571" s="244" t="s">
        <v>5368</v>
      </c>
      <c r="C571" s="245"/>
      <c r="D571" s="279" t="str">
        <f>IF(Y83="","",Y83)</f>
        <v>NA</v>
      </c>
      <c r="E571" s="279" t="str">
        <f>IF(Z83="","",Z83)</f>
        <v>NA</v>
      </c>
      <c r="F571" s="279" t="str">
        <f>IF(AA83="","",AA83)</f>
        <v>NA</v>
      </c>
      <c r="G571" s="279" t="str">
        <f>IF(AB83="","",AB83)</f>
        <v>NA</v>
      </c>
      <c r="H571" s="279" t="str">
        <f>IF(AC83="","",AC83)</f>
        <v>NA</v>
      </c>
      <c r="I571" s="279" t="str">
        <f>IF(AD83="","",AD83)</f>
        <v>NA</v>
      </c>
      <c r="J571" s="279" t="str">
        <f>IF(AE83="","",AE83)</f>
        <v>NA</v>
      </c>
      <c r="K571" s="279" t="str">
        <f>IF(AF83="","",AF83)</f>
        <v>NA</v>
      </c>
      <c r="L571" s="279" t="str">
        <f>IF(AG83="","",AG83)</f>
        <v>NA</v>
      </c>
      <c r="M571" s="279" t="str">
        <f>IF(AH83="","",AH83)</f>
        <v>NA</v>
      </c>
      <c r="N571" s="279" t="str">
        <f>IF(AI83="","",AI83)</f>
        <v>NA</v>
      </c>
      <c r="U571" s="450"/>
      <c r="V571" s="451"/>
      <c r="W571" s="451"/>
      <c r="X571" s="420"/>
      <c r="Y571" s="452"/>
      <c r="Z571" s="452"/>
      <c r="AA571" s="452"/>
      <c r="AB571" s="452"/>
      <c r="AC571" s="452"/>
      <c r="AD571" s="452"/>
      <c r="AE571" s="452"/>
      <c r="AF571" s="452"/>
      <c r="AG571" s="452"/>
      <c r="AH571" s="452"/>
      <c r="AI571" s="452"/>
    </row>
    <row r="572" spans="2:35" ht="11.25" hidden="1" customHeight="1" outlineLevel="1" x14ac:dyDescent="0.35">
      <c r="B572" s="244" t="s">
        <v>5369</v>
      </c>
      <c r="C572" s="245"/>
      <c r="D572" s="279" t="str">
        <f>IF(Y84="","",Y84)</f>
        <v>NA</v>
      </c>
      <c r="E572" s="279" t="str">
        <f>IF(Z84="","",Z84)</f>
        <v>NA</v>
      </c>
      <c r="F572" s="279" t="str">
        <f>IF(AA84="","",AA84)</f>
        <v>NA</v>
      </c>
      <c r="G572" s="279" t="str">
        <f>IF(AB84="","",AB84)</f>
        <v>NA</v>
      </c>
      <c r="H572" s="279" t="str">
        <f>IF(AC84="","",AC84)</f>
        <v>NA</v>
      </c>
      <c r="I572" s="279" t="str">
        <f>IF(AD84="","",AD84)</f>
        <v>NA</v>
      </c>
      <c r="J572" s="279" t="str">
        <f>IF(AE84="","",AE84)</f>
        <v>NA</v>
      </c>
      <c r="K572" s="279" t="str">
        <f>IF(AF84="","",AF84)</f>
        <v>NA</v>
      </c>
      <c r="L572" s="279" t="str">
        <f>IF(AG84="","",AG84)</f>
        <v>NA</v>
      </c>
      <c r="M572" s="279" t="str">
        <f>IF(AH84="","",AH84)</f>
        <v>NA</v>
      </c>
      <c r="N572" s="279" t="str">
        <f>IF(AI84="","",AI84)</f>
        <v>NA</v>
      </c>
      <c r="U572" s="450"/>
      <c r="V572" s="451"/>
      <c r="W572" s="451"/>
      <c r="X572" s="420"/>
      <c r="Y572" s="452"/>
      <c r="Z572" s="452"/>
      <c r="AA572" s="452"/>
      <c r="AB572" s="452"/>
      <c r="AC572" s="452"/>
      <c r="AD572" s="452"/>
      <c r="AE572" s="452"/>
      <c r="AF572" s="452"/>
      <c r="AG572" s="452"/>
      <c r="AH572" s="452"/>
      <c r="AI572" s="452"/>
    </row>
    <row r="573" spans="2:35" ht="11.25" hidden="1" customHeight="1" outlineLevel="1" x14ac:dyDescent="0.35">
      <c r="B573" s="244" t="s">
        <v>5370</v>
      </c>
      <c r="C573" s="245"/>
      <c r="D573" s="279" t="str">
        <f>IF(Y85="","",Y85)</f>
        <v>NA</v>
      </c>
      <c r="E573" s="279" t="str">
        <f>IF(Z85="","",Z85)</f>
        <v>NA</v>
      </c>
      <c r="F573" s="279" t="str">
        <f>IF(AA85="","",AA85)</f>
        <v>NA</v>
      </c>
      <c r="G573" s="279" t="str">
        <f>IF(AB85="","",AB85)</f>
        <v>NA</v>
      </c>
      <c r="H573" s="279" t="str">
        <f>IF(AC85="","",AC85)</f>
        <v>NA</v>
      </c>
      <c r="I573" s="279" t="str">
        <f>IF(AD85="","",AD85)</f>
        <v>NA</v>
      </c>
      <c r="J573" s="279" t="str">
        <f>IF(AE85="","",AE85)</f>
        <v>NA</v>
      </c>
      <c r="K573" s="279" t="str">
        <f>IF(AF85="","",AF85)</f>
        <v>NA</v>
      </c>
      <c r="L573" s="279" t="str">
        <f>IF(AG85="","",AG85)</f>
        <v>NA</v>
      </c>
      <c r="M573" s="279" t="str">
        <f>IF(AH85="","",AH85)</f>
        <v>NA</v>
      </c>
      <c r="N573" s="279" t="str">
        <f>IF(AI85="","",AI85)</f>
        <v>NA</v>
      </c>
      <c r="U573" s="450"/>
      <c r="V573" s="451"/>
      <c r="W573" s="451"/>
      <c r="X573" s="420"/>
      <c r="Y573" s="452"/>
      <c r="Z573" s="452"/>
      <c r="AA573" s="452"/>
      <c r="AB573" s="452"/>
      <c r="AC573" s="452"/>
      <c r="AD573" s="452"/>
      <c r="AE573" s="452"/>
      <c r="AF573" s="452"/>
      <c r="AG573" s="452"/>
      <c r="AH573" s="452"/>
      <c r="AI573" s="452"/>
    </row>
    <row r="574" spans="2:35" ht="11.25" hidden="1" customHeight="1" outlineLevel="1" x14ac:dyDescent="0.35">
      <c r="B574" s="244" t="s">
        <v>5371</v>
      </c>
      <c r="C574" s="245"/>
      <c r="D574" s="279" t="str">
        <f>IF(Y86="","",Y86)</f>
        <v>NA</v>
      </c>
      <c r="E574" s="279" t="str">
        <f>IF(Z86="","",Z86)</f>
        <v>NA</v>
      </c>
      <c r="F574" s="279" t="str">
        <f>IF(AA86="","",AA86)</f>
        <v>NA</v>
      </c>
      <c r="G574" s="279" t="str">
        <f>IF(AB86="","",AB86)</f>
        <v>NA</v>
      </c>
      <c r="H574" s="279" t="str">
        <f>IF(AC86="","",AC86)</f>
        <v>NA</v>
      </c>
      <c r="I574" s="279" t="str">
        <f>IF(AD86="","",AD86)</f>
        <v>NA</v>
      </c>
      <c r="J574" s="279" t="str">
        <f>IF(AE86="","",AE86)</f>
        <v>NA</v>
      </c>
      <c r="K574" s="279" t="str">
        <f>IF(AF86="","",AF86)</f>
        <v>NA</v>
      </c>
      <c r="L574" s="279" t="str">
        <f>IF(AG86="","",AG86)</f>
        <v>NA</v>
      </c>
      <c r="M574" s="279" t="str">
        <f>IF(AH86="","",AH86)</f>
        <v>NA</v>
      </c>
      <c r="N574" s="279" t="str">
        <f>IF(AI86="","",AI86)</f>
        <v>NA</v>
      </c>
      <c r="U574" s="450"/>
      <c r="V574" s="451"/>
      <c r="W574" s="451"/>
      <c r="X574" s="420"/>
      <c r="Y574" s="452"/>
      <c r="Z574" s="452"/>
      <c r="AA574" s="452"/>
      <c r="AB574" s="452"/>
      <c r="AC574" s="452"/>
      <c r="AD574" s="452"/>
      <c r="AE574" s="452"/>
      <c r="AF574" s="452"/>
      <c r="AG574" s="452"/>
      <c r="AH574" s="452"/>
      <c r="AI574" s="452"/>
    </row>
    <row r="575" spans="2:35" ht="11.25" hidden="1" customHeight="1" outlineLevel="1" x14ac:dyDescent="0.35">
      <c r="B575" s="244" t="s">
        <v>5372</v>
      </c>
      <c r="C575" s="245"/>
      <c r="D575" s="279" t="str">
        <f>IF(Y87="","",Y87)</f>
        <v>NA</v>
      </c>
      <c r="E575" s="279" t="str">
        <f>IF(Z87="","",Z87)</f>
        <v>NA</v>
      </c>
      <c r="F575" s="279" t="str">
        <f>IF(AA87="","",AA87)</f>
        <v>NA</v>
      </c>
      <c r="G575" s="279" t="str">
        <f>IF(AB87="","",AB87)</f>
        <v>NA</v>
      </c>
      <c r="H575" s="279" t="str">
        <f>IF(AC87="","",AC87)</f>
        <v>NA</v>
      </c>
      <c r="I575" s="279" t="str">
        <f>IF(AD87="","",AD87)</f>
        <v>NA</v>
      </c>
      <c r="J575" s="279" t="str">
        <f>IF(AE87="","",AE87)</f>
        <v>NA</v>
      </c>
      <c r="K575" s="279" t="str">
        <f>IF(AF87="","",AF87)</f>
        <v>NA</v>
      </c>
      <c r="L575" s="279" t="str">
        <f>IF(AG87="","",AG87)</f>
        <v>NA</v>
      </c>
      <c r="M575" s="279" t="str">
        <f>IF(AH87="","",AH87)</f>
        <v>NA</v>
      </c>
      <c r="N575" s="279" t="str">
        <f>IF(AI87="","",AI87)</f>
        <v>NA</v>
      </c>
      <c r="U575" s="450"/>
      <c r="V575" s="451"/>
      <c r="W575" s="451"/>
      <c r="X575" s="420"/>
      <c r="Y575" s="452"/>
      <c r="Z575" s="452"/>
      <c r="AA575" s="452"/>
      <c r="AB575" s="452"/>
      <c r="AC575" s="452"/>
      <c r="AD575" s="452"/>
      <c r="AE575" s="452"/>
      <c r="AF575" s="452"/>
      <c r="AG575" s="452"/>
      <c r="AH575" s="452"/>
      <c r="AI575" s="452"/>
    </row>
    <row r="576" spans="2:35" ht="11.25" hidden="1" customHeight="1" outlineLevel="1" x14ac:dyDescent="0.55000000000000004">
      <c r="B576" s="294"/>
      <c r="C576" s="329"/>
      <c r="D576" s="322"/>
      <c r="E576" s="322"/>
      <c r="F576" s="322"/>
      <c r="G576" s="322"/>
      <c r="H576" s="322"/>
      <c r="I576" s="322"/>
      <c r="J576" s="322"/>
      <c r="K576" s="322"/>
      <c r="L576" s="322"/>
      <c r="M576" s="322"/>
      <c r="N576" s="322"/>
      <c r="U576" s="448"/>
      <c r="V576" s="448"/>
      <c r="W576" s="448"/>
      <c r="X576" s="448"/>
      <c r="Y576" s="448"/>
      <c r="Z576" s="448"/>
      <c r="AA576" s="448"/>
      <c r="AB576" s="448"/>
      <c r="AC576" s="448"/>
      <c r="AD576" s="448"/>
      <c r="AE576" s="448"/>
      <c r="AF576" s="448"/>
      <c r="AG576" s="448"/>
      <c r="AH576" s="448"/>
      <c r="AI576" s="448"/>
    </row>
    <row r="577" spans="2:35" ht="11.25" hidden="1" customHeight="1" outlineLevel="1" x14ac:dyDescent="0.55000000000000004">
      <c r="B577" s="246" t="s">
        <v>5461</v>
      </c>
      <c r="C577" s="245"/>
      <c r="D577" s="278"/>
      <c r="E577" s="307"/>
      <c r="F577" s="307"/>
      <c r="G577" s="307"/>
      <c r="H577" s="307"/>
      <c r="I577" s="307"/>
      <c r="J577" s="307"/>
      <c r="K577" s="307"/>
      <c r="L577" s="307"/>
      <c r="M577" s="307"/>
      <c r="N577" s="307"/>
      <c r="U577" s="448"/>
      <c r="V577" s="448"/>
      <c r="W577" s="448"/>
      <c r="X577" s="448"/>
      <c r="Y577" s="448"/>
      <c r="Z577" s="448"/>
      <c r="AA577" s="448"/>
      <c r="AB577" s="448"/>
      <c r="AC577" s="448"/>
      <c r="AD577" s="448"/>
      <c r="AE577" s="448"/>
      <c r="AF577" s="448"/>
      <c r="AG577" s="448"/>
      <c r="AH577" s="448"/>
      <c r="AI577" s="448"/>
    </row>
    <row r="578" spans="2:35" ht="11.25" hidden="1" customHeight="1" outlineLevel="1" x14ac:dyDescent="0.35">
      <c r="B578" s="244" t="s">
        <v>5365</v>
      </c>
      <c r="C578" s="247"/>
      <c r="D578" s="279" t="str">
        <f>IF(Y90="","",Y90)</f>
        <v>NA</v>
      </c>
      <c r="E578" s="279" t="str">
        <f>IF(Z90="","",Z90)</f>
        <v>NA</v>
      </c>
      <c r="F578" s="279" t="str">
        <f>IF(AA90="","",AA90)</f>
        <v>NA</v>
      </c>
      <c r="G578" s="279" t="str">
        <f>IF(AB90="","",AB90)</f>
        <v>NA</v>
      </c>
      <c r="H578" s="279" t="str">
        <f>IF(AC90="","",AC90)</f>
        <v>NA</v>
      </c>
      <c r="I578" s="279" t="str">
        <f>IF(AD90="","",AD90)</f>
        <v>NA</v>
      </c>
      <c r="J578" s="279" t="str">
        <f>IF(AE90="","",AE90)</f>
        <v>NA</v>
      </c>
      <c r="K578" s="279" t="str">
        <f>IF(AF90="","",AF90)</f>
        <v>NA</v>
      </c>
      <c r="L578" s="279" t="str">
        <f>IF(AG90="","",AG90)</f>
        <v>NA</v>
      </c>
      <c r="M578" s="279" t="str">
        <f>IF(AH90="","",AH90)</f>
        <v>NA</v>
      </c>
      <c r="N578" s="279" t="str">
        <f>IF(AI90="","",AI90)</f>
        <v>NA</v>
      </c>
      <c r="U578" s="450"/>
      <c r="V578" s="451"/>
      <c r="W578" s="451"/>
      <c r="X578" s="420"/>
      <c r="Y578" s="452"/>
      <c r="Z578" s="452"/>
      <c r="AA578" s="452"/>
      <c r="AB578" s="452"/>
      <c r="AC578" s="452"/>
      <c r="AD578" s="452"/>
      <c r="AE578" s="452"/>
      <c r="AF578" s="452"/>
      <c r="AG578" s="452"/>
      <c r="AH578" s="452"/>
      <c r="AI578" s="452"/>
    </row>
    <row r="579" spans="2:35" ht="11.25" hidden="1" customHeight="1" outlineLevel="1" x14ac:dyDescent="0.35">
      <c r="B579" s="244" t="s">
        <v>5366</v>
      </c>
      <c r="C579" s="245"/>
      <c r="D579" s="279" t="str">
        <f>IF(Y91="","",Y91)</f>
        <v>NA</v>
      </c>
      <c r="E579" s="279" t="str">
        <f>IF(Z91="","",Z91)</f>
        <v>NA</v>
      </c>
      <c r="F579" s="279" t="str">
        <f>IF(AA91="","",AA91)</f>
        <v>NA</v>
      </c>
      <c r="G579" s="279" t="str">
        <f>IF(AB91="","",AB91)</f>
        <v>NA</v>
      </c>
      <c r="H579" s="279" t="str">
        <f>IF(AC91="","",AC91)</f>
        <v>NA</v>
      </c>
      <c r="I579" s="279" t="str">
        <f>IF(AD91="","",AD91)</f>
        <v>NA</v>
      </c>
      <c r="J579" s="279" t="str">
        <f>IF(AE91="","",AE91)</f>
        <v>NA</v>
      </c>
      <c r="K579" s="279" t="str">
        <f>IF(AF91="","",AF91)</f>
        <v>NA</v>
      </c>
      <c r="L579" s="279" t="str">
        <f>IF(AG91="","",AG91)</f>
        <v>NA</v>
      </c>
      <c r="M579" s="279" t="str">
        <f>IF(AH91="","",AH91)</f>
        <v>NA</v>
      </c>
      <c r="N579" s="279" t="str">
        <f>IF(AI91="","",AI91)</f>
        <v>NA</v>
      </c>
      <c r="U579" s="450"/>
      <c r="V579" s="451"/>
      <c r="W579" s="451"/>
      <c r="X579" s="420"/>
      <c r="Y579" s="452"/>
      <c r="Z579" s="452"/>
      <c r="AA579" s="452"/>
      <c r="AB579" s="452"/>
      <c r="AC579" s="452"/>
      <c r="AD579" s="452"/>
      <c r="AE579" s="452"/>
      <c r="AF579" s="452"/>
      <c r="AG579" s="452"/>
      <c r="AH579" s="452"/>
      <c r="AI579" s="452"/>
    </row>
    <row r="580" spans="2:35" ht="11.25" hidden="1" customHeight="1" outlineLevel="1" x14ac:dyDescent="0.35">
      <c r="B580" s="244" t="s">
        <v>5122</v>
      </c>
      <c r="C580" s="245"/>
      <c r="D580" s="279" t="str">
        <f>IF(Y92="","",Y92)</f>
        <v>NA</v>
      </c>
      <c r="E580" s="279" t="str">
        <f>IF(Z92="","",Z92)</f>
        <v>NA</v>
      </c>
      <c r="F580" s="279" t="str">
        <f>IF(AA92="","",AA92)</f>
        <v>NA</v>
      </c>
      <c r="G580" s="279" t="str">
        <f>IF(AB92="","",AB92)</f>
        <v>NA</v>
      </c>
      <c r="H580" s="279" t="str">
        <f>IF(AC92="","",AC92)</f>
        <v>NA</v>
      </c>
      <c r="I580" s="279" t="str">
        <f>IF(AD92="","",AD92)</f>
        <v>NA</v>
      </c>
      <c r="J580" s="279" t="str">
        <f>IF(AE92="","",AE92)</f>
        <v>NA</v>
      </c>
      <c r="K580" s="279" t="str">
        <f>IF(AF92="","",AF92)</f>
        <v>NA</v>
      </c>
      <c r="L580" s="279" t="str">
        <f>IF(AG92="","",AG92)</f>
        <v>NA</v>
      </c>
      <c r="M580" s="279" t="str">
        <f>IF(AH92="","",AH92)</f>
        <v>NA</v>
      </c>
      <c r="N580" s="279" t="str">
        <f>IF(AI92="","",AI92)</f>
        <v>NA</v>
      </c>
      <c r="U580" s="450"/>
      <c r="V580" s="451"/>
      <c r="W580" s="451"/>
      <c r="X580" s="420"/>
      <c r="Y580" s="452"/>
      <c r="Z580" s="452"/>
      <c r="AA580" s="452"/>
      <c r="AB580" s="452"/>
      <c r="AC580" s="452"/>
      <c r="AD580" s="452"/>
      <c r="AE580" s="452"/>
      <c r="AF580" s="452"/>
      <c r="AG580" s="452"/>
      <c r="AH580" s="452"/>
      <c r="AI580" s="452"/>
    </row>
    <row r="581" spans="2:35" ht="11.25" hidden="1" customHeight="1" outlineLevel="1" x14ac:dyDescent="0.35">
      <c r="B581" s="244" t="s">
        <v>5124</v>
      </c>
      <c r="C581" s="245"/>
      <c r="D581" s="279" t="str">
        <f>IF(Y93="","",Y93)</f>
        <v>NA</v>
      </c>
      <c r="E581" s="279" t="str">
        <f>IF(Z93="","",Z93)</f>
        <v>NA</v>
      </c>
      <c r="F581" s="279" t="str">
        <f>IF(AA93="","",AA93)</f>
        <v>NA</v>
      </c>
      <c r="G581" s="279" t="str">
        <f>IF(AB93="","",AB93)</f>
        <v>NA</v>
      </c>
      <c r="H581" s="279" t="str">
        <f>IF(AC93="","",AC93)</f>
        <v>NA</v>
      </c>
      <c r="I581" s="279" t="str">
        <f>IF(AD93="","",AD93)</f>
        <v>NA</v>
      </c>
      <c r="J581" s="279" t="str">
        <f>IF(AE93="","",AE93)</f>
        <v>NA</v>
      </c>
      <c r="K581" s="279" t="str">
        <f>IF(AF93="","",AF93)</f>
        <v>NA</v>
      </c>
      <c r="L581" s="279" t="str">
        <f>IF(AG93="","",AG93)</f>
        <v>NA</v>
      </c>
      <c r="M581" s="279" t="str">
        <f>IF(AH93="","",AH93)</f>
        <v>NA</v>
      </c>
      <c r="N581" s="279" t="str">
        <f>IF(AI93="","",AI93)</f>
        <v>NA</v>
      </c>
      <c r="U581" s="450"/>
      <c r="V581" s="451"/>
      <c r="W581" s="451"/>
      <c r="X581" s="420"/>
      <c r="Y581" s="452"/>
      <c r="Z581" s="452"/>
      <c r="AA581" s="452"/>
      <c r="AB581" s="452"/>
      <c r="AC581" s="452"/>
      <c r="AD581" s="452"/>
      <c r="AE581" s="452"/>
      <c r="AF581" s="452"/>
      <c r="AG581" s="452"/>
      <c r="AH581" s="452"/>
      <c r="AI581" s="452"/>
    </row>
    <row r="582" spans="2:35" ht="11.25" hidden="1" customHeight="1" outlineLevel="1" x14ac:dyDescent="0.35">
      <c r="B582" s="244" t="s">
        <v>5121</v>
      </c>
      <c r="C582" s="245"/>
      <c r="D582" s="279" t="str">
        <f>IF(Y94="","",Y94)</f>
        <v>NA</v>
      </c>
      <c r="E582" s="279" t="str">
        <f>IF(Z94="","",Z94)</f>
        <v>NA</v>
      </c>
      <c r="F582" s="279" t="str">
        <f>IF(AA94="","",AA94)</f>
        <v>NA</v>
      </c>
      <c r="G582" s="279" t="str">
        <f>IF(AB94="","",AB94)</f>
        <v>NA</v>
      </c>
      <c r="H582" s="279" t="str">
        <f>IF(AC94="","",AC94)</f>
        <v>NA</v>
      </c>
      <c r="I582" s="279" t="str">
        <f>IF(AD94="","",AD94)</f>
        <v>NA</v>
      </c>
      <c r="J582" s="279" t="str">
        <f>IF(AE94="","",AE94)</f>
        <v>NA</v>
      </c>
      <c r="K582" s="279" t="str">
        <f>IF(AF94="","",AF94)</f>
        <v>NA</v>
      </c>
      <c r="L582" s="279" t="str">
        <f>IF(AG94="","",AG94)</f>
        <v>NA</v>
      </c>
      <c r="M582" s="279" t="str">
        <f>IF(AH94="","",AH94)</f>
        <v>NA</v>
      </c>
      <c r="N582" s="279" t="str">
        <f>IF(AI94="","",AI94)</f>
        <v>NA</v>
      </c>
      <c r="U582" s="450"/>
      <c r="V582" s="451"/>
      <c r="W582" s="451"/>
      <c r="X582" s="420"/>
      <c r="Y582" s="452"/>
      <c r="Z582" s="452"/>
      <c r="AA582" s="452"/>
      <c r="AB582" s="452"/>
      <c r="AC582" s="452"/>
      <c r="AD582" s="452"/>
      <c r="AE582" s="452"/>
      <c r="AF582" s="452"/>
      <c r="AG582" s="452"/>
      <c r="AH582" s="452"/>
      <c r="AI582" s="452"/>
    </row>
    <row r="583" spans="2:35" ht="11.25" hidden="1" customHeight="1" outlineLevel="1" x14ac:dyDescent="0.35">
      <c r="B583" s="244" t="s">
        <v>5367</v>
      </c>
      <c r="C583" s="245"/>
      <c r="D583" s="279" t="str">
        <f>IF(Y95="","",Y95)</f>
        <v>NA</v>
      </c>
      <c r="E583" s="279" t="str">
        <f>IF(Z95="","",Z95)</f>
        <v>NA</v>
      </c>
      <c r="F583" s="279" t="str">
        <f>IF(AA95="","",AA95)</f>
        <v>NA</v>
      </c>
      <c r="G583" s="279" t="str">
        <f>IF(AB95="","",AB95)</f>
        <v>NA</v>
      </c>
      <c r="H583" s="279" t="str">
        <f>IF(AC95="","",AC95)</f>
        <v>NA</v>
      </c>
      <c r="I583" s="279" t="str">
        <f>IF(AD95="","",AD95)</f>
        <v>NA</v>
      </c>
      <c r="J583" s="279" t="str">
        <f>IF(AE95="","",AE95)</f>
        <v>NA</v>
      </c>
      <c r="K583" s="279" t="str">
        <f>IF(AF95="","",AF95)</f>
        <v>NA</v>
      </c>
      <c r="L583" s="279" t="str">
        <f>IF(AG95="","",AG95)</f>
        <v>NA</v>
      </c>
      <c r="M583" s="279" t="str">
        <f>IF(AH95="","",AH95)</f>
        <v>NA</v>
      </c>
      <c r="N583" s="279" t="str">
        <f>IF(AI95="","",AI95)</f>
        <v>NA</v>
      </c>
      <c r="U583" s="450"/>
      <c r="V583" s="451"/>
      <c r="W583" s="451"/>
      <c r="X583" s="420"/>
      <c r="Y583" s="452"/>
      <c r="Z583" s="452"/>
      <c r="AA583" s="452"/>
      <c r="AB583" s="452"/>
      <c r="AC583" s="452"/>
      <c r="AD583" s="452"/>
      <c r="AE583" s="452"/>
      <c r="AF583" s="452"/>
      <c r="AG583" s="452"/>
      <c r="AH583" s="452"/>
      <c r="AI583" s="452"/>
    </row>
    <row r="584" spans="2:35" ht="11.25" hidden="1" customHeight="1" outlineLevel="1" x14ac:dyDescent="0.35">
      <c r="B584" s="244" t="s">
        <v>5368</v>
      </c>
      <c r="C584" s="245"/>
      <c r="D584" s="279" t="str">
        <f>IF(Y96="","",Y96)</f>
        <v>NA</v>
      </c>
      <c r="E584" s="279" t="str">
        <f>IF(Z96="","",Z96)</f>
        <v>NA</v>
      </c>
      <c r="F584" s="279" t="str">
        <f>IF(AA96="","",AA96)</f>
        <v>NA</v>
      </c>
      <c r="G584" s="279" t="str">
        <f>IF(AB96="","",AB96)</f>
        <v>NA</v>
      </c>
      <c r="H584" s="279" t="str">
        <f>IF(AC96="","",AC96)</f>
        <v>NA</v>
      </c>
      <c r="I584" s="279" t="str">
        <f>IF(AD96="","",AD96)</f>
        <v>NA</v>
      </c>
      <c r="J584" s="279" t="str">
        <f>IF(AE96="","",AE96)</f>
        <v>NA</v>
      </c>
      <c r="K584" s="279" t="str">
        <f>IF(AF96="","",AF96)</f>
        <v>NA</v>
      </c>
      <c r="L584" s="279" t="str">
        <f>IF(AG96="","",AG96)</f>
        <v>NA</v>
      </c>
      <c r="M584" s="279" t="str">
        <f>IF(AH96="","",AH96)</f>
        <v>NA</v>
      </c>
      <c r="N584" s="279" t="str">
        <f>IF(AI96="","",AI96)</f>
        <v>NA</v>
      </c>
      <c r="U584" s="450"/>
      <c r="V584" s="451"/>
      <c r="W584" s="451"/>
      <c r="X584" s="420"/>
      <c r="Y584" s="452"/>
      <c r="Z584" s="452"/>
      <c r="AA584" s="452"/>
      <c r="AB584" s="452"/>
      <c r="AC584" s="452"/>
      <c r="AD584" s="452"/>
      <c r="AE584" s="452"/>
      <c r="AF584" s="452"/>
      <c r="AG584" s="452"/>
      <c r="AH584" s="452"/>
      <c r="AI584" s="452"/>
    </row>
    <row r="585" spans="2:35" ht="11.25" hidden="1" customHeight="1" outlineLevel="1" x14ac:dyDescent="0.35">
      <c r="B585" s="244" t="s">
        <v>5369</v>
      </c>
      <c r="C585" s="245"/>
      <c r="D585" s="279" t="str">
        <f>IF(Y97="","",Y97)</f>
        <v>NA</v>
      </c>
      <c r="E585" s="279" t="str">
        <f>IF(Z97="","",Z97)</f>
        <v>NA</v>
      </c>
      <c r="F585" s="279" t="str">
        <f>IF(AA97="","",AA97)</f>
        <v>NA</v>
      </c>
      <c r="G585" s="279" t="str">
        <f>IF(AB97="","",AB97)</f>
        <v>NA</v>
      </c>
      <c r="H585" s="279" t="str">
        <f>IF(AC97="","",AC97)</f>
        <v>NA</v>
      </c>
      <c r="I585" s="279" t="str">
        <f>IF(AD97="","",AD97)</f>
        <v>NA</v>
      </c>
      <c r="J585" s="279" t="str">
        <f>IF(AE97="","",AE97)</f>
        <v>NA</v>
      </c>
      <c r="K585" s="279" t="str">
        <f>IF(AF97="","",AF97)</f>
        <v>NA</v>
      </c>
      <c r="L585" s="279" t="str">
        <f>IF(AG97="","",AG97)</f>
        <v>NA</v>
      </c>
      <c r="M585" s="279" t="str">
        <f>IF(AH97="","",AH97)</f>
        <v>NA</v>
      </c>
      <c r="N585" s="279" t="str">
        <f>IF(AI97="","",AI97)</f>
        <v>NA</v>
      </c>
      <c r="U585" s="450"/>
      <c r="V585" s="451"/>
      <c r="W585" s="451"/>
      <c r="X585" s="420"/>
      <c r="Y585" s="452"/>
      <c r="Z585" s="452"/>
      <c r="AA585" s="452"/>
      <c r="AB585" s="452"/>
      <c r="AC585" s="452"/>
      <c r="AD585" s="452"/>
      <c r="AE585" s="452"/>
      <c r="AF585" s="452"/>
      <c r="AG585" s="452"/>
      <c r="AH585" s="452"/>
      <c r="AI585" s="452"/>
    </row>
    <row r="586" spans="2:35" ht="11.25" hidden="1" customHeight="1" outlineLevel="1" x14ac:dyDescent="0.35">
      <c r="B586" s="244" t="s">
        <v>5370</v>
      </c>
      <c r="C586" s="245"/>
      <c r="D586" s="279" t="str">
        <f>IF(Y98="","",Y98)</f>
        <v>NA</v>
      </c>
      <c r="E586" s="279" t="str">
        <f>IF(Z98="","",Z98)</f>
        <v>NA</v>
      </c>
      <c r="F586" s="279" t="str">
        <f>IF(AA98="","",AA98)</f>
        <v>NA</v>
      </c>
      <c r="G586" s="279" t="str">
        <f>IF(AB98="","",AB98)</f>
        <v>NA</v>
      </c>
      <c r="H586" s="279" t="str">
        <f>IF(AC98="","",AC98)</f>
        <v>NA</v>
      </c>
      <c r="I586" s="279" t="str">
        <f>IF(AD98="","",AD98)</f>
        <v>NA</v>
      </c>
      <c r="J586" s="279" t="str">
        <f>IF(AE98="","",AE98)</f>
        <v>NA</v>
      </c>
      <c r="K586" s="279" t="str">
        <f>IF(AF98="","",AF98)</f>
        <v>NA</v>
      </c>
      <c r="L586" s="279" t="str">
        <f>IF(AG98="","",AG98)</f>
        <v>NA</v>
      </c>
      <c r="M586" s="279" t="str">
        <f>IF(AH98="","",AH98)</f>
        <v>NA</v>
      </c>
      <c r="N586" s="279" t="str">
        <f>IF(AI98="","",AI98)</f>
        <v>NA</v>
      </c>
      <c r="U586" s="450"/>
      <c r="V586" s="451"/>
      <c r="W586" s="451"/>
      <c r="X586" s="420"/>
      <c r="Y586" s="452"/>
      <c r="Z586" s="452"/>
      <c r="AA586" s="452"/>
      <c r="AB586" s="452"/>
      <c r="AC586" s="452"/>
      <c r="AD586" s="452"/>
      <c r="AE586" s="452"/>
      <c r="AF586" s="452"/>
      <c r="AG586" s="452"/>
      <c r="AH586" s="452"/>
      <c r="AI586" s="452"/>
    </row>
    <row r="587" spans="2:35" ht="11.25" hidden="1" customHeight="1" outlineLevel="1" x14ac:dyDescent="0.35">
      <c r="B587" s="244" t="s">
        <v>5371</v>
      </c>
      <c r="C587" s="245"/>
      <c r="D587" s="279" t="str">
        <f>IF(Y99="","",Y99)</f>
        <v>NA</v>
      </c>
      <c r="E587" s="279" t="str">
        <f>IF(Z99="","",Z99)</f>
        <v>NA</v>
      </c>
      <c r="F587" s="279" t="str">
        <f>IF(AA99="","",AA99)</f>
        <v>NA</v>
      </c>
      <c r="G587" s="279" t="str">
        <f>IF(AB99="","",AB99)</f>
        <v>NA</v>
      </c>
      <c r="H587" s="279" t="str">
        <f>IF(AC99="","",AC99)</f>
        <v>NA</v>
      </c>
      <c r="I587" s="279" t="str">
        <f>IF(AD99="","",AD99)</f>
        <v>NA</v>
      </c>
      <c r="J587" s="279" t="str">
        <f>IF(AE99="","",AE99)</f>
        <v>NA</v>
      </c>
      <c r="K587" s="279" t="str">
        <f>IF(AF99="","",AF99)</f>
        <v>NA</v>
      </c>
      <c r="L587" s="279" t="str">
        <f>IF(AG99="","",AG99)</f>
        <v>NA</v>
      </c>
      <c r="M587" s="279" t="str">
        <f>IF(AH99="","",AH99)</f>
        <v>NA</v>
      </c>
      <c r="N587" s="279" t="str">
        <f>IF(AI99="","",AI99)</f>
        <v>NA</v>
      </c>
      <c r="U587" s="450"/>
      <c r="V587" s="451"/>
      <c r="W587" s="451"/>
      <c r="X587" s="420"/>
      <c r="Y587" s="452"/>
      <c r="Z587" s="452"/>
      <c r="AA587" s="452"/>
      <c r="AB587" s="452"/>
      <c r="AC587" s="452"/>
      <c r="AD587" s="452"/>
      <c r="AE587" s="452"/>
      <c r="AF587" s="452"/>
      <c r="AG587" s="452"/>
      <c r="AH587" s="452"/>
      <c r="AI587" s="452"/>
    </row>
    <row r="588" spans="2:35" ht="11.25" hidden="1" customHeight="1" outlineLevel="1" x14ac:dyDescent="0.35">
      <c r="B588" s="244" t="s">
        <v>5372</v>
      </c>
      <c r="C588" s="247"/>
      <c r="D588" s="279" t="str">
        <f>IF(Y100="","",Y100)</f>
        <v>NA</v>
      </c>
      <c r="E588" s="279" t="str">
        <f>IF(Z100="","",Z100)</f>
        <v>NA</v>
      </c>
      <c r="F588" s="279" t="str">
        <f>IF(AA100="","",AA100)</f>
        <v>NA</v>
      </c>
      <c r="G588" s="279" t="str">
        <f>IF(AB100="","",AB100)</f>
        <v>NA</v>
      </c>
      <c r="H588" s="279" t="str">
        <f>IF(AC100="","",AC100)</f>
        <v>NA</v>
      </c>
      <c r="I588" s="279" t="str">
        <f>IF(AD100="","",AD100)</f>
        <v>NA</v>
      </c>
      <c r="J588" s="279" t="str">
        <f>IF(AE100="","",AE100)</f>
        <v>NA</v>
      </c>
      <c r="K588" s="279" t="str">
        <f>IF(AF100="","",AF100)</f>
        <v>NA</v>
      </c>
      <c r="L588" s="279" t="str">
        <f>IF(AG100="","",AG100)</f>
        <v>NA</v>
      </c>
      <c r="M588" s="279" t="str">
        <f>IF(AH100="","",AH100)</f>
        <v>NA</v>
      </c>
      <c r="N588" s="279" t="str">
        <f>IF(AI100="","",AI100)</f>
        <v>NA</v>
      </c>
      <c r="U588" s="450"/>
      <c r="V588" s="451"/>
      <c r="W588" s="451"/>
      <c r="X588" s="420"/>
      <c r="Y588" s="452"/>
      <c r="Z588" s="452"/>
      <c r="AA588" s="452"/>
      <c r="AB588" s="452"/>
      <c r="AC588" s="452"/>
      <c r="AD588" s="452"/>
      <c r="AE588" s="452"/>
      <c r="AF588" s="452"/>
      <c r="AG588" s="452"/>
      <c r="AH588" s="452"/>
      <c r="AI588" s="452"/>
    </row>
    <row r="589" spans="2:35" ht="11.25" hidden="1" customHeight="1" outlineLevel="1" x14ac:dyDescent="0.35">
      <c r="B589" s="246"/>
      <c r="C589" s="247"/>
      <c r="D589" s="278"/>
      <c r="E589" s="307"/>
      <c r="F589" s="307"/>
      <c r="G589" s="307"/>
      <c r="H589" s="307"/>
      <c r="I589" s="307"/>
      <c r="J589" s="307"/>
      <c r="K589" s="307"/>
      <c r="L589" s="307"/>
      <c r="M589" s="307"/>
      <c r="N589" s="307"/>
    </row>
    <row r="590" spans="2:35" ht="11.25" customHeight="1" collapsed="1" x14ac:dyDescent="0.35">
      <c r="B590" s="246" t="s">
        <v>5510</v>
      </c>
      <c r="C590" s="247"/>
      <c r="D590" s="278"/>
      <c r="E590" s="307"/>
      <c r="F590" s="307"/>
      <c r="G590" s="307"/>
      <c r="H590" s="307"/>
      <c r="I590" s="307"/>
      <c r="J590" s="307"/>
      <c r="K590" s="307"/>
      <c r="L590" s="307"/>
      <c r="M590" s="307"/>
      <c r="N590" s="307"/>
    </row>
    <row r="591" spans="2:35" ht="11.25" customHeight="1" x14ac:dyDescent="0.35">
      <c r="B591" s="244" t="s">
        <v>5126</v>
      </c>
      <c r="C591" s="245">
        <v>123626</v>
      </c>
      <c r="D591" s="278">
        <v>8.4861800000000001E-2</v>
      </c>
      <c r="E591" s="278">
        <v>0</v>
      </c>
      <c r="F591" s="278">
        <v>0</v>
      </c>
      <c r="G591" s="278">
        <v>0</v>
      </c>
      <c r="H591" s="278">
        <v>0</v>
      </c>
      <c r="I591" s="278">
        <v>0</v>
      </c>
      <c r="J591" s="278">
        <v>0</v>
      </c>
      <c r="K591" s="278">
        <v>0</v>
      </c>
      <c r="L591" s="278">
        <v>0</v>
      </c>
      <c r="M591" s="278">
        <v>0</v>
      </c>
      <c r="N591" s="278">
        <v>0</v>
      </c>
    </row>
    <row r="592" spans="2:35" ht="11.25" customHeight="1" x14ac:dyDescent="0.35">
      <c r="B592" s="244" t="s">
        <v>5125</v>
      </c>
      <c r="C592" s="245">
        <v>123630</v>
      </c>
      <c r="D592" s="278">
        <v>16.269603700000001</v>
      </c>
      <c r="E592" s="278">
        <v>1.4972928000000001</v>
      </c>
      <c r="F592" s="278">
        <v>99.188927500000005</v>
      </c>
      <c r="G592" s="278">
        <v>24.625337200000001</v>
      </c>
      <c r="H592" s="278">
        <v>0</v>
      </c>
      <c r="I592" s="278">
        <v>30.7611232</v>
      </c>
      <c r="J592" s="278">
        <v>8.6420682000000006</v>
      </c>
      <c r="K592" s="278">
        <v>4.3392904000000003</v>
      </c>
      <c r="L592" s="278">
        <v>35.880183199999998</v>
      </c>
      <c r="M592" s="278">
        <v>1.2152816</v>
      </c>
      <c r="N592" s="278">
        <v>20.059485599999999</v>
      </c>
    </row>
    <row r="593" spans="2:14" ht="11.25" customHeight="1" x14ac:dyDescent="0.35">
      <c r="B593" s="244" t="s">
        <v>5124</v>
      </c>
      <c r="C593" s="245">
        <v>123634</v>
      </c>
      <c r="D593" s="278">
        <v>36.851180800000002</v>
      </c>
      <c r="E593" s="278">
        <v>6.1406821999999996</v>
      </c>
      <c r="F593" s="278">
        <v>3.1687100000000003E-2</v>
      </c>
      <c r="G593" s="278">
        <v>4.0200212999999998</v>
      </c>
      <c r="H593" s="278">
        <v>0</v>
      </c>
      <c r="I593" s="278">
        <v>0</v>
      </c>
      <c r="J593" s="278">
        <v>55.538097200000003</v>
      </c>
      <c r="K593" s="278">
        <v>0.30671660000000001</v>
      </c>
      <c r="L593" s="278">
        <v>1.1570919</v>
      </c>
      <c r="M593" s="278">
        <v>0</v>
      </c>
      <c r="N593" s="278">
        <v>0</v>
      </c>
    </row>
    <row r="594" spans="2:14" ht="11.25" customHeight="1" x14ac:dyDescent="0.35">
      <c r="B594" s="244" t="s">
        <v>5123</v>
      </c>
      <c r="C594" s="245">
        <v>123642</v>
      </c>
      <c r="D594" s="278">
        <v>0.10547910000000001</v>
      </c>
      <c r="E594" s="278">
        <v>-1.26E-5</v>
      </c>
      <c r="F594" s="278">
        <v>0</v>
      </c>
      <c r="G594" s="278">
        <v>0</v>
      </c>
      <c r="H594" s="278">
        <v>0</v>
      </c>
      <c r="I594" s="278">
        <v>4.8000000000000001E-4</v>
      </c>
      <c r="J594" s="278">
        <v>0</v>
      </c>
      <c r="K594" s="278">
        <v>0</v>
      </c>
      <c r="L594" s="278">
        <v>0</v>
      </c>
      <c r="M594" s="278">
        <v>0</v>
      </c>
      <c r="N594" s="278">
        <v>0</v>
      </c>
    </row>
    <row r="595" spans="2:14" ht="11.25" customHeight="1" x14ac:dyDescent="0.35">
      <c r="B595" s="244" t="s">
        <v>5122</v>
      </c>
      <c r="C595" s="245">
        <v>123646</v>
      </c>
      <c r="D595" s="278">
        <v>4.3324560999999999</v>
      </c>
      <c r="E595" s="278">
        <v>4.2539913</v>
      </c>
      <c r="F595" s="278">
        <v>-1.4965300000000001E-2</v>
      </c>
      <c r="G595" s="278">
        <v>9.6977000000000001E-3</v>
      </c>
      <c r="H595" s="278">
        <v>0</v>
      </c>
      <c r="I595" s="278">
        <v>0.68826929999999997</v>
      </c>
      <c r="J595" s="278">
        <v>-8.0889999999999998E-4</v>
      </c>
      <c r="K595" s="278">
        <v>7.9941499999999999E-2</v>
      </c>
      <c r="L595" s="278">
        <v>0</v>
      </c>
      <c r="M595" s="278">
        <v>0</v>
      </c>
      <c r="N595" s="278">
        <v>0.73413510000000004</v>
      </c>
    </row>
    <row r="596" spans="2:14" ht="11.25" customHeight="1" x14ac:dyDescent="0.35">
      <c r="B596" s="244" t="s">
        <v>5121</v>
      </c>
      <c r="C596" s="247">
        <v>123650</v>
      </c>
      <c r="D596" s="278">
        <v>17.657994899999998</v>
      </c>
      <c r="E596" s="307">
        <v>0</v>
      </c>
      <c r="F596" s="307">
        <v>0</v>
      </c>
      <c r="G596" s="307">
        <v>0</v>
      </c>
      <c r="H596" s="307">
        <v>0</v>
      </c>
      <c r="I596" s="307">
        <v>0</v>
      </c>
      <c r="J596" s="307">
        <v>0.12638830000000001</v>
      </c>
      <c r="K596" s="307">
        <v>0.1111583</v>
      </c>
      <c r="L596" s="307">
        <v>0</v>
      </c>
      <c r="M596" s="307">
        <v>0</v>
      </c>
      <c r="N596" s="307">
        <v>0</v>
      </c>
    </row>
    <row r="597" spans="2:14" ht="11.25" customHeight="1" x14ac:dyDescent="0.35">
      <c r="B597" s="244" t="s">
        <v>5120</v>
      </c>
      <c r="C597" s="245">
        <v>123654</v>
      </c>
      <c r="D597" s="278">
        <v>13.9761629</v>
      </c>
      <c r="E597" s="307">
        <v>7.7351751999999996</v>
      </c>
      <c r="F597" s="307">
        <v>0</v>
      </c>
      <c r="G597" s="307">
        <v>0.70652570000000003</v>
      </c>
      <c r="H597" s="307">
        <v>11.4390809</v>
      </c>
      <c r="I597" s="307">
        <v>1.0234627000000001</v>
      </c>
      <c r="J597" s="307">
        <v>2.1009232</v>
      </c>
      <c r="K597" s="307">
        <v>23.9628038</v>
      </c>
      <c r="L597" s="307">
        <v>0</v>
      </c>
      <c r="M597" s="307">
        <v>0</v>
      </c>
      <c r="N597" s="307">
        <v>6.2794977999999997</v>
      </c>
    </row>
    <row r="598" spans="2:14" ht="11.25" customHeight="1" x14ac:dyDescent="0.35">
      <c r="B598" s="244" t="s">
        <v>5119</v>
      </c>
      <c r="C598" s="245">
        <v>123658</v>
      </c>
      <c r="D598" s="278">
        <v>0.1090501</v>
      </c>
      <c r="E598" s="307">
        <v>-1.33E-5</v>
      </c>
      <c r="F598" s="307">
        <v>0</v>
      </c>
      <c r="G598" s="307">
        <v>0</v>
      </c>
      <c r="H598" s="307">
        <v>0</v>
      </c>
      <c r="I598" s="307">
        <v>0</v>
      </c>
      <c r="J598" s="307">
        <v>0</v>
      </c>
      <c r="K598" s="307">
        <v>0</v>
      </c>
      <c r="L598" s="307">
        <v>0</v>
      </c>
      <c r="M598" s="307">
        <v>0</v>
      </c>
      <c r="N598" s="307">
        <v>0</v>
      </c>
    </row>
    <row r="599" spans="2:14" ht="11.25" customHeight="1" x14ac:dyDescent="0.35">
      <c r="B599" s="244" t="s">
        <v>5107</v>
      </c>
      <c r="C599" s="245">
        <v>123662</v>
      </c>
      <c r="D599" s="278">
        <v>10.2185095</v>
      </c>
      <c r="E599" s="307">
        <v>80.372884400000004</v>
      </c>
      <c r="F599" s="307">
        <v>9.4148300000000004E-2</v>
      </c>
      <c r="G599" s="307">
        <v>70.638418000000001</v>
      </c>
      <c r="H599" s="307">
        <v>88.560919100000007</v>
      </c>
      <c r="I599" s="307">
        <v>67.526664999999994</v>
      </c>
      <c r="J599" s="307">
        <v>31.6431316</v>
      </c>
      <c r="K599" s="307">
        <v>71.077029600000003</v>
      </c>
      <c r="L599" s="307">
        <v>62.962724899999998</v>
      </c>
      <c r="M599" s="307">
        <v>98.784718400000003</v>
      </c>
      <c r="N599" s="307">
        <v>72.926881499999993</v>
      </c>
    </row>
    <row r="600" spans="2:14" ht="11.25" customHeight="1" x14ac:dyDescent="0.35">
      <c r="B600" s="244" t="s">
        <v>4946</v>
      </c>
      <c r="C600" s="245"/>
      <c r="D600" s="278"/>
      <c r="E600" s="307"/>
      <c r="F600" s="307"/>
      <c r="G600" s="307"/>
      <c r="H600" s="307"/>
      <c r="I600" s="307"/>
      <c r="J600" s="307"/>
      <c r="K600" s="307"/>
      <c r="L600" s="307"/>
      <c r="M600" s="307"/>
      <c r="N600" s="307"/>
    </row>
    <row r="601" spans="2:14" ht="11.25" customHeight="1" x14ac:dyDescent="0.35">
      <c r="B601" s="246" t="s">
        <v>5133</v>
      </c>
      <c r="C601" s="245"/>
      <c r="D601" s="278"/>
      <c r="E601" s="307"/>
      <c r="F601" s="307"/>
      <c r="G601" s="307"/>
      <c r="H601" s="307"/>
      <c r="I601" s="307"/>
      <c r="J601" s="307"/>
      <c r="K601" s="307"/>
      <c r="L601" s="307"/>
      <c r="M601" s="307"/>
      <c r="N601" s="307"/>
    </row>
    <row r="602" spans="2:14" ht="11.25" customHeight="1" x14ac:dyDescent="0.35">
      <c r="B602" s="244" t="s">
        <v>5130</v>
      </c>
      <c r="C602" s="247"/>
      <c r="D602" s="278">
        <f>IF(LEFT(D$6,4)&gt;"2018",IFERROR(100*SUM(D625,D637,D650,D663,D676,D689,D702)/SUM(D715,D728),"NA"),D608)</f>
        <v>50.003801699999997</v>
      </c>
      <c r="E602" s="278">
        <f>IF(LEFT(E$6,4)&gt;"2018",IFERROR(100*SUM(E625,E637,E650,E663,E676,E689,E702)/SUM(E715,E728),"NA"),E608)</f>
        <v>116.77770750000001</v>
      </c>
      <c r="F602" s="278">
        <f>IF(LEFT(F$6,4)&gt;"2018",IFERROR(100*SUM(F625,F637,F650,F663,F676,F689,F702)/SUM(F715,F728),"NA"),F608)</f>
        <v>43.2247226</v>
      </c>
      <c r="G602" s="278">
        <f>IF(LEFT(G$6,4)&gt;"2018",IFERROR(100*SUM(G625,G637,G650,G663,G676,G689,G702)/SUM(G715,G728),"NA"),G608)</f>
        <v>7.0701608</v>
      </c>
      <c r="H602" s="278" t="str">
        <f>IF(LEFT(H$6,4)&gt;"2018",IFERROR(100*SUM(H625,H637,H650,H663,H676,H689,H702)/SUM(H715,H728),"NA"),H608)</f>
        <v>NA</v>
      </c>
      <c r="I602" s="278">
        <f>IF(LEFT(I$6,4)&gt;"2018",IFERROR(100*SUM(I625,I637,I650,I663,I676,I689,I702)/SUM(I715,I728),"NA"),I608)</f>
        <v>27.451660199999999</v>
      </c>
      <c r="J602" s="278">
        <f>IF(LEFT(J$6,4)&gt;"2018",IFERROR(100*SUM(J625,J637,J650,J663,J676,J689,J702)/SUM(J715,J728),"NA"),J608)</f>
        <v>56.939047299999999</v>
      </c>
      <c r="K602" s="278">
        <f>IF(LEFT(K$6,4)&gt;"2018",IFERROR(100*SUM(K625,K637,K650,K663,K676,K689,K702)/SUM(K715,K728),"NA"),K608)</f>
        <v>110.6592376</v>
      </c>
      <c r="L602" s="278">
        <f>IF(LEFT(L$6,4)&gt;"2018",IFERROR(100*SUM(L625,L637,L650,L663,L676,L689,L702)/SUM(L715,L728),"NA"),L608)</f>
        <v>92.687515099999999</v>
      </c>
      <c r="M602" s="278">
        <f>IF(LEFT(M$6,4)&gt;"2018",IFERROR(100*SUM(M625,M637,M650,M663,M676,M689,M702)/SUM(M715,M728),"NA"),M608)</f>
        <v>128.7913255</v>
      </c>
      <c r="N602" s="278">
        <f>IF(LEFT(N$6,4)&gt;"2018",IFERROR(100*SUM(N625,N637,N650,N663,N676,N689,N702)/SUM(N715,N728),"NA"),N608)</f>
        <v>32.014596099999999</v>
      </c>
    </row>
    <row r="603" spans="2:14" ht="11.25" customHeight="1" x14ac:dyDescent="0.35">
      <c r="B603" s="244" t="s">
        <v>5129</v>
      </c>
      <c r="C603" s="245"/>
      <c r="D603" s="278">
        <f>IF(LEFT(D$6,4)&gt;"2018",IFERROR(100*SUM(D626,D638,D651,D664,D677,D690,D703)/SUM(D716,D729),"NA"),D609)</f>
        <v>19.734971399999999</v>
      </c>
      <c r="E603" s="278">
        <f>IF(LEFT(E$6,4)&gt;"2018",IFERROR(100*SUM(E626,E638,E651,E664,E677,E690,E703)/SUM(E716,E729),"NA"),E609)</f>
        <v>4361.4621522999996</v>
      </c>
      <c r="F603" s="278">
        <f>IF(LEFT(F$6,4)&gt;"2018",IFERROR(100*SUM(F626,F638,F651,F664,F677,F690,F703)/SUM(F716,F729),"NA"),F609)</f>
        <v>132.1404746</v>
      </c>
      <c r="G603" s="278">
        <f>IF(LEFT(G$6,4)&gt;"2018",IFERROR(100*SUM(G626,G638,G651,G664,G677,G690,G703)/SUM(G716,G729),"NA"),G609)</f>
        <v>0.78519709999999998</v>
      </c>
      <c r="H603" s="278" t="str">
        <f>IF(LEFT(H$6,4)&gt;"2018",IFERROR(100*SUM(H626,H638,H651,H664,H677,H690,H703)/SUM(H716,H729),"NA"),H609)</f>
        <v>NA</v>
      </c>
      <c r="I603" s="278" t="str">
        <f>IF(LEFT(I$6,4)&gt;"2018",IFERROR(100*SUM(I626,I638,I651,I664,I677,I690,I703)/SUM(I716,I729),"NA"),I609)</f>
        <v>NM</v>
      </c>
      <c r="J603" s="278">
        <f>IF(LEFT(J$6,4)&gt;"2018",IFERROR(100*SUM(J626,J638,J651,J664,J677,J690,J703)/SUM(J716,J729),"NA"),J609)</f>
        <v>43.617032899999998</v>
      </c>
      <c r="K603" s="278">
        <f>IF(LEFT(K$6,4)&gt;"2018",IFERROR(100*SUM(K626,K638,K651,K664,K677,K690,K703)/SUM(K716,K729),"NA"),K609)</f>
        <v>1211.1435959</v>
      </c>
      <c r="L603" s="278">
        <f>IF(LEFT(L$6,4)&gt;"2018",IFERROR(100*SUM(L626,L638,L651,L664,L677,L690,L703)/SUM(L716,L729),"NA"),L609)</f>
        <v>1206.2205630999999</v>
      </c>
      <c r="M603" s="278" t="str">
        <f>IF(LEFT(M$6,4)&gt;"2018",IFERROR(100*SUM(M626,M638,M651,M664,M677,M690,M703)/SUM(M716,M729),"NA"),M609)</f>
        <v>NA</v>
      </c>
      <c r="N603" s="278" t="str">
        <f>IF(LEFT(N$6,4)&gt;"2018",IFERROR(100*SUM(N626,N638,N651,N664,N677,N690,N703)/SUM(N716,N729),"NA"),N609)</f>
        <v>NM</v>
      </c>
    </row>
    <row r="604" spans="2:14" ht="11.25" customHeight="1" x14ac:dyDescent="0.35">
      <c r="B604" s="244" t="s">
        <v>5128</v>
      </c>
      <c r="C604" s="245"/>
      <c r="D604" s="278">
        <f>IF(LEFT(D$6,4)&gt;"2018",IFERROR(100*SUM(D621,D633,D646,D659,D672,D685,D698)/SUM(D711,D724),"NA"),D610)</f>
        <v>71.968553200000002</v>
      </c>
      <c r="E604" s="278">
        <f>IF(LEFT(E$6,4)&gt;"2018",IFERROR(100*SUM(E621,E633,E646,E659,E672,E685,E698)/SUM(E711,E724),"NA"),E610)</f>
        <v>182.2311722</v>
      </c>
      <c r="F604" s="278">
        <f>IF(LEFT(F$6,4)&gt;"2018",IFERROR(100*SUM(F621,F633,F646,F659,F672,F685,F698)/SUM(F711,F724),"NA"),F610)</f>
        <v>-3.4146841999999999</v>
      </c>
      <c r="G604" s="278">
        <f>IF(LEFT(G$6,4)&gt;"2018",IFERROR(100*SUM(G621,G633,G646,G659,G672,G685,G698)/SUM(G711,G724),"NA"),G610)</f>
        <v>54.344407799999999</v>
      </c>
      <c r="H604" s="278">
        <f>IF(LEFT(H$6,4)&gt;"2018",IFERROR(100*SUM(H621,H633,H646,H659,H672,H685,H698)/SUM(H711,H724),"NA"),H610)</f>
        <v>65.724370300000004</v>
      </c>
      <c r="I604" s="278">
        <f>IF(LEFT(I$6,4)&gt;"2018",IFERROR(100*SUM(I621,I633,I646,I659,I672,I685,I698)/SUM(I711,I724),"NA"),I610)</f>
        <v>38.395999600000003</v>
      </c>
      <c r="J604" s="278">
        <f>IF(LEFT(J$6,4)&gt;"2018",IFERROR(100*SUM(J621,J633,J646,J659,J672,J685,J698)/SUM(J711,J724),"NA"),J610)</f>
        <v>59.927644800000003</v>
      </c>
      <c r="K604" s="278">
        <f>IF(LEFT(K$6,4)&gt;"2018",IFERROR(100*SUM(K621,K633,K646,K659,K672,K685,K698)/SUM(K711,K724),"NA"),K610)</f>
        <v>67.3088154</v>
      </c>
      <c r="L604" s="278">
        <f>IF(LEFT(L$6,4)&gt;"2018",IFERROR(100*SUM(L621,L633,L646,L659,L672,L685,L698)/SUM(L711,L724),"NA"),L610)</f>
        <v>98.042809700000007</v>
      </c>
      <c r="M604" s="278">
        <f>IF(LEFT(M$6,4)&gt;"2018",IFERROR(100*SUM(M621,M633,M646,M659,M672,M685,M698)/SUM(M711,M724),"NA"),M610)</f>
        <v>47.947499700000002</v>
      </c>
      <c r="N604" s="278">
        <f>IF(LEFT(N$6,4)&gt;"2018",IFERROR(100*SUM(N621,N633,N646,N659,N672,N685,N698)/SUM(N711,N724),"NA"),N610)</f>
        <v>45.411489099999997</v>
      </c>
    </row>
    <row r="605" spans="2:14" ht="11.25" customHeight="1" x14ac:dyDescent="0.35">
      <c r="B605" s="244" t="s">
        <v>5387</v>
      </c>
      <c r="C605" s="245"/>
      <c r="D605" s="278">
        <f>IF(LEFT(D$6,4)&gt;"2018","NA",D611)</f>
        <v>43.046992099999997</v>
      </c>
      <c r="E605" s="278" t="str">
        <f>IF(LEFT(E$6,4)&gt;"2018","NA",E611)</f>
        <v>NM</v>
      </c>
      <c r="F605" s="278" t="str">
        <f>IF(LEFT(F$6,4)&gt;"2018","NA",F611)</f>
        <v>NA</v>
      </c>
      <c r="G605" s="278" t="str">
        <f>IF(LEFT(G$6,4)&gt;"2018","NA",G611)</f>
        <v>NA</v>
      </c>
      <c r="H605" s="278" t="str">
        <f>IF(LEFT(H$6,4)&gt;"2018","NA",H611)</f>
        <v>NA</v>
      </c>
      <c r="I605" s="278">
        <f>IF(LEFT(I$6,4)&gt;"2018","NA",I611)</f>
        <v>137.83657220000001</v>
      </c>
      <c r="J605" s="278" t="str">
        <f>IF(LEFT(J$6,4)&gt;"2018","NA",J611)</f>
        <v>NA</v>
      </c>
      <c r="K605" s="278" t="str">
        <f>IF(LEFT(K$6,4)&gt;"2018","NA",K611)</f>
        <v>NA</v>
      </c>
      <c r="L605" s="278" t="str">
        <f>IF(LEFT(L$6,4)&gt;"2018","NA",L611)</f>
        <v>NA</v>
      </c>
      <c r="M605" s="278" t="str">
        <f>IF(LEFT(M$6,4)&gt;"2018","NA",M611)</f>
        <v>NA</v>
      </c>
      <c r="N605" s="278" t="str">
        <f>IF(LEFT(N$6,4)&gt;"2018","NA",N611)</f>
        <v>NA</v>
      </c>
    </row>
    <row r="606" spans="2:14" ht="11.25" customHeight="1" x14ac:dyDescent="0.35">
      <c r="B606" s="244" t="s">
        <v>5127</v>
      </c>
      <c r="C606" s="245"/>
      <c r="D606" s="278">
        <f>IF(LEFT(D$6,4)&gt;"2018",IFERROR(100*SUM(D622:D624,D634:D636,D647:D649,D660:D662,D673:D675,D686:D688,D699:D701)/SUM(D712:D714,D725:D727),"NA"),D612)</f>
        <v>72.717358599999997</v>
      </c>
      <c r="E606" s="278" t="str">
        <f>IF(LEFT(E$6,4)&gt;"2018",IFERROR(100*SUM(E622:E624,E634:E636,E647:E649,E660:E662,E673:E675,E686:E688,E699:E701)/SUM(E712:E714,E725:E727),"NA"),E612)</f>
        <v>NA</v>
      </c>
      <c r="F606" s="278">
        <f>IF(LEFT(F$6,4)&gt;"2018",IFERROR(100*SUM(F622:F624,F634:F636,F647:F649,F660:F662,F673:F675,F686:F688,F699:F701)/SUM(F712:F714,F725:F727),"NA"),F612)</f>
        <v>172.38681729999999</v>
      </c>
      <c r="G606" s="278" t="str">
        <f>IF(LEFT(G$6,4)&gt;"2018",IFERROR(100*SUM(G622:G624,G634:G636,G647:G649,G660:G662,G673:G675,G686:G688,G699:G701)/SUM(G712:G714,G725:G727),"NA"),G612)</f>
        <v>NA</v>
      </c>
      <c r="H606" s="278" t="str">
        <f>IF(LEFT(H$6,4)&gt;"2018",IFERROR(100*SUM(H622:H624,H634:H636,H647:H649,H660:H662,H673:H675,H686:H688,H699:H701)/SUM(H712:H714,H725:H727),"NA"),H612)</f>
        <v>NA</v>
      </c>
      <c r="I606" s="278" t="str">
        <f>IF(LEFT(I$6,4)&gt;"2018",IFERROR(100*SUM(I622:I624,I634:I636,I647:I649,I660:I662,I673:I675,I686:I688,I699:I701)/SUM(I712:I714,I725:I727),"NA"),I612)</f>
        <v>NM</v>
      </c>
      <c r="J606" s="278">
        <f>IF(LEFT(J$6,4)&gt;"2018",IFERROR(100*SUM(J622:J624,J634:J636,J647:J649,J660:J662,J673:J675,J686:J688,J699:J701)/SUM(J712:J714,J725:J727),"NA"),J612)</f>
        <v>82.995638700000001</v>
      </c>
      <c r="K606" s="278">
        <f>IF(LEFT(K$6,4)&gt;"2018",IFERROR(100*SUM(K622:K624,K634:K636,K647:K649,K660:K662,K673:K675,K686:K688,K699:K701)/SUM(K712:K714,K725:K727),"NA"),K612)</f>
        <v>1026.5387578</v>
      </c>
      <c r="L606" s="278" t="str">
        <f>IF(LEFT(L$6,4)&gt;"2018",IFERROR(100*SUM(L622:L624,L634:L636,L647:L649,L660:L662,L673:L675,L686:L688,L699:L701)/SUM(L712:L714,L725:L727),"NA"),L612)</f>
        <v>NA</v>
      </c>
      <c r="M606" s="278" t="str">
        <f>IF(LEFT(M$6,4)&gt;"2018",IFERROR(100*SUM(M622:M624,M634:M636,M647:M649,M660:M662,M673:M675,M686:M688,M699:M701)/SUM(M712:M714,M725:M727),"NA"),M612)</f>
        <v>NA</v>
      </c>
      <c r="N606" s="278" t="str">
        <f>IF(LEFT(N$6,4)&gt;"2018",IFERROR(100*SUM(N622:N624,N634:N636,N647:N649,N660:N662,N673:N675,N686:N688,N699:N701)/SUM(N712:N714,N725:N727),"NA"),N612)</f>
        <v>NA</v>
      </c>
    </row>
    <row r="607" spans="2:14" ht="11.25" customHeight="1" x14ac:dyDescent="0.35">
      <c r="B607" s="244" t="s">
        <v>4946</v>
      </c>
      <c r="C607" s="245"/>
      <c r="D607" s="278"/>
      <c r="E607" s="307"/>
      <c r="F607" s="307"/>
      <c r="G607" s="307"/>
      <c r="H607" s="307"/>
      <c r="I607" s="307"/>
      <c r="J607" s="307"/>
      <c r="K607" s="307"/>
      <c r="L607" s="307"/>
      <c r="M607" s="307"/>
      <c r="N607" s="307"/>
    </row>
    <row r="608" spans="2:14" ht="11.25" hidden="1" customHeight="1" outlineLevel="1" x14ac:dyDescent="0.35">
      <c r="B608" s="244" t="s">
        <v>5130</v>
      </c>
      <c r="C608" s="245">
        <v>123607</v>
      </c>
      <c r="D608" s="278">
        <v>50.003801699999997</v>
      </c>
      <c r="E608" s="307">
        <v>116.77770750000001</v>
      </c>
      <c r="F608" s="307">
        <v>43.2247226</v>
      </c>
      <c r="G608" s="307">
        <v>7.0701608</v>
      </c>
      <c r="H608" s="307" t="s">
        <v>29</v>
      </c>
      <c r="I608" s="307">
        <v>27.451660199999999</v>
      </c>
      <c r="J608" s="307">
        <v>56.939047299999999</v>
      </c>
      <c r="K608" s="307">
        <v>110.6592376</v>
      </c>
      <c r="L608" s="307">
        <v>92.687515099999999</v>
      </c>
      <c r="M608" s="307">
        <v>128.7913255</v>
      </c>
      <c r="N608" s="307">
        <v>32.014596099999999</v>
      </c>
    </row>
    <row r="609" spans="2:35" ht="11.25" hidden="1" customHeight="1" outlineLevel="1" x14ac:dyDescent="0.35">
      <c r="B609" s="244" t="s">
        <v>5129</v>
      </c>
      <c r="C609" s="245">
        <v>123611</v>
      </c>
      <c r="D609" s="278">
        <v>19.734971399999999</v>
      </c>
      <c r="E609" s="307">
        <v>4361.4621522999996</v>
      </c>
      <c r="F609" s="307">
        <v>132.1404746</v>
      </c>
      <c r="G609" s="307">
        <v>0.78519709999999998</v>
      </c>
      <c r="H609" s="307" t="s">
        <v>29</v>
      </c>
      <c r="I609" s="307" t="s">
        <v>2107</v>
      </c>
      <c r="J609" s="307">
        <v>43.617032899999998</v>
      </c>
      <c r="K609" s="307">
        <v>1211.1435959</v>
      </c>
      <c r="L609" s="307">
        <v>1206.2205630999999</v>
      </c>
      <c r="M609" s="307" t="s">
        <v>29</v>
      </c>
      <c r="N609" s="307" t="s">
        <v>2107</v>
      </c>
    </row>
    <row r="610" spans="2:35" ht="11.25" hidden="1" customHeight="1" outlineLevel="1" x14ac:dyDescent="0.35">
      <c r="B610" s="244" t="s">
        <v>5128</v>
      </c>
      <c r="C610" s="245">
        <v>123615</v>
      </c>
      <c r="D610" s="278">
        <v>71.968553200000002</v>
      </c>
      <c r="E610" s="307">
        <v>182.2311722</v>
      </c>
      <c r="F610" s="307">
        <v>-3.4146841999999999</v>
      </c>
      <c r="G610" s="307">
        <v>54.344407799999999</v>
      </c>
      <c r="H610" s="307">
        <v>65.724370300000004</v>
      </c>
      <c r="I610" s="307">
        <v>38.395999600000003</v>
      </c>
      <c r="J610" s="307">
        <v>59.927644800000003</v>
      </c>
      <c r="K610" s="307">
        <v>67.3088154</v>
      </c>
      <c r="L610" s="307">
        <v>98.042809700000007</v>
      </c>
      <c r="M610" s="307">
        <v>47.947499700000002</v>
      </c>
      <c r="N610" s="307">
        <v>45.411489099999997</v>
      </c>
    </row>
    <row r="611" spans="2:35" ht="11.25" hidden="1" customHeight="1" outlineLevel="1" x14ac:dyDescent="0.35">
      <c r="B611" s="244" t="s">
        <v>5387</v>
      </c>
      <c r="C611" s="245">
        <v>123619</v>
      </c>
      <c r="D611" s="278">
        <v>43.046992099999997</v>
      </c>
      <c r="E611" s="307" t="s">
        <v>2107</v>
      </c>
      <c r="F611" s="307" t="s">
        <v>29</v>
      </c>
      <c r="G611" s="307" t="s">
        <v>29</v>
      </c>
      <c r="H611" s="307" t="s">
        <v>29</v>
      </c>
      <c r="I611" s="307">
        <v>137.83657220000001</v>
      </c>
      <c r="J611" s="307" t="s">
        <v>29</v>
      </c>
      <c r="K611" s="307" t="s">
        <v>29</v>
      </c>
      <c r="L611" s="307" t="s">
        <v>29</v>
      </c>
      <c r="M611" s="307" t="s">
        <v>29</v>
      </c>
      <c r="N611" s="307" t="s">
        <v>29</v>
      </c>
    </row>
    <row r="612" spans="2:35" ht="11.25" hidden="1" customHeight="1" outlineLevel="1" x14ac:dyDescent="0.35">
      <c r="B612" s="244" t="s">
        <v>5127</v>
      </c>
      <c r="C612" s="245">
        <v>123623</v>
      </c>
      <c r="D612" s="278">
        <v>72.717358599999997</v>
      </c>
      <c r="E612" s="307" t="s">
        <v>29</v>
      </c>
      <c r="F612" s="307">
        <v>172.38681729999999</v>
      </c>
      <c r="G612" s="307" t="s">
        <v>29</v>
      </c>
      <c r="H612" s="307" t="s">
        <v>29</v>
      </c>
      <c r="I612" s="307" t="s">
        <v>2107</v>
      </c>
      <c r="J612" s="307">
        <v>82.995638700000001</v>
      </c>
      <c r="K612" s="307">
        <v>1026.5387578</v>
      </c>
      <c r="L612" s="307" t="s">
        <v>29</v>
      </c>
      <c r="M612" s="307" t="s">
        <v>29</v>
      </c>
      <c r="N612" s="307" t="s">
        <v>29</v>
      </c>
    </row>
    <row r="613" spans="2:35" ht="11.25" hidden="1" customHeight="1" outlineLevel="1" x14ac:dyDescent="0.55000000000000004">
      <c r="B613" s="244"/>
      <c r="C613" s="245"/>
      <c r="D613" s="278"/>
      <c r="E613" s="307"/>
      <c r="F613" s="307"/>
      <c r="G613" s="307"/>
      <c r="H613" s="307"/>
      <c r="I613" s="307"/>
      <c r="J613" s="307"/>
      <c r="K613" s="307"/>
      <c r="L613" s="307"/>
      <c r="M613" s="307"/>
      <c r="N613" s="307"/>
      <c r="U613" s="392"/>
      <c r="V613" s="289"/>
      <c r="W613" s="289"/>
      <c r="X613" s="289"/>
      <c r="Y613" s="393"/>
      <c r="Z613" s="393"/>
      <c r="AA613" s="393"/>
      <c r="AB613" s="393"/>
      <c r="AC613" s="393"/>
      <c r="AD613" s="393"/>
      <c r="AE613" s="393"/>
      <c r="AF613" s="393"/>
      <c r="AG613" s="393"/>
      <c r="AH613" s="393"/>
      <c r="AI613" s="393"/>
    </row>
    <row r="614" spans="2:35" ht="11.25" hidden="1" customHeight="1" outlineLevel="1" x14ac:dyDescent="0.55000000000000004">
      <c r="B614" s="246" t="s">
        <v>5463</v>
      </c>
      <c r="C614" s="405"/>
      <c r="D614" s="406"/>
      <c r="E614" s="406"/>
      <c r="F614" s="406"/>
      <c r="G614" s="406"/>
      <c r="H614" s="406"/>
      <c r="I614" s="406"/>
      <c r="J614" s="406"/>
      <c r="K614" s="406"/>
      <c r="L614" s="406"/>
      <c r="M614" s="406"/>
      <c r="N614" s="406"/>
      <c r="U614" s="289"/>
      <c r="V614" s="289"/>
      <c r="W614" s="289"/>
      <c r="X614" s="289"/>
      <c r="Y614" s="289"/>
      <c r="Z614" s="289"/>
      <c r="AA614" s="289"/>
      <c r="AB614" s="289"/>
      <c r="AC614" s="289"/>
      <c r="AD614" s="289"/>
      <c r="AE614" s="289"/>
      <c r="AF614" s="289"/>
      <c r="AG614" s="289"/>
      <c r="AH614" s="289"/>
      <c r="AI614" s="289"/>
    </row>
    <row r="615" spans="2:35" ht="11.25" hidden="1" customHeight="1" outlineLevel="1" x14ac:dyDescent="0.35">
      <c r="B615" s="244" t="s">
        <v>5365</v>
      </c>
      <c r="C615" s="245"/>
      <c r="D615" s="279" t="str">
        <f>IF(Y291="","",Y291)</f>
        <v>NA</v>
      </c>
      <c r="E615" s="279" t="str">
        <f>IF(Z291="","",Z291)</f>
        <v>NA</v>
      </c>
      <c r="F615" s="279" t="str">
        <f>IF(AA291="","",AA291)</f>
        <v>NA</v>
      </c>
      <c r="G615" s="279" t="str">
        <f>IF(AB291="","",AB291)</f>
        <v>NA</v>
      </c>
      <c r="H615" s="279" t="str">
        <f>IF(AC291="","",AC291)</f>
        <v>NA</v>
      </c>
      <c r="I615" s="279" t="str">
        <f>IF(AD291="","",AD291)</f>
        <v>NA</v>
      </c>
      <c r="J615" s="279" t="str">
        <f>IF(AE291="","",AE291)</f>
        <v>NA</v>
      </c>
      <c r="K615" s="279" t="str">
        <f>IF(AF291="","",AF291)</f>
        <v>NA</v>
      </c>
      <c r="L615" s="279" t="str">
        <f>IF(AG291="","",AG291)</f>
        <v>NA</v>
      </c>
      <c r="M615" s="279" t="str">
        <f>IF(AH291="","",AH291)</f>
        <v>NA</v>
      </c>
      <c r="N615" s="279" t="str">
        <f>IF(AI291="","",AI291)</f>
        <v>NA</v>
      </c>
      <c r="U615" s="258"/>
      <c r="V615" s="394"/>
      <c r="W615" s="394"/>
      <c r="X615" s="392"/>
      <c r="Y615" s="395"/>
      <c r="Z615" s="395"/>
      <c r="AA615" s="395"/>
      <c r="AB615" s="395"/>
      <c r="AC615" s="395"/>
      <c r="AD615" s="395"/>
      <c r="AE615" s="395"/>
      <c r="AF615" s="395"/>
      <c r="AG615" s="395"/>
      <c r="AH615" s="395"/>
      <c r="AI615" s="395"/>
    </row>
    <row r="616" spans="2:35" ht="11.25" hidden="1" customHeight="1" outlineLevel="1" x14ac:dyDescent="0.35">
      <c r="B616" s="244" t="s">
        <v>5366</v>
      </c>
      <c r="C616" s="245"/>
      <c r="D616" s="279" t="str">
        <f>IF(Y292="","",Y292)</f>
        <v>NA</v>
      </c>
      <c r="E616" s="279" t="str">
        <f>IF(Z292="","",Z292)</f>
        <v>NA</v>
      </c>
      <c r="F616" s="279" t="str">
        <f>IF(AA292="","",AA292)</f>
        <v>NA</v>
      </c>
      <c r="G616" s="279" t="str">
        <f>IF(AB292="","",AB292)</f>
        <v>NA</v>
      </c>
      <c r="H616" s="279" t="str">
        <f>IF(AC292="","",AC292)</f>
        <v>NA</v>
      </c>
      <c r="I616" s="279" t="str">
        <f>IF(AD292="","",AD292)</f>
        <v>NA</v>
      </c>
      <c r="J616" s="279" t="str">
        <f>IF(AE292="","",AE292)</f>
        <v>NA</v>
      </c>
      <c r="K616" s="279" t="str">
        <f>IF(AF292="","",AF292)</f>
        <v>NA</v>
      </c>
      <c r="L616" s="279" t="str">
        <f>IF(AG292="","",AG292)</f>
        <v>NA</v>
      </c>
      <c r="M616" s="279" t="str">
        <f>IF(AH292="","",AH292)</f>
        <v>NA</v>
      </c>
      <c r="N616" s="279" t="str">
        <f>IF(AI292="","",AI292)</f>
        <v>NA</v>
      </c>
      <c r="U616" s="258"/>
      <c r="V616" s="394"/>
      <c r="W616" s="394"/>
      <c r="X616" s="392"/>
      <c r="Y616" s="395"/>
      <c r="Z616" s="395"/>
      <c r="AA616" s="395"/>
      <c r="AB616" s="395"/>
      <c r="AC616" s="395"/>
      <c r="AD616" s="395"/>
      <c r="AE616" s="395"/>
      <c r="AF616" s="395"/>
      <c r="AG616" s="395"/>
      <c r="AH616" s="395"/>
      <c r="AI616" s="395"/>
    </row>
    <row r="617" spans="2:35" ht="11.25" hidden="1" customHeight="1" outlineLevel="1" x14ac:dyDescent="0.35">
      <c r="B617" s="244" t="s">
        <v>5122</v>
      </c>
      <c r="C617" s="245"/>
      <c r="D617" s="279" t="str">
        <f>IF(Y293="","",Y293)</f>
        <v>NA</v>
      </c>
      <c r="E617" s="279" t="str">
        <f>IF(Z293="","",Z293)</f>
        <v>NA</v>
      </c>
      <c r="F617" s="279" t="str">
        <f>IF(AA293="","",AA293)</f>
        <v>NA</v>
      </c>
      <c r="G617" s="279" t="str">
        <f>IF(AB293="","",AB293)</f>
        <v>NA</v>
      </c>
      <c r="H617" s="279" t="str">
        <f>IF(AC293="","",AC293)</f>
        <v>NA</v>
      </c>
      <c r="I617" s="279" t="str">
        <f>IF(AD293="","",AD293)</f>
        <v>NA</v>
      </c>
      <c r="J617" s="279" t="str">
        <f>IF(AE293="","",AE293)</f>
        <v>NA</v>
      </c>
      <c r="K617" s="279" t="str">
        <f>IF(AF293="","",AF293)</f>
        <v>NA</v>
      </c>
      <c r="L617" s="279" t="str">
        <f>IF(AG293="","",AG293)</f>
        <v>NA</v>
      </c>
      <c r="M617" s="279" t="str">
        <f>IF(AH293="","",AH293)</f>
        <v>NA</v>
      </c>
      <c r="N617" s="279" t="str">
        <f>IF(AI293="","",AI293)</f>
        <v>NA</v>
      </c>
      <c r="U617" s="258"/>
      <c r="V617" s="394"/>
      <c r="W617" s="394"/>
      <c r="X617" s="392"/>
      <c r="Y617" s="395"/>
      <c r="Z617" s="395"/>
      <c r="AA617" s="395"/>
      <c r="AB617" s="395"/>
      <c r="AC617" s="395"/>
      <c r="AD617" s="395"/>
      <c r="AE617" s="395"/>
      <c r="AF617" s="395"/>
      <c r="AG617" s="395"/>
      <c r="AH617" s="395"/>
      <c r="AI617" s="395"/>
    </row>
    <row r="618" spans="2:35" ht="11.25" hidden="1" customHeight="1" outlineLevel="1" x14ac:dyDescent="0.35">
      <c r="B618" s="244" t="s">
        <v>5124</v>
      </c>
      <c r="C618" s="245"/>
      <c r="D618" s="279" t="str">
        <f>IF(Y294="","",Y294)</f>
        <v>NA</v>
      </c>
      <c r="E618" s="279" t="str">
        <f>IF(Z294="","",Z294)</f>
        <v>NA</v>
      </c>
      <c r="F618" s="279" t="str">
        <f>IF(AA294="","",AA294)</f>
        <v>NA</v>
      </c>
      <c r="G618" s="279" t="str">
        <f>IF(AB294="","",AB294)</f>
        <v>NA</v>
      </c>
      <c r="H618" s="279" t="str">
        <f>IF(AC294="","",AC294)</f>
        <v>NA</v>
      </c>
      <c r="I618" s="279" t="str">
        <f>IF(AD294="","",AD294)</f>
        <v>NA</v>
      </c>
      <c r="J618" s="279" t="str">
        <f>IF(AE294="","",AE294)</f>
        <v>NA</v>
      </c>
      <c r="K618" s="279" t="str">
        <f>IF(AF294="","",AF294)</f>
        <v>NA</v>
      </c>
      <c r="L618" s="279" t="str">
        <f>IF(AG294="","",AG294)</f>
        <v>NA</v>
      </c>
      <c r="M618" s="279" t="str">
        <f>IF(AH294="","",AH294)</f>
        <v>NA</v>
      </c>
      <c r="N618" s="279" t="str">
        <f>IF(AI294="","",AI294)</f>
        <v>NA</v>
      </c>
      <c r="U618" s="258"/>
      <c r="V618" s="394"/>
      <c r="W618" s="394"/>
      <c r="X618" s="392"/>
      <c r="Y618" s="395"/>
      <c r="Z618" s="395"/>
      <c r="AA618" s="395"/>
      <c r="AB618" s="395"/>
      <c r="AC618" s="395"/>
      <c r="AD618" s="395"/>
      <c r="AE618" s="395"/>
      <c r="AF618" s="395"/>
      <c r="AG618" s="395"/>
      <c r="AH618" s="395"/>
      <c r="AI618" s="395"/>
    </row>
    <row r="619" spans="2:35" ht="11.25" hidden="1" customHeight="1" outlineLevel="1" x14ac:dyDescent="0.35">
      <c r="B619" s="244" t="s">
        <v>5121</v>
      </c>
      <c r="C619" s="245"/>
      <c r="D619" s="279" t="str">
        <f>IF(Y295="","",Y295)</f>
        <v>NA</v>
      </c>
      <c r="E619" s="279" t="str">
        <f>IF(Z295="","",Z295)</f>
        <v>NA</v>
      </c>
      <c r="F619" s="279" t="str">
        <f>IF(AA295="","",AA295)</f>
        <v>NA</v>
      </c>
      <c r="G619" s="279" t="str">
        <f>IF(AB295="","",AB295)</f>
        <v>NA</v>
      </c>
      <c r="H619" s="279" t="str">
        <f>IF(AC295="","",AC295)</f>
        <v>NA</v>
      </c>
      <c r="I619" s="279" t="str">
        <f>IF(AD295="","",AD295)</f>
        <v>NA</v>
      </c>
      <c r="J619" s="279" t="str">
        <f>IF(AE295="","",AE295)</f>
        <v>NA</v>
      </c>
      <c r="K619" s="279" t="str">
        <f>IF(AF295="","",AF295)</f>
        <v>NA</v>
      </c>
      <c r="L619" s="279" t="str">
        <f>IF(AG295="","",AG295)</f>
        <v>NA</v>
      </c>
      <c r="M619" s="279" t="str">
        <f>IF(AH295="","",AH295)</f>
        <v>NA</v>
      </c>
      <c r="N619" s="279" t="str">
        <f>IF(AI295="","",AI295)</f>
        <v>NA</v>
      </c>
      <c r="U619" s="258"/>
      <c r="V619" s="394"/>
      <c r="W619" s="394"/>
      <c r="X619" s="392"/>
      <c r="Y619" s="395"/>
      <c r="Z619" s="395"/>
      <c r="AA619" s="395"/>
      <c r="AB619" s="395"/>
      <c r="AC619" s="395"/>
      <c r="AD619" s="395"/>
      <c r="AE619" s="395"/>
      <c r="AF619" s="395"/>
      <c r="AG619" s="395"/>
      <c r="AH619" s="395"/>
      <c r="AI619" s="395"/>
    </row>
    <row r="620" spans="2:35" ht="11.25" hidden="1" customHeight="1" outlineLevel="1" x14ac:dyDescent="0.35">
      <c r="B620" s="244" t="s">
        <v>5367</v>
      </c>
      <c r="C620" s="245"/>
      <c r="D620" s="279" t="str">
        <f>IF(Y296="","",Y296)</f>
        <v>NA</v>
      </c>
      <c r="E620" s="279" t="str">
        <f>IF(Z296="","",Z296)</f>
        <v>NA</v>
      </c>
      <c r="F620" s="279" t="str">
        <f>IF(AA296="","",AA296)</f>
        <v>NA</v>
      </c>
      <c r="G620" s="279" t="str">
        <f>IF(AB296="","",AB296)</f>
        <v>NA</v>
      </c>
      <c r="H620" s="279" t="str">
        <f>IF(AC296="","",AC296)</f>
        <v>NA</v>
      </c>
      <c r="I620" s="279" t="str">
        <f>IF(AD296="","",AD296)</f>
        <v>NA</v>
      </c>
      <c r="J620" s="279" t="str">
        <f>IF(AE296="","",AE296)</f>
        <v>NA</v>
      </c>
      <c r="K620" s="279" t="str">
        <f>IF(AF296="","",AF296)</f>
        <v>NA</v>
      </c>
      <c r="L620" s="279" t="str">
        <f>IF(AG296="","",AG296)</f>
        <v>NA</v>
      </c>
      <c r="M620" s="279" t="str">
        <f>IF(AH296="","",AH296)</f>
        <v>NA</v>
      </c>
      <c r="N620" s="279" t="str">
        <f>IF(AI296="","",AI296)</f>
        <v>NA</v>
      </c>
      <c r="U620" s="258"/>
      <c r="V620" s="394"/>
      <c r="W620" s="394"/>
      <c r="X620" s="392"/>
      <c r="Y620" s="395"/>
      <c r="Z620" s="395"/>
      <c r="AA620" s="395"/>
      <c r="AB620" s="395"/>
      <c r="AC620" s="395"/>
      <c r="AD620" s="395"/>
      <c r="AE620" s="395"/>
      <c r="AF620" s="395"/>
      <c r="AG620" s="395"/>
      <c r="AH620" s="395"/>
      <c r="AI620" s="395"/>
    </row>
    <row r="621" spans="2:35" ht="11.25" hidden="1" customHeight="1" outlineLevel="1" x14ac:dyDescent="0.35">
      <c r="B621" s="244" t="s">
        <v>5368</v>
      </c>
      <c r="C621" s="245"/>
      <c r="D621" s="279" t="str">
        <f>IF(Y297="","",Y297)</f>
        <v>NA</v>
      </c>
      <c r="E621" s="279" t="str">
        <f>IF(Z297="","",Z297)</f>
        <v>NA</v>
      </c>
      <c r="F621" s="279" t="str">
        <f>IF(AA297="","",AA297)</f>
        <v>NA</v>
      </c>
      <c r="G621" s="279" t="str">
        <f>IF(AB297="","",AB297)</f>
        <v>NA</v>
      </c>
      <c r="H621" s="279" t="str">
        <f>IF(AC297="","",AC297)</f>
        <v>NA</v>
      </c>
      <c r="I621" s="279" t="str">
        <f>IF(AD297="","",AD297)</f>
        <v>NA</v>
      </c>
      <c r="J621" s="279" t="str">
        <f>IF(AE297="","",AE297)</f>
        <v>NA</v>
      </c>
      <c r="K621" s="279" t="str">
        <f>IF(AF297="","",AF297)</f>
        <v>NA</v>
      </c>
      <c r="L621" s="279" t="str">
        <f>IF(AG297="","",AG297)</f>
        <v>NA</v>
      </c>
      <c r="M621" s="279" t="str">
        <f>IF(AH297="","",AH297)</f>
        <v>NA</v>
      </c>
      <c r="N621" s="279" t="str">
        <f>IF(AI297="","",AI297)</f>
        <v>NA</v>
      </c>
      <c r="U621" s="258"/>
      <c r="V621" s="394"/>
      <c r="W621" s="394"/>
      <c r="X621" s="392"/>
      <c r="Y621" s="395"/>
      <c r="Z621" s="395"/>
      <c r="AA621" s="395"/>
      <c r="AB621" s="395"/>
      <c r="AC621" s="395"/>
      <c r="AD621" s="395"/>
      <c r="AE621" s="395"/>
      <c r="AF621" s="395"/>
      <c r="AG621" s="395"/>
      <c r="AH621" s="395"/>
      <c r="AI621" s="395"/>
    </row>
    <row r="622" spans="2:35" ht="11.25" hidden="1" customHeight="1" outlineLevel="1" x14ac:dyDescent="0.35">
      <c r="B622" s="244" t="s">
        <v>5369</v>
      </c>
      <c r="C622" s="245"/>
      <c r="D622" s="279" t="str">
        <f>IF(Y298="","",Y298)</f>
        <v>NA</v>
      </c>
      <c r="E622" s="279" t="str">
        <f>IF(Z298="","",Z298)</f>
        <v>NA</v>
      </c>
      <c r="F622" s="279" t="str">
        <f>IF(AA298="","",AA298)</f>
        <v>NA</v>
      </c>
      <c r="G622" s="279" t="str">
        <f>IF(AB298="","",AB298)</f>
        <v>NA</v>
      </c>
      <c r="H622" s="279" t="str">
        <f>IF(AC298="","",AC298)</f>
        <v>NA</v>
      </c>
      <c r="I622" s="279" t="str">
        <f>IF(AD298="","",AD298)</f>
        <v>NA</v>
      </c>
      <c r="J622" s="279" t="str">
        <f>IF(AE298="","",AE298)</f>
        <v>NA</v>
      </c>
      <c r="K622" s="279" t="str">
        <f>IF(AF298="","",AF298)</f>
        <v>NA</v>
      </c>
      <c r="L622" s="279" t="str">
        <f>IF(AG298="","",AG298)</f>
        <v>NA</v>
      </c>
      <c r="M622" s="279" t="str">
        <f>IF(AH298="","",AH298)</f>
        <v>NA</v>
      </c>
      <c r="N622" s="279" t="str">
        <f>IF(AI298="","",AI298)</f>
        <v>NA</v>
      </c>
      <c r="U622" s="258"/>
      <c r="V622" s="394"/>
      <c r="W622" s="394"/>
      <c r="X622" s="392"/>
      <c r="Y622" s="395"/>
      <c r="Z622" s="395"/>
      <c r="AA622" s="395"/>
      <c r="AB622" s="395"/>
      <c r="AC622" s="395"/>
      <c r="AD622" s="395"/>
      <c r="AE622" s="395"/>
      <c r="AF622" s="395"/>
      <c r="AG622" s="395"/>
      <c r="AH622" s="395"/>
      <c r="AI622" s="395"/>
    </row>
    <row r="623" spans="2:35" ht="11.25" hidden="1" customHeight="1" outlineLevel="1" x14ac:dyDescent="0.35">
      <c r="B623" s="244" t="s">
        <v>5370</v>
      </c>
      <c r="C623" s="245"/>
      <c r="D623" s="279" t="str">
        <f>IF(Y299="","",Y299)</f>
        <v>NA</v>
      </c>
      <c r="E623" s="279" t="str">
        <f>IF(Z299="","",Z299)</f>
        <v>NA</v>
      </c>
      <c r="F623" s="279" t="str">
        <f>IF(AA299="","",AA299)</f>
        <v>NA</v>
      </c>
      <c r="G623" s="279" t="str">
        <f>IF(AB299="","",AB299)</f>
        <v>NA</v>
      </c>
      <c r="H623" s="279" t="str">
        <f>IF(AC299="","",AC299)</f>
        <v>NA</v>
      </c>
      <c r="I623" s="279" t="str">
        <f>IF(AD299="","",AD299)</f>
        <v>NA</v>
      </c>
      <c r="J623" s="279" t="str">
        <f>IF(AE299="","",AE299)</f>
        <v>NA</v>
      </c>
      <c r="K623" s="279" t="str">
        <f>IF(AF299="","",AF299)</f>
        <v>NA</v>
      </c>
      <c r="L623" s="279" t="str">
        <f>IF(AG299="","",AG299)</f>
        <v>NA</v>
      </c>
      <c r="M623" s="279" t="str">
        <f>IF(AH299="","",AH299)</f>
        <v>NA</v>
      </c>
      <c r="N623" s="279" t="str">
        <f>IF(AI299="","",AI299)</f>
        <v>NA</v>
      </c>
      <c r="U623" s="258"/>
      <c r="V623" s="394"/>
      <c r="W623" s="394"/>
      <c r="X623" s="392"/>
      <c r="Y623" s="395"/>
      <c r="Z623" s="395"/>
      <c r="AA623" s="395"/>
      <c r="AB623" s="395"/>
      <c r="AC623" s="395"/>
      <c r="AD623" s="395"/>
      <c r="AE623" s="395"/>
      <c r="AF623" s="395"/>
      <c r="AG623" s="395"/>
      <c r="AH623" s="395"/>
      <c r="AI623" s="395"/>
    </row>
    <row r="624" spans="2:35" ht="11.25" hidden="1" customHeight="1" outlineLevel="1" x14ac:dyDescent="0.35">
      <c r="B624" s="244" t="s">
        <v>5371</v>
      </c>
      <c r="C624" s="245"/>
      <c r="D624" s="279" t="str">
        <f>IF(Y300="","",Y300)</f>
        <v>NA</v>
      </c>
      <c r="E624" s="279" t="str">
        <f>IF(Z300="","",Z300)</f>
        <v>NA</v>
      </c>
      <c r="F624" s="279" t="str">
        <f>IF(AA300="","",AA300)</f>
        <v>NA</v>
      </c>
      <c r="G624" s="279" t="str">
        <f>IF(AB300="","",AB300)</f>
        <v>NA</v>
      </c>
      <c r="H624" s="279" t="str">
        <f>IF(AC300="","",AC300)</f>
        <v>NA</v>
      </c>
      <c r="I624" s="279" t="str">
        <f>IF(AD300="","",AD300)</f>
        <v>NA</v>
      </c>
      <c r="J624" s="279" t="str">
        <f>IF(AE300="","",AE300)</f>
        <v>NA</v>
      </c>
      <c r="K624" s="279" t="str">
        <f>IF(AF300="","",AF300)</f>
        <v>NA</v>
      </c>
      <c r="L624" s="279" t="str">
        <f>IF(AG300="","",AG300)</f>
        <v>NA</v>
      </c>
      <c r="M624" s="279" t="str">
        <f>IF(AH300="","",AH300)</f>
        <v>NA</v>
      </c>
      <c r="N624" s="279" t="str">
        <f>IF(AI300="","",AI300)</f>
        <v>NA</v>
      </c>
      <c r="U624" s="258"/>
      <c r="V624" s="394"/>
      <c r="W624" s="394"/>
      <c r="X624" s="392"/>
      <c r="Y624" s="395"/>
      <c r="Z624" s="395"/>
      <c r="AA624" s="395"/>
      <c r="AB624" s="395"/>
      <c r="AC624" s="395"/>
      <c r="AD624" s="395"/>
      <c r="AE624" s="395"/>
      <c r="AF624" s="395"/>
      <c r="AG624" s="395"/>
      <c r="AH624" s="395"/>
      <c r="AI624" s="395"/>
    </row>
    <row r="625" spans="2:35" ht="11.25" hidden="1" customHeight="1" outlineLevel="1" x14ac:dyDescent="0.35">
      <c r="B625" s="244" t="s">
        <v>5372</v>
      </c>
      <c r="C625" s="245"/>
      <c r="D625" s="279" t="str">
        <f>IF(Y301="","",Y301)</f>
        <v>NA</v>
      </c>
      <c r="E625" s="279" t="str">
        <f>IF(Z301="","",Z301)</f>
        <v>NA</v>
      </c>
      <c r="F625" s="279" t="str">
        <f>IF(AA301="","",AA301)</f>
        <v>NA</v>
      </c>
      <c r="G625" s="279" t="str">
        <f>IF(AB301="","",AB301)</f>
        <v>NA</v>
      </c>
      <c r="H625" s="279" t="str">
        <f>IF(AC301="","",AC301)</f>
        <v>NA</v>
      </c>
      <c r="I625" s="279" t="str">
        <f>IF(AD301="","",AD301)</f>
        <v>NA</v>
      </c>
      <c r="J625" s="279" t="str">
        <f>IF(AE301="","",AE301)</f>
        <v>NA</v>
      </c>
      <c r="K625" s="279" t="str">
        <f>IF(AF301="","",AF301)</f>
        <v>NA</v>
      </c>
      <c r="L625" s="279" t="str">
        <f>IF(AG301="","",AG301)</f>
        <v>NA</v>
      </c>
      <c r="M625" s="279" t="str">
        <f>IF(AH301="","",AH301)</f>
        <v>NA</v>
      </c>
      <c r="N625" s="279" t="str">
        <f>IF(AI301="","",AI301)</f>
        <v>NA</v>
      </c>
      <c r="U625" s="258"/>
      <c r="V625" s="394"/>
      <c r="W625" s="394"/>
      <c r="X625" s="392"/>
      <c r="Y625" s="395"/>
      <c r="Z625" s="395"/>
      <c r="AA625" s="395"/>
      <c r="AB625" s="395"/>
      <c r="AC625" s="395"/>
      <c r="AD625" s="395"/>
      <c r="AE625" s="395"/>
      <c r="AF625" s="395"/>
      <c r="AG625" s="395"/>
      <c r="AH625" s="395"/>
      <c r="AI625" s="395"/>
    </row>
    <row r="626" spans="2:35" ht="11.25" hidden="1" customHeight="1" outlineLevel="1" x14ac:dyDescent="0.35">
      <c r="B626" s="244"/>
      <c r="C626" s="245"/>
      <c r="D626" s="278"/>
      <c r="E626" s="307"/>
      <c r="F626" s="307"/>
      <c r="G626" s="307"/>
      <c r="H626" s="307"/>
      <c r="I626" s="307"/>
      <c r="J626" s="307"/>
      <c r="K626" s="307"/>
      <c r="L626" s="307"/>
      <c r="M626" s="307"/>
      <c r="N626" s="307"/>
      <c r="U626" s="318"/>
      <c r="V626" s="318"/>
      <c r="W626" s="318"/>
      <c r="X626" s="318"/>
      <c r="Y626" s="318"/>
      <c r="Z626" s="318"/>
      <c r="AA626" s="318"/>
      <c r="AB626" s="318"/>
      <c r="AC626" s="318"/>
      <c r="AD626" s="318"/>
      <c r="AE626" s="318"/>
      <c r="AF626" s="318"/>
      <c r="AG626" s="318"/>
      <c r="AH626" s="318"/>
      <c r="AI626" s="318"/>
    </row>
    <row r="627" spans="2:35" ht="11.25" hidden="1" customHeight="1" outlineLevel="1" x14ac:dyDescent="0.35">
      <c r="B627" s="246" t="s">
        <v>5464</v>
      </c>
      <c r="C627" s="245"/>
      <c r="D627" s="278"/>
      <c r="E627" s="307"/>
      <c r="F627" s="307"/>
      <c r="G627" s="307"/>
      <c r="H627" s="307"/>
      <c r="I627" s="307"/>
      <c r="J627" s="307"/>
      <c r="K627" s="307"/>
      <c r="L627" s="307"/>
      <c r="M627" s="307"/>
      <c r="N627" s="307"/>
      <c r="U627" s="318"/>
      <c r="V627" s="318"/>
      <c r="W627" s="318"/>
      <c r="X627" s="318"/>
      <c r="Y627" s="318"/>
      <c r="Z627" s="318"/>
      <c r="AA627" s="318"/>
      <c r="AB627" s="318"/>
      <c r="AC627" s="318"/>
      <c r="AD627" s="318"/>
      <c r="AE627" s="318"/>
      <c r="AF627" s="318"/>
      <c r="AG627" s="318"/>
      <c r="AH627" s="318"/>
      <c r="AI627" s="318"/>
    </row>
    <row r="628" spans="2:35" ht="11.25" hidden="1" customHeight="1" outlineLevel="1" x14ac:dyDescent="0.35">
      <c r="B628" s="244" t="s">
        <v>5365</v>
      </c>
      <c r="C628" s="245"/>
      <c r="D628" s="279" t="str">
        <f>IF(Y304="","",Y304)</f>
        <v>NA</v>
      </c>
      <c r="E628" s="279" t="str">
        <f>IF(Z304="","",Z304)</f>
        <v>NA</v>
      </c>
      <c r="F628" s="279" t="str">
        <f>IF(AA304="","",AA304)</f>
        <v>NA</v>
      </c>
      <c r="G628" s="279" t="str">
        <f>IF(AB304="","",AB304)</f>
        <v>NA</v>
      </c>
      <c r="H628" s="279" t="str">
        <f>IF(AC304="","",AC304)</f>
        <v>NA</v>
      </c>
      <c r="I628" s="279" t="str">
        <f>IF(AD304="","",AD304)</f>
        <v>NA</v>
      </c>
      <c r="J628" s="279" t="str">
        <f>IF(AE304="","",AE304)</f>
        <v>NA</v>
      </c>
      <c r="K628" s="279" t="str">
        <f>IF(AF304="","",AF304)</f>
        <v>NA</v>
      </c>
      <c r="L628" s="279" t="str">
        <f>IF(AG304="","",AG304)</f>
        <v>NA</v>
      </c>
      <c r="M628" s="279" t="str">
        <f>IF(AH304="","",AH304)</f>
        <v>NA</v>
      </c>
      <c r="N628" s="279" t="str">
        <f>IF(AI304="","",AI304)</f>
        <v>NA</v>
      </c>
      <c r="U628" s="258"/>
      <c r="V628" s="394"/>
      <c r="W628" s="394"/>
      <c r="X628" s="392"/>
      <c r="Y628" s="395"/>
      <c r="Z628" s="395"/>
      <c r="AA628" s="395"/>
      <c r="AB628" s="395"/>
      <c r="AC628" s="395"/>
      <c r="AD628" s="395"/>
      <c r="AE628" s="395"/>
      <c r="AF628" s="395"/>
      <c r="AG628" s="395"/>
      <c r="AH628" s="395"/>
      <c r="AI628" s="395"/>
    </row>
    <row r="629" spans="2:35" ht="11.25" hidden="1" customHeight="1" outlineLevel="1" x14ac:dyDescent="0.35">
      <c r="B629" s="244" t="s">
        <v>5366</v>
      </c>
      <c r="C629" s="245"/>
      <c r="D629" s="279" t="str">
        <f>IF(Y305="","",Y305)</f>
        <v>NA</v>
      </c>
      <c r="E629" s="279" t="str">
        <f>IF(Z305="","",Z305)</f>
        <v>NA</v>
      </c>
      <c r="F629" s="279" t="str">
        <f>IF(AA305="","",AA305)</f>
        <v>NA</v>
      </c>
      <c r="G629" s="279" t="str">
        <f>IF(AB305="","",AB305)</f>
        <v>NA</v>
      </c>
      <c r="H629" s="279" t="str">
        <f>IF(AC305="","",AC305)</f>
        <v>NA</v>
      </c>
      <c r="I629" s="279" t="str">
        <f>IF(AD305="","",AD305)</f>
        <v>NA</v>
      </c>
      <c r="J629" s="279" t="str">
        <f>IF(AE305="","",AE305)</f>
        <v>NA</v>
      </c>
      <c r="K629" s="279" t="str">
        <f>IF(AF305="","",AF305)</f>
        <v>NA</v>
      </c>
      <c r="L629" s="279" t="str">
        <f>IF(AG305="","",AG305)</f>
        <v>NA</v>
      </c>
      <c r="M629" s="279" t="str">
        <f>IF(AH305="","",AH305)</f>
        <v>NA</v>
      </c>
      <c r="N629" s="279" t="str">
        <f>IF(AI305="","",AI305)</f>
        <v>NA</v>
      </c>
      <c r="U629" s="258"/>
      <c r="V629" s="394"/>
      <c r="W629" s="394"/>
      <c r="X629" s="392"/>
      <c r="Y629" s="395"/>
      <c r="Z629" s="395"/>
      <c r="AA629" s="395"/>
      <c r="AB629" s="395"/>
      <c r="AC629" s="395"/>
      <c r="AD629" s="395"/>
      <c r="AE629" s="395"/>
      <c r="AF629" s="395"/>
      <c r="AG629" s="395"/>
      <c r="AH629" s="395"/>
      <c r="AI629" s="395"/>
    </row>
    <row r="630" spans="2:35" ht="11.25" hidden="1" customHeight="1" outlineLevel="1" x14ac:dyDescent="0.35">
      <c r="B630" s="244" t="s">
        <v>5122</v>
      </c>
      <c r="C630" s="245"/>
      <c r="D630" s="279" t="str">
        <f>IF(Y306="","",Y306)</f>
        <v>NA</v>
      </c>
      <c r="E630" s="279" t="str">
        <f>IF(Z306="","",Z306)</f>
        <v>NA</v>
      </c>
      <c r="F630" s="279" t="str">
        <f>IF(AA306="","",AA306)</f>
        <v>NA</v>
      </c>
      <c r="G630" s="279" t="str">
        <f>IF(AB306="","",AB306)</f>
        <v>NA</v>
      </c>
      <c r="H630" s="279" t="str">
        <f>IF(AC306="","",AC306)</f>
        <v>NA</v>
      </c>
      <c r="I630" s="279" t="str">
        <f>IF(AD306="","",AD306)</f>
        <v>NA</v>
      </c>
      <c r="J630" s="279" t="str">
        <f>IF(AE306="","",AE306)</f>
        <v>NA</v>
      </c>
      <c r="K630" s="279" t="str">
        <f>IF(AF306="","",AF306)</f>
        <v>NA</v>
      </c>
      <c r="L630" s="279" t="str">
        <f>IF(AG306="","",AG306)</f>
        <v>NA</v>
      </c>
      <c r="M630" s="279" t="str">
        <f>IF(AH306="","",AH306)</f>
        <v>NA</v>
      </c>
      <c r="N630" s="279" t="str">
        <f>IF(AI306="","",AI306)</f>
        <v>NA</v>
      </c>
      <c r="U630" s="258"/>
      <c r="V630" s="394"/>
      <c r="W630" s="394"/>
      <c r="X630" s="392"/>
      <c r="Y630" s="395"/>
      <c r="Z630" s="395"/>
      <c r="AA630" s="395"/>
      <c r="AB630" s="395"/>
      <c r="AC630" s="395"/>
      <c r="AD630" s="395"/>
      <c r="AE630" s="395"/>
      <c r="AF630" s="395"/>
      <c r="AG630" s="395"/>
      <c r="AH630" s="395"/>
      <c r="AI630" s="395"/>
    </row>
    <row r="631" spans="2:35" ht="11.25" hidden="1" customHeight="1" outlineLevel="1" x14ac:dyDescent="0.35">
      <c r="B631" s="244" t="s">
        <v>5124</v>
      </c>
      <c r="C631" s="245"/>
      <c r="D631" s="279" t="str">
        <f>IF(Y307="","",Y307)</f>
        <v>NA</v>
      </c>
      <c r="E631" s="279" t="str">
        <f>IF(Z307="","",Z307)</f>
        <v>NA</v>
      </c>
      <c r="F631" s="279" t="str">
        <f>IF(AA307="","",AA307)</f>
        <v>NA</v>
      </c>
      <c r="G631" s="279" t="str">
        <f>IF(AB307="","",AB307)</f>
        <v>NA</v>
      </c>
      <c r="H631" s="279" t="str">
        <f>IF(AC307="","",AC307)</f>
        <v>NA</v>
      </c>
      <c r="I631" s="279" t="str">
        <f>IF(AD307="","",AD307)</f>
        <v>NA</v>
      </c>
      <c r="J631" s="279" t="str">
        <f>IF(AE307="","",AE307)</f>
        <v>NA</v>
      </c>
      <c r="K631" s="279" t="str">
        <f>IF(AF307="","",AF307)</f>
        <v>NA</v>
      </c>
      <c r="L631" s="279" t="str">
        <f>IF(AG307="","",AG307)</f>
        <v>NA</v>
      </c>
      <c r="M631" s="279" t="str">
        <f>IF(AH307="","",AH307)</f>
        <v>NA</v>
      </c>
      <c r="N631" s="279" t="str">
        <f>IF(AI307="","",AI307)</f>
        <v>NA</v>
      </c>
      <c r="U631" s="258"/>
      <c r="V631" s="394"/>
      <c r="W631" s="394"/>
      <c r="X631" s="392"/>
      <c r="Y631" s="395"/>
      <c r="Z631" s="395"/>
      <c r="AA631" s="395"/>
      <c r="AB631" s="395"/>
      <c r="AC631" s="395"/>
      <c r="AD631" s="395"/>
      <c r="AE631" s="395"/>
      <c r="AF631" s="395"/>
      <c r="AG631" s="395"/>
      <c r="AH631" s="395"/>
      <c r="AI631" s="395"/>
    </row>
    <row r="632" spans="2:35" ht="11.25" hidden="1" customHeight="1" outlineLevel="1" x14ac:dyDescent="0.35">
      <c r="B632" s="244" t="s">
        <v>5121</v>
      </c>
      <c r="C632" s="245"/>
      <c r="D632" s="279" t="str">
        <f>IF(Y308="","",Y308)</f>
        <v>NA</v>
      </c>
      <c r="E632" s="279" t="str">
        <f>IF(Z308="","",Z308)</f>
        <v>NA</v>
      </c>
      <c r="F632" s="279" t="str">
        <f>IF(AA308="","",AA308)</f>
        <v>NA</v>
      </c>
      <c r="G632" s="279" t="str">
        <f>IF(AB308="","",AB308)</f>
        <v>NA</v>
      </c>
      <c r="H632" s="279" t="str">
        <f>IF(AC308="","",AC308)</f>
        <v>NA</v>
      </c>
      <c r="I632" s="279" t="str">
        <f>IF(AD308="","",AD308)</f>
        <v>NA</v>
      </c>
      <c r="J632" s="279" t="str">
        <f>IF(AE308="","",AE308)</f>
        <v>NA</v>
      </c>
      <c r="K632" s="279" t="str">
        <f>IF(AF308="","",AF308)</f>
        <v>NA</v>
      </c>
      <c r="L632" s="279" t="str">
        <f>IF(AG308="","",AG308)</f>
        <v>NA</v>
      </c>
      <c r="M632" s="279" t="str">
        <f>IF(AH308="","",AH308)</f>
        <v>NA</v>
      </c>
      <c r="N632" s="279" t="str">
        <f>IF(AI308="","",AI308)</f>
        <v>NA</v>
      </c>
      <c r="U632" s="258"/>
      <c r="V632" s="394"/>
      <c r="W632" s="394"/>
      <c r="X632" s="392"/>
      <c r="Y632" s="395"/>
      <c r="Z632" s="395"/>
      <c r="AA632" s="395"/>
      <c r="AB632" s="395"/>
      <c r="AC632" s="395"/>
      <c r="AD632" s="395"/>
      <c r="AE632" s="395"/>
      <c r="AF632" s="395"/>
      <c r="AG632" s="395"/>
      <c r="AH632" s="395"/>
      <c r="AI632" s="395"/>
    </row>
    <row r="633" spans="2:35" ht="11.25" hidden="1" customHeight="1" outlineLevel="1" x14ac:dyDescent="0.35">
      <c r="B633" s="244" t="s">
        <v>5367</v>
      </c>
      <c r="C633" s="245"/>
      <c r="D633" s="279" t="str">
        <f>IF(Y309="","",Y309)</f>
        <v>NA</v>
      </c>
      <c r="E633" s="279" t="str">
        <f>IF(Z309="","",Z309)</f>
        <v>NA</v>
      </c>
      <c r="F633" s="279" t="str">
        <f>IF(AA309="","",AA309)</f>
        <v>NA</v>
      </c>
      <c r="G633" s="279" t="str">
        <f>IF(AB309="","",AB309)</f>
        <v>NA</v>
      </c>
      <c r="H633" s="279" t="str">
        <f>IF(AC309="","",AC309)</f>
        <v>NA</v>
      </c>
      <c r="I633" s="279" t="str">
        <f>IF(AD309="","",AD309)</f>
        <v>NA</v>
      </c>
      <c r="J633" s="279" t="str">
        <f>IF(AE309="","",AE309)</f>
        <v>NA</v>
      </c>
      <c r="K633" s="279" t="str">
        <f>IF(AF309="","",AF309)</f>
        <v>NA</v>
      </c>
      <c r="L633" s="279" t="str">
        <f>IF(AG309="","",AG309)</f>
        <v>NA</v>
      </c>
      <c r="M633" s="279" t="str">
        <f>IF(AH309="","",AH309)</f>
        <v>NA</v>
      </c>
      <c r="N633" s="279" t="str">
        <f>IF(AI309="","",AI309)</f>
        <v>NA</v>
      </c>
      <c r="U633" s="258"/>
      <c r="V633" s="394"/>
      <c r="W633" s="394"/>
      <c r="X633" s="392"/>
      <c r="Y633" s="395"/>
      <c r="Z633" s="395"/>
      <c r="AA633" s="395"/>
      <c r="AB633" s="395"/>
      <c r="AC633" s="395"/>
      <c r="AD633" s="395"/>
      <c r="AE633" s="395"/>
      <c r="AF633" s="395"/>
      <c r="AG633" s="395"/>
      <c r="AH633" s="395"/>
      <c r="AI633" s="395"/>
    </row>
    <row r="634" spans="2:35" ht="11.25" hidden="1" customHeight="1" outlineLevel="1" x14ac:dyDescent="0.35">
      <c r="B634" s="244" t="s">
        <v>5368</v>
      </c>
      <c r="C634" s="245"/>
      <c r="D634" s="279" t="str">
        <f>IF(Y310="","",Y310)</f>
        <v>NA</v>
      </c>
      <c r="E634" s="279" t="str">
        <f>IF(Z310="","",Z310)</f>
        <v>NA</v>
      </c>
      <c r="F634" s="279" t="str">
        <f>IF(AA310="","",AA310)</f>
        <v>NA</v>
      </c>
      <c r="G634" s="279" t="str">
        <f>IF(AB310="","",AB310)</f>
        <v>NA</v>
      </c>
      <c r="H634" s="279" t="str">
        <f>IF(AC310="","",AC310)</f>
        <v>NA</v>
      </c>
      <c r="I634" s="279" t="str">
        <f>IF(AD310="","",AD310)</f>
        <v>NA</v>
      </c>
      <c r="J634" s="279" t="str">
        <f>IF(AE310="","",AE310)</f>
        <v>NA</v>
      </c>
      <c r="K634" s="279" t="str">
        <f>IF(AF310="","",AF310)</f>
        <v>NA</v>
      </c>
      <c r="L634" s="279" t="str">
        <f>IF(AG310="","",AG310)</f>
        <v>NA</v>
      </c>
      <c r="M634" s="279" t="str">
        <f>IF(AH310="","",AH310)</f>
        <v>NA</v>
      </c>
      <c r="N634" s="279" t="str">
        <f>IF(AI310="","",AI310)</f>
        <v>NA</v>
      </c>
      <c r="U634" s="258"/>
      <c r="V634" s="394"/>
      <c r="W634" s="394"/>
      <c r="X634" s="392"/>
      <c r="Y634" s="395"/>
      <c r="Z634" s="395"/>
      <c r="AA634" s="395"/>
      <c r="AB634" s="395"/>
      <c r="AC634" s="395"/>
      <c r="AD634" s="395"/>
      <c r="AE634" s="395"/>
      <c r="AF634" s="395"/>
      <c r="AG634" s="395"/>
      <c r="AH634" s="395"/>
      <c r="AI634" s="395"/>
    </row>
    <row r="635" spans="2:35" ht="11.25" hidden="1" customHeight="1" outlineLevel="1" x14ac:dyDescent="0.35">
      <c r="B635" s="244" t="s">
        <v>5369</v>
      </c>
      <c r="C635" s="245"/>
      <c r="D635" s="279" t="str">
        <f>IF(Y311="","",Y311)</f>
        <v>NA</v>
      </c>
      <c r="E635" s="279" t="str">
        <f>IF(Z311="","",Z311)</f>
        <v>NA</v>
      </c>
      <c r="F635" s="279" t="str">
        <f>IF(AA311="","",AA311)</f>
        <v>NA</v>
      </c>
      <c r="G635" s="279" t="str">
        <f>IF(AB311="","",AB311)</f>
        <v>NA</v>
      </c>
      <c r="H635" s="279" t="str">
        <f>IF(AC311="","",AC311)</f>
        <v>NA</v>
      </c>
      <c r="I635" s="279" t="str">
        <f>IF(AD311="","",AD311)</f>
        <v>NA</v>
      </c>
      <c r="J635" s="279" t="str">
        <f>IF(AE311="","",AE311)</f>
        <v>NA</v>
      </c>
      <c r="K635" s="279" t="str">
        <f>IF(AF311="","",AF311)</f>
        <v>NA</v>
      </c>
      <c r="L635" s="279" t="str">
        <f>IF(AG311="","",AG311)</f>
        <v>NA</v>
      </c>
      <c r="M635" s="279" t="str">
        <f>IF(AH311="","",AH311)</f>
        <v>NA</v>
      </c>
      <c r="N635" s="279" t="str">
        <f>IF(AI311="","",AI311)</f>
        <v>NA</v>
      </c>
      <c r="U635" s="258"/>
      <c r="V635" s="394"/>
      <c r="W635" s="394"/>
      <c r="X635" s="392"/>
      <c r="Y635" s="395"/>
      <c r="Z635" s="395"/>
      <c r="AA635" s="395"/>
      <c r="AB635" s="395"/>
      <c r="AC635" s="395"/>
      <c r="AD635" s="395"/>
      <c r="AE635" s="395"/>
      <c r="AF635" s="395"/>
      <c r="AG635" s="395"/>
      <c r="AH635" s="395"/>
      <c r="AI635" s="395"/>
    </row>
    <row r="636" spans="2:35" ht="11.25" hidden="1" customHeight="1" outlineLevel="1" x14ac:dyDescent="0.35">
      <c r="B636" s="244" t="s">
        <v>5370</v>
      </c>
      <c r="C636" s="245"/>
      <c r="D636" s="279" t="str">
        <f>IF(Y312="","",Y312)</f>
        <v>NA</v>
      </c>
      <c r="E636" s="279" t="str">
        <f>IF(Z312="","",Z312)</f>
        <v>NA</v>
      </c>
      <c r="F636" s="279" t="str">
        <f>IF(AA312="","",AA312)</f>
        <v>NA</v>
      </c>
      <c r="G636" s="279" t="str">
        <f>IF(AB312="","",AB312)</f>
        <v>NA</v>
      </c>
      <c r="H636" s="279" t="str">
        <f>IF(AC312="","",AC312)</f>
        <v>NA</v>
      </c>
      <c r="I636" s="279" t="str">
        <f>IF(AD312="","",AD312)</f>
        <v>NA</v>
      </c>
      <c r="J636" s="279" t="str">
        <f>IF(AE312="","",AE312)</f>
        <v>NA</v>
      </c>
      <c r="K636" s="279" t="str">
        <f>IF(AF312="","",AF312)</f>
        <v>NA</v>
      </c>
      <c r="L636" s="279" t="str">
        <f>IF(AG312="","",AG312)</f>
        <v>NA</v>
      </c>
      <c r="M636" s="279" t="str">
        <f>IF(AH312="","",AH312)</f>
        <v>NA</v>
      </c>
      <c r="N636" s="279" t="str">
        <f>IF(AI312="","",AI312)</f>
        <v>NA</v>
      </c>
      <c r="U636" s="258"/>
      <c r="V636" s="394"/>
      <c r="W636" s="394"/>
      <c r="X636" s="392"/>
      <c r="Y636" s="395"/>
      <c r="Z636" s="395"/>
      <c r="AA636" s="395"/>
      <c r="AB636" s="395"/>
      <c r="AC636" s="395"/>
      <c r="AD636" s="395"/>
      <c r="AE636" s="395"/>
      <c r="AF636" s="395"/>
      <c r="AG636" s="395"/>
      <c r="AH636" s="395"/>
      <c r="AI636" s="395"/>
    </row>
    <row r="637" spans="2:35" ht="11.25" hidden="1" customHeight="1" outlineLevel="1" x14ac:dyDescent="0.35">
      <c r="B637" s="244" t="s">
        <v>5371</v>
      </c>
      <c r="C637" s="245"/>
      <c r="D637" s="279" t="str">
        <f>IF(Y313="","",Y313)</f>
        <v>NA</v>
      </c>
      <c r="E637" s="279" t="str">
        <f>IF(Z313="","",Z313)</f>
        <v>NA</v>
      </c>
      <c r="F637" s="279" t="str">
        <f>IF(AA313="","",AA313)</f>
        <v>NA</v>
      </c>
      <c r="G637" s="279" t="str">
        <f>IF(AB313="","",AB313)</f>
        <v>NA</v>
      </c>
      <c r="H637" s="279" t="str">
        <f>IF(AC313="","",AC313)</f>
        <v>NA</v>
      </c>
      <c r="I637" s="279" t="str">
        <f>IF(AD313="","",AD313)</f>
        <v>NA</v>
      </c>
      <c r="J637" s="279" t="str">
        <f>IF(AE313="","",AE313)</f>
        <v>NA</v>
      </c>
      <c r="K637" s="279" t="str">
        <f>IF(AF313="","",AF313)</f>
        <v>NA</v>
      </c>
      <c r="L637" s="279" t="str">
        <f>IF(AG313="","",AG313)</f>
        <v>NA</v>
      </c>
      <c r="M637" s="279" t="str">
        <f>IF(AH313="","",AH313)</f>
        <v>NA</v>
      </c>
      <c r="N637" s="279" t="str">
        <f>IF(AI313="","",AI313)</f>
        <v>NA</v>
      </c>
      <c r="U637" s="258"/>
      <c r="V637" s="394"/>
      <c r="W637" s="394"/>
      <c r="X637" s="392"/>
      <c r="Y637" s="395"/>
      <c r="Z637" s="395"/>
      <c r="AA637" s="395"/>
      <c r="AB637" s="395"/>
      <c r="AC637" s="395"/>
      <c r="AD637" s="395"/>
      <c r="AE637" s="395"/>
      <c r="AF637" s="395"/>
      <c r="AG637" s="395"/>
      <c r="AH637" s="395"/>
      <c r="AI637" s="395"/>
    </row>
    <row r="638" spans="2:35" ht="11.25" hidden="1" customHeight="1" outlineLevel="1" x14ac:dyDescent="0.35">
      <c r="B638" s="244" t="s">
        <v>5372</v>
      </c>
      <c r="C638" s="245"/>
      <c r="D638" s="279" t="str">
        <f>IF(Y314="","",Y314)</f>
        <v>NA</v>
      </c>
      <c r="E638" s="279" t="str">
        <f>IF(Z314="","",Z314)</f>
        <v>NA</v>
      </c>
      <c r="F638" s="279" t="str">
        <f>IF(AA314="","",AA314)</f>
        <v>NA</v>
      </c>
      <c r="G638" s="279" t="str">
        <f>IF(AB314="","",AB314)</f>
        <v>NA</v>
      </c>
      <c r="H638" s="279" t="str">
        <f>IF(AC314="","",AC314)</f>
        <v>NA</v>
      </c>
      <c r="I638" s="279" t="str">
        <f>IF(AD314="","",AD314)</f>
        <v>NA</v>
      </c>
      <c r="J638" s="279" t="str">
        <f>IF(AE314="","",AE314)</f>
        <v>NA</v>
      </c>
      <c r="K638" s="279" t="str">
        <f>IF(AF314="","",AF314)</f>
        <v>NA</v>
      </c>
      <c r="L638" s="279" t="str">
        <f>IF(AG314="","",AG314)</f>
        <v>NA</v>
      </c>
      <c r="M638" s="279" t="str">
        <f>IF(AH314="","",AH314)</f>
        <v>NA</v>
      </c>
      <c r="N638" s="279" t="str">
        <f>IF(AI314="","",AI314)</f>
        <v>NA</v>
      </c>
      <c r="U638" s="258"/>
      <c r="V638" s="394"/>
      <c r="W638" s="394"/>
      <c r="X638" s="392"/>
      <c r="Y638" s="395"/>
      <c r="Z638" s="395"/>
      <c r="AA638" s="395"/>
      <c r="AB638" s="395"/>
      <c r="AC638" s="395"/>
      <c r="AD638" s="395"/>
      <c r="AE638" s="395"/>
      <c r="AF638" s="395"/>
      <c r="AG638" s="395"/>
      <c r="AH638" s="395"/>
      <c r="AI638" s="395"/>
    </row>
    <row r="639" spans="2:35" ht="11.25" hidden="1" customHeight="1" outlineLevel="1" x14ac:dyDescent="0.35">
      <c r="B639" s="244"/>
      <c r="C639" s="245"/>
      <c r="D639" s="278"/>
      <c r="E639" s="307"/>
      <c r="F639" s="307"/>
      <c r="G639" s="307"/>
      <c r="H639" s="307"/>
      <c r="I639" s="307"/>
      <c r="J639" s="307"/>
      <c r="K639" s="307"/>
      <c r="L639" s="307"/>
      <c r="M639" s="307"/>
      <c r="N639" s="307"/>
      <c r="U639" s="318"/>
      <c r="V639" s="318"/>
      <c r="W639" s="318"/>
      <c r="X639" s="318"/>
      <c r="Y639" s="318"/>
      <c r="Z639" s="318"/>
      <c r="AA639" s="318"/>
      <c r="AB639" s="318"/>
      <c r="AC639" s="318"/>
      <c r="AD639" s="318"/>
      <c r="AE639" s="318"/>
      <c r="AF639" s="318"/>
      <c r="AG639" s="318"/>
      <c r="AH639" s="318"/>
      <c r="AI639" s="318"/>
    </row>
    <row r="640" spans="2:35" ht="11.25" hidden="1" customHeight="1" outlineLevel="1" x14ac:dyDescent="0.35">
      <c r="B640" s="246" t="s">
        <v>5465</v>
      </c>
      <c r="C640" s="245"/>
      <c r="D640" s="278"/>
      <c r="E640" s="307"/>
      <c r="F640" s="307"/>
      <c r="G640" s="307"/>
      <c r="H640" s="307"/>
      <c r="I640" s="307"/>
      <c r="J640" s="307"/>
      <c r="K640" s="307"/>
      <c r="L640" s="307"/>
      <c r="M640" s="307"/>
      <c r="N640" s="307"/>
      <c r="U640" s="318"/>
      <c r="V640" s="318"/>
      <c r="W640" s="318"/>
      <c r="X640" s="318"/>
      <c r="Y640" s="318"/>
      <c r="Z640" s="318"/>
      <c r="AA640" s="318"/>
      <c r="AB640" s="318"/>
      <c r="AC640" s="318"/>
      <c r="AD640" s="318"/>
      <c r="AE640" s="318"/>
      <c r="AF640" s="318"/>
      <c r="AG640" s="318"/>
      <c r="AH640" s="318"/>
      <c r="AI640" s="318"/>
    </row>
    <row r="641" spans="2:35" ht="11.25" hidden="1" customHeight="1" outlineLevel="1" x14ac:dyDescent="0.35">
      <c r="B641" s="244" t="s">
        <v>5365</v>
      </c>
      <c r="C641" s="245"/>
      <c r="D641" s="279" t="str">
        <f>IF(Y317="","",Y317)</f>
        <v>NA</v>
      </c>
      <c r="E641" s="279" t="str">
        <f>IF(Z317="","",Z317)</f>
        <v>NA</v>
      </c>
      <c r="F641" s="279" t="str">
        <f>IF(AA317="","",AA317)</f>
        <v>NA</v>
      </c>
      <c r="G641" s="279" t="str">
        <f>IF(AB317="","",AB317)</f>
        <v>NA</v>
      </c>
      <c r="H641" s="279" t="str">
        <f>IF(AC317="","",AC317)</f>
        <v>NA</v>
      </c>
      <c r="I641" s="279" t="str">
        <f>IF(AD317="","",AD317)</f>
        <v>NA</v>
      </c>
      <c r="J641" s="279" t="str">
        <f>IF(AE317="","",AE317)</f>
        <v>NA</v>
      </c>
      <c r="K641" s="279" t="str">
        <f>IF(AF317="","",AF317)</f>
        <v>NA</v>
      </c>
      <c r="L641" s="279" t="str">
        <f>IF(AG317="","",AG317)</f>
        <v>NA</v>
      </c>
      <c r="M641" s="279" t="str">
        <f>IF(AH317="","",AH317)</f>
        <v>NA</v>
      </c>
      <c r="N641" s="279" t="str">
        <f>IF(AI317="","",AI317)</f>
        <v>NA</v>
      </c>
      <c r="U641" s="258"/>
      <c r="V641" s="394"/>
      <c r="W641" s="394"/>
      <c r="X641" s="392"/>
      <c r="Y641" s="395"/>
      <c r="Z641" s="395"/>
      <c r="AA641" s="395"/>
      <c r="AB641" s="395"/>
      <c r="AC641" s="395"/>
      <c r="AD641" s="395"/>
      <c r="AE641" s="395"/>
      <c r="AF641" s="395"/>
      <c r="AG641" s="395"/>
      <c r="AH641" s="395"/>
      <c r="AI641" s="395"/>
    </row>
    <row r="642" spans="2:35" ht="11.25" hidden="1" customHeight="1" outlineLevel="1" x14ac:dyDescent="0.35">
      <c r="B642" s="244" t="s">
        <v>5366</v>
      </c>
      <c r="C642" s="245"/>
      <c r="D642" s="279" t="str">
        <f>IF(Y318="","",Y318)</f>
        <v>NA</v>
      </c>
      <c r="E642" s="279" t="str">
        <f>IF(Z318="","",Z318)</f>
        <v>NA</v>
      </c>
      <c r="F642" s="279" t="str">
        <f>IF(AA318="","",AA318)</f>
        <v>NA</v>
      </c>
      <c r="G642" s="279" t="str">
        <f>IF(AB318="","",AB318)</f>
        <v>NA</v>
      </c>
      <c r="H642" s="279" t="str">
        <f>IF(AC318="","",AC318)</f>
        <v>NA</v>
      </c>
      <c r="I642" s="279" t="str">
        <f>IF(AD318="","",AD318)</f>
        <v>NA</v>
      </c>
      <c r="J642" s="279" t="str">
        <f>IF(AE318="","",AE318)</f>
        <v>NA</v>
      </c>
      <c r="K642" s="279" t="str">
        <f>IF(AF318="","",AF318)</f>
        <v>NA</v>
      </c>
      <c r="L642" s="279" t="str">
        <f>IF(AG318="","",AG318)</f>
        <v>NA</v>
      </c>
      <c r="M642" s="279" t="str">
        <f>IF(AH318="","",AH318)</f>
        <v>NA</v>
      </c>
      <c r="N642" s="279" t="str">
        <f>IF(AI318="","",AI318)</f>
        <v>NA</v>
      </c>
      <c r="U642" s="258"/>
      <c r="V642" s="394"/>
      <c r="W642" s="394"/>
      <c r="X642" s="392"/>
      <c r="Y642" s="395"/>
      <c r="Z642" s="395"/>
      <c r="AA642" s="395"/>
      <c r="AB642" s="395"/>
      <c r="AC642" s="395"/>
      <c r="AD642" s="395"/>
      <c r="AE642" s="395"/>
      <c r="AF642" s="395"/>
      <c r="AG642" s="395"/>
      <c r="AH642" s="395"/>
      <c r="AI642" s="395"/>
    </row>
    <row r="643" spans="2:35" ht="11.25" hidden="1" customHeight="1" outlineLevel="1" x14ac:dyDescent="0.35">
      <c r="B643" s="244" t="s">
        <v>5122</v>
      </c>
      <c r="C643" s="245"/>
      <c r="D643" s="279" t="str">
        <f>IF(Y319="","",Y319)</f>
        <v>NA</v>
      </c>
      <c r="E643" s="279" t="str">
        <f>IF(Z319="","",Z319)</f>
        <v>NA</v>
      </c>
      <c r="F643" s="279" t="str">
        <f>IF(AA319="","",AA319)</f>
        <v>NA</v>
      </c>
      <c r="G643" s="279" t="str">
        <f>IF(AB319="","",AB319)</f>
        <v>NA</v>
      </c>
      <c r="H643" s="279" t="str">
        <f>IF(AC319="","",AC319)</f>
        <v>NA</v>
      </c>
      <c r="I643" s="279" t="str">
        <f>IF(AD319="","",AD319)</f>
        <v>NA</v>
      </c>
      <c r="J643" s="279" t="str">
        <f>IF(AE319="","",AE319)</f>
        <v>NA</v>
      </c>
      <c r="K643" s="279" t="str">
        <f>IF(AF319="","",AF319)</f>
        <v>NA</v>
      </c>
      <c r="L643" s="279" t="str">
        <f>IF(AG319="","",AG319)</f>
        <v>NA</v>
      </c>
      <c r="M643" s="279" t="str">
        <f>IF(AH319="","",AH319)</f>
        <v>NA</v>
      </c>
      <c r="N643" s="279" t="str">
        <f>IF(AI319="","",AI319)</f>
        <v>NA</v>
      </c>
      <c r="U643" s="258"/>
      <c r="V643" s="394"/>
      <c r="W643" s="394"/>
      <c r="X643" s="392"/>
      <c r="Y643" s="395"/>
      <c r="Z643" s="395"/>
      <c r="AA643" s="395"/>
      <c r="AB643" s="395"/>
      <c r="AC643" s="395"/>
      <c r="AD643" s="395"/>
      <c r="AE643" s="395"/>
      <c r="AF643" s="395"/>
      <c r="AG643" s="395"/>
      <c r="AH643" s="395"/>
      <c r="AI643" s="395"/>
    </row>
    <row r="644" spans="2:35" ht="11.25" hidden="1" customHeight="1" outlineLevel="1" x14ac:dyDescent="0.35">
      <c r="B644" s="244" t="s">
        <v>5124</v>
      </c>
      <c r="C644" s="245"/>
      <c r="D644" s="279" t="str">
        <f>IF(Y320="","",Y320)</f>
        <v>NA</v>
      </c>
      <c r="E644" s="279" t="str">
        <f>IF(Z320="","",Z320)</f>
        <v>NA</v>
      </c>
      <c r="F644" s="279" t="str">
        <f>IF(AA320="","",AA320)</f>
        <v>NA</v>
      </c>
      <c r="G644" s="279" t="str">
        <f>IF(AB320="","",AB320)</f>
        <v>NA</v>
      </c>
      <c r="H644" s="279" t="str">
        <f>IF(AC320="","",AC320)</f>
        <v>NA</v>
      </c>
      <c r="I644" s="279" t="str">
        <f>IF(AD320="","",AD320)</f>
        <v>NA</v>
      </c>
      <c r="J644" s="279" t="str">
        <f>IF(AE320="","",AE320)</f>
        <v>NA</v>
      </c>
      <c r="K644" s="279" t="str">
        <f>IF(AF320="","",AF320)</f>
        <v>NA</v>
      </c>
      <c r="L644" s="279" t="str">
        <f>IF(AG320="","",AG320)</f>
        <v>NA</v>
      </c>
      <c r="M644" s="279" t="str">
        <f>IF(AH320="","",AH320)</f>
        <v>NA</v>
      </c>
      <c r="N644" s="279" t="str">
        <f>IF(AI320="","",AI320)</f>
        <v>NA</v>
      </c>
      <c r="U644" s="258"/>
      <c r="V644" s="394"/>
      <c r="W644" s="394"/>
      <c r="X644" s="392"/>
      <c r="Y644" s="395"/>
      <c r="Z644" s="395"/>
      <c r="AA644" s="395"/>
      <c r="AB644" s="395"/>
      <c r="AC644" s="395"/>
      <c r="AD644" s="395"/>
      <c r="AE644" s="395"/>
      <c r="AF644" s="395"/>
      <c r="AG644" s="395"/>
      <c r="AH644" s="395"/>
      <c r="AI644" s="395"/>
    </row>
    <row r="645" spans="2:35" ht="11.25" hidden="1" customHeight="1" outlineLevel="1" x14ac:dyDescent="0.35">
      <c r="B645" s="244" t="s">
        <v>5121</v>
      </c>
      <c r="C645" s="245"/>
      <c r="D645" s="279" t="str">
        <f>IF(Y321="","",Y321)</f>
        <v>NA</v>
      </c>
      <c r="E645" s="279" t="str">
        <f>IF(Z321="","",Z321)</f>
        <v>NA</v>
      </c>
      <c r="F645" s="279" t="str">
        <f>IF(AA321="","",AA321)</f>
        <v>NA</v>
      </c>
      <c r="G645" s="279" t="str">
        <f>IF(AB321="","",AB321)</f>
        <v>NA</v>
      </c>
      <c r="H645" s="279" t="str">
        <f>IF(AC321="","",AC321)</f>
        <v>NA</v>
      </c>
      <c r="I645" s="279" t="str">
        <f>IF(AD321="","",AD321)</f>
        <v>NA</v>
      </c>
      <c r="J645" s="279" t="str">
        <f>IF(AE321="","",AE321)</f>
        <v>NA</v>
      </c>
      <c r="K645" s="279" t="str">
        <f>IF(AF321="","",AF321)</f>
        <v>NA</v>
      </c>
      <c r="L645" s="279" t="str">
        <f>IF(AG321="","",AG321)</f>
        <v>NA</v>
      </c>
      <c r="M645" s="279" t="str">
        <f>IF(AH321="","",AH321)</f>
        <v>NA</v>
      </c>
      <c r="N645" s="279" t="str">
        <f>IF(AI321="","",AI321)</f>
        <v>NA</v>
      </c>
      <c r="U645" s="258"/>
      <c r="V645" s="394"/>
      <c r="W645" s="394"/>
      <c r="X645" s="392"/>
      <c r="Y645" s="395"/>
      <c r="Z645" s="395"/>
      <c r="AA645" s="395"/>
      <c r="AB645" s="395"/>
      <c r="AC645" s="395"/>
      <c r="AD645" s="395"/>
      <c r="AE645" s="395"/>
      <c r="AF645" s="395"/>
      <c r="AG645" s="395"/>
      <c r="AH645" s="395"/>
      <c r="AI645" s="395"/>
    </row>
    <row r="646" spans="2:35" ht="11.25" hidden="1" customHeight="1" outlineLevel="1" x14ac:dyDescent="0.35">
      <c r="B646" s="244" t="s">
        <v>5367</v>
      </c>
      <c r="C646" s="245"/>
      <c r="D646" s="279" t="str">
        <f>IF(Y322="","",Y322)</f>
        <v>NA</v>
      </c>
      <c r="E646" s="279" t="str">
        <f>IF(Z322="","",Z322)</f>
        <v>NA</v>
      </c>
      <c r="F646" s="279" t="str">
        <f>IF(AA322="","",AA322)</f>
        <v>NA</v>
      </c>
      <c r="G646" s="279" t="str">
        <f>IF(AB322="","",AB322)</f>
        <v>NA</v>
      </c>
      <c r="H646" s="279" t="str">
        <f>IF(AC322="","",AC322)</f>
        <v>NA</v>
      </c>
      <c r="I646" s="279" t="str">
        <f>IF(AD322="","",AD322)</f>
        <v>NA</v>
      </c>
      <c r="J646" s="279" t="str">
        <f>IF(AE322="","",AE322)</f>
        <v>NA</v>
      </c>
      <c r="K646" s="279" t="str">
        <f>IF(AF322="","",AF322)</f>
        <v>NA</v>
      </c>
      <c r="L646" s="279" t="str">
        <f>IF(AG322="","",AG322)</f>
        <v>NA</v>
      </c>
      <c r="M646" s="279" t="str">
        <f>IF(AH322="","",AH322)</f>
        <v>NA</v>
      </c>
      <c r="N646" s="279" t="str">
        <f>IF(AI322="","",AI322)</f>
        <v>NA</v>
      </c>
      <c r="U646" s="258"/>
      <c r="V646" s="394"/>
      <c r="W646" s="394"/>
      <c r="X646" s="392"/>
      <c r="Y646" s="395"/>
      <c r="Z646" s="395"/>
      <c r="AA646" s="395"/>
      <c r="AB646" s="395"/>
      <c r="AC646" s="395"/>
      <c r="AD646" s="395"/>
      <c r="AE646" s="395"/>
      <c r="AF646" s="395"/>
      <c r="AG646" s="395"/>
      <c r="AH646" s="395"/>
      <c r="AI646" s="395"/>
    </row>
    <row r="647" spans="2:35" ht="11.25" hidden="1" customHeight="1" outlineLevel="1" x14ac:dyDescent="0.35">
      <c r="B647" s="244" t="s">
        <v>5368</v>
      </c>
      <c r="C647" s="245"/>
      <c r="D647" s="279" t="str">
        <f>IF(Y323="","",Y323)</f>
        <v>NA</v>
      </c>
      <c r="E647" s="279" t="str">
        <f>IF(Z323="","",Z323)</f>
        <v>NA</v>
      </c>
      <c r="F647" s="279" t="str">
        <f>IF(AA323="","",AA323)</f>
        <v>NA</v>
      </c>
      <c r="G647" s="279" t="str">
        <f>IF(AB323="","",AB323)</f>
        <v>NA</v>
      </c>
      <c r="H647" s="279" t="str">
        <f>IF(AC323="","",AC323)</f>
        <v>NA</v>
      </c>
      <c r="I647" s="279" t="str">
        <f>IF(AD323="","",AD323)</f>
        <v>NA</v>
      </c>
      <c r="J647" s="279" t="str">
        <f>IF(AE323="","",AE323)</f>
        <v>NA</v>
      </c>
      <c r="K647" s="279" t="str">
        <f>IF(AF323="","",AF323)</f>
        <v>NA</v>
      </c>
      <c r="L647" s="279" t="str">
        <f>IF(AG323="","",AG323)</f>
        <v>NA</v>
      </c>
      <c r="M647" s="279" t="str">
        <f>IF(AH323="","",AH323)</f>
        <v>NA</v>
      </c>
      <c r="N647" s="279" t="str">
        <f>IF(AI323="","",AI323)</f>
        <v>NA</v>
      </c>
      <c r="U647" s="258"/>
      <c r="V647" s="394"/>
      <c r="W647" s="394"/>
      <c r="X647" s="392"/>
      <c r="Y647" s="395"/>
      <c r="Z647" s="395"/>
      <c r="AA647" s="395"/>
      <c r="AB647" s="395"/>
      <c r="AC647" s="395"/>
      <c r="AD647" s="395"/>
      <c r="AE647" s="395"/>
      <c r="AF647" s="395"/>
      <c r="AG647" s="395"/>
      <c r="AH647" s="395"/>
      <c r="AI647" s="395"/>
    </row>
    <row r="648" spans="2:35" ht="11.25" hidden="1" customHeight="1" outlineLevel="1" x14ac:dyDescent="0.35">
      <c r="B648" s="244" t="s">
        <v>5369</v>
      </c>
      <c r="C648" s="245"/>
      <c r="D648" s="279" t="str">
        <f>IF(Y324="","",Y324)</f>
        <v>NA</v>
      </c>
      <c r="E648" s="279" t="str">
        <f>IF(Z324="","",Z324)</f>
        <v>NA</v>
      </c>
      <c r="F648" s="279" t="str">
        <f>IF(AA324="","",AA324)</f>
        <v>NA</v>
      </c>
      <c r="G648" s="279" t="str">
        <f>IF(AB324="","",AB324)</f>
        <v>NA</v>
      </c>
      <c r="H648" s="279" t="str">
        <f>IF(AC324="","",AC324)</f>
        <v>NA</v>
      </c>
      <c r="I648" s="279" t="str">
        <f>IF(AD324="","",AD324)</f>
        <v>NA</v>
      </c>
      <c r="J648" s="279" t="str">
        <f>IF(AE324="","",AE324)</f>
        <v>NA</v>
      </c>
      <c r="K648" s="279" t="str">
        <f>IF(AF324="","",AF324)</f>
        <v>NA</v>
      </c>
      <c r="L648" s="279" t="str">
        <f>IF(AG324="","",AG324)</f>
        <v>NA</v>
      </c>
      <c r="M648" s="279" t="str">
        <f>IF(AH324="","",AH324)</f>
        <v>NA</v>
      </c>
      <c r="N648" s="279" t="str">
        <f>IF(AI324="","",AI324)</f>
        <v>NA</v>
      </c>
      <c r="U648" s="258"/>
      <c r="V648" s="394"/>
      <c r="W648" s="394"/>
      <c r="X648" s="392"/>
      <c r="Y648" s="395"/>
      <c r="Z648" s="395"/>
      <c r="AA648" s="395"/>
      <c r="AB648" s="395"/>
      <c r="AC648" s="395"/>
      <c r="AD648" s="395"/>
      <c r="AE648" s="395"/>
      <c r="AF648" s="395"/>
      <c r="AG648" s="395"/>
      <c r="AH648" s="395"/>
      <c r="AI648" s="395"/>
    </row>
    <row r="649" spans="2:35" ht="11.25" hidden="1" customHeight="1" outlineLevel="1" x14ac:dyDescent="0.35">
      <c r="B649" s="244" t="s">
        <v>5370</v>
      </c>
      <c r="C649" s="245"/>
      <c r="D649" s="279" t="str">
        <f>IF(Y325="","",Y325)</f>
        <v>NA</v>
      </c>
      <c r="E649" s="279" t="str">
        <f>IF(Z325="","",Z325)</f>
        <v>NA</v>
      </c>
      <c r="F649" s="279" t="str">
        <f>IF(AA325="","",AA325)</f>
        <v>NA</v>
      </c>
      <c r="G649" s="279" t="str">
        <f>IF(AB325="","",AB325)</f>
        <v>NA</v>
      </c>
      <c r="H649" s="279" t="str">
        <f>IF(AC325="","",AC325)</f>
        <v>NA</v>
      </c>
      <c r="I649" s="279" t="str">
        <f>IF(AD325="","",AD325)</f>
        <v>NA</v>
      </c>
      <c r="J649" s="279" t="str">
        <f>IF(AE325="","",AE325)</f>
        <v>NA</v>
      </c>
      <c r="K649" s="279" t="str">
        <f>IF(AF325="","",AF325)</f>
        <v>NA</v>
      </c>
      <c r="L649" s="279" t="str">
        <f>IF(AG325="","",AG325)</f>
        <v>NA</v>
      </c>
      <c r="M649" s="279" t="str">
        <f>IF(AH325="","",AH325)</f>
        <v>NA</v>
      </c>
      <c r="N649" s="279" t="str">
        <f>IF(AI325="","",AI325)</f>
        <v>NA</v>
      </c>
      <c r="U649" s="258"/>
      <c r="V649" s="394"/>
      <c r="W649" s="394"/>
      <c r="X649" s="392"/>
      <c r="Y649" s="395"/>
      <c r="Z649" s="395"/>
      <c r="AA649" s="395"/>
      <c r="AB649" s="395"/>
      <c r="AC649" s="395"/>
      <c r="AD649" s="395"/>
      <c r="AE649" s="395"/>
      <c r="AF649" s="395"/>
      <c r="AG649" s="395"/>
      <c r="AH649" s="395"/>
      <c r="AI649" s="395"/>
    </row>
    <row r="650" spans="2:35" ht="11.25" hidden="1" customHeight="1" outlineLevel="1" x14ac:dyDescent="0.35">
      <c r="B650" s="244" t="s">
        <v>5371</v>
      </c>
      <c r="C650" s="245"/>
      <c r="D650" s="279" t="str">
        <f>IF(Y326="","",Y326)</f>
        <v>NA</v>
      </c>
      <c r="E650" s="279" t="str">
        <f>IF(Z326="","",Z326)</f>
        <v>NA</v>
      </c>
      <c r="F650" s="279" t="str">
        <f>IF(AA326="","",AA326)</f>
        <v>NA</v>
      </c>
      <c r="G650" s="279" t="str">
        <f>IF(AB326="","",AB326)</f>
        <v>NA</v>
      </c>
      <c r="H650" s="279" t="str">
        <f>IF(AC326="","",AC326)</f>
        <v>NA</v>
      </c>
      <c r="I650" s="279" t="str">
        <f>IF(AD326="","",AD326)</f>
        <v>NA</v>
      </c>
      <c r="J650" s="279" t="str">
        <f>IF(AE326="","",AE326)</f>
        <v>NA</v>
      </c>
      <c r="K650" s="279" t="str">
        <f>IF(AF326="","",AF326)</f>
        <v>NA</v>
      </c>
      <c r="L650" s="279" t="str">
        <f>IF(AG326="","",AG326)</f>
        <v>NA</v>
      </c>
      <c r="M650" s="279" t="str">
        <f>IF(AH326="","",AH326)</f>
        <v>NA</v>
      </c>
      <c r="N650" s="279" t="str">
        <f>IF(AI326="","",AI326)</f>
        <v>NA</v>
      </c>
      <c r="U650" s="258"/>
      <c r="V650" s="394"/>
      <c r="W650" s="394"/>
      <c r="X650" s="392"/>
      <c r="Y650" s="395"/>
      <c r="Z650" s="395"/>
      <c r="AA650" s="395"/>
      <c r="AB650" s="395"/>
      <c r="AC650" s="395"/>
      <c r="AD650" s="395"/>
      <c r="AE650" s="395"/>
      <c r="AF650" s="395"/>
      <c r="AG650" s="395"/>
      <c r="AH650" s="395"/>
      <c r="AI650" s="395"/>
    </row>
    <row r="651" spans="2:35" ht="11.25" hidden="1" customHeight="1" outlineLevel="1" x14ac:dyDescent="0.35">
      <c r="B651" s="244" t="s">
        <v>5372</v>
      </c>
      <c r="C651" s="245"/>
      <c r="D651" s="279" t="str">
        <f>IF(Y327="","",Y327)</f>
        <v>NA</v>
      </c>
      <c r="E651" s="279" t="str">
        <f>IF(Z327="","",Z327)</f>
        <v>NA</v>
      </c>
      <c r="F651" s="279" t="str">
        <f>IF(AA327="","",AA327)</f>
        <v>NA</v>
      </c>
      <c r="G651" s="279" t="str">
        <f>IF(AB327="","",AB327)</f>
        <v>NA</v>
      </c>
      <c r="H651" s="279" t="str">
        <f>IF(AC327="","",AC327)</f>
        <v>NA</v>
      </c>
      <c r="I651" s="279" t="str">
        <f>IF(AD327="","",AD327)</f>
        <v>NA</v>
      </c>
      <c r="J651" s="279" t="str">
        <f>IF(AE327="","",AE327)</f>
        <v>NA</v>
      </c>
      <c r="K651" s="279" t="str">
        <f>IF(AF327="","",AF327)</f>
        <v>NA</v>
      </c>
      <c r="L651" s="279" t="str">
        <f>IF(AG327="","",AG327)</f>
        <v>NA</v>
      </c>
      <c r="M651" s="279" t="str">
        <f>IF(AH327="","",AH327)</f>
        <v>NA</v>
      </c>
      <c r="N651" s="279" t="str">
        <f>IF(AI327="","",AI327)</f>
        <v>NA</v>
      </c>
      <c r="U651" s="258"/>
      <c r="V651" s="394"/>
      <c r="W651" s="394"/>
      <c r="X651" s="392"/>
      <c r="Y651" s="395"/>
      <c r="Z651" s="395"/>
      <c r="AA651" s="395"/>
      <c r="AB651" s="395"/>
      <c r="AC651" s="395"/>
      <c r="AD651" s="395"/>
      <c r="AE651" s="395"/>
      <c r="AF651" s="395"/>
      <c r="AG651" s="395"/>
      <c r="AH651" s="395"/>
      <c r="AI651" s="395"/>
    </row>
    <row r="652" spans="2:35" ht="11.25" hidden="1" customHeight="1" outlineLevel="1" x14ac:dyDescent="0.35">
      <c r="B652" s="244"/>
      <c r="C652" s="245"/>
      <c r="D652" s="278"/>
      <c r="E652" s="307"/>
      <c r="F652" s="307"/>
      <c r="G652" s="307"/>
      <c r="H652" s="307"/>
      <c r="I652" s="307"/>
      <c r="J652" s="307"/>
      <c r="K652" s="307"/>
      <c r="L652" s="307"/>
      <c r="M652" s="307"/>
      <c r="N652" s="307"/>
      <c r="U652" s="318"/>
      <c r="V652" s="318"/>
      <c r="W652" s="318"/>
      <c r="X652" s="318"/>
      <c r="Y652" s="318"/>
      <c r="Z652" s="318"/>
      <c r="AA652" s="318"/>
      <c r="AB652" s="318"/>
      <c r="AC652" s="318"/>
      <c r="AD652" s="318"/>
      <c r="AE652" s="318"/>
      <c r="AF652" s="318"/>
      <c r="AG652" s="318"/>
      <c r="AH652" s="318"/>
      <c r="AI652" s="318"/>
    </row>
    <row r="653" spans="2:35" ht="11.25" hidden="1" customHeight="1" outlineLevel="1" x14ac:dyDescent="0.35">
      <c r="B653" s="246" t="s">
        <v>5466</v>
      </c>
      <c r="C653" s="245"/>
      <c r="D653" s="278"/>
      <c r="E653" s="307"/>
      <c r="F653" s="307"/>
      <c r="G653" s="307"/>
      <c r="H653" s="307"/>
      <c r="I653" s="307"/>
      <c r="J653" s="307"/>
      <c r="K653" s="307"/>
      <c r="L653" s="307"/>
      <c r="M653" s="307"/>
      <c r="N653" s="307"/>
      <c r="U653" s="318"/>
      <c r="V653" s="318"/>
      <c r="W653" s="318"/>
      <c r="X653" s="318"/>
      <c r="Y653" s="318"/>
      <c r="Z653" s="318"/>
      <c r="AA653" s="318"/>
      <c r="AB653" s="318"/>
      <c r="AC653" s="318"/>
      <c r="AD653" s="318"/>
      <c r="AE653" s="318"/>
      <c r="AF653" s="318"/>
      <c r="AG653" s="318"/>
      <c r="AH653" s="318"/>
      <c r="AI653" s="318"/>
    </row>
    <row r="654" spans="2:35" ht="11.25" hidden="1" customHeight="1" outlineLevel="1" x14ac:dyDescent="0.35">
      <c r="B654" s="244" t="s">
        <v>5365</v>
      </c>
      <c r="C654" s="245"/>
      <c r="D654" s="279" t="str">
        <f>IF(Y330="","",Y330)</f>
        <v>NA</v>
      </c>
      <c r="E654" s="279" t="str">
        <f>IF(Z330="","",Z330)</f>
        <v>NA</v>
      </c>
      <c r="F654" s="279" t="str">
        <f>IF(AA330="","",AA330)</f>
        <v>NA</v>
      </c>
      <c r="G654" s="279" t="str">
        <f>IF(AB330="","",AB330)</f>
        <v>NA</v>
      </c>
      <c r="H654" s="279" t="str">
        <f>IF(AC330="","",AC330)</f>
        <v>NA</v>
      </c>
      <c r="I654" s="279" t="str">
        <f>IF(AD330="","",AD330)</f>
        <v>NA</v>
      </c>
      <c r="J654" s="279" t="str">
        <f>IF(AE330="","",AE330)</f>
        <v>NA</v>
      </c>
      <c r="K654" s="279" t="str">
        <f>IF(AF330="","",AF330)</f>
        <v>NA</v>
      </c>
      <c r="L654" s="279" t="str">
        <f>IF(AG330="","",AG330)</f>
        <v>NA</v>
      </c>
      <c r="M654" s="279" t="str">
        <f>IF(AH330="","",AH330)</f>
        <v>NA</v>
      </c>
      <c r="N654" s="279" t="str">
        <f>IF(AI330="","",AI330)</f>
        <v>NA</v>
      </c>
      <c r="U654" s="258"/>
      <c r="V654" s="394"/>
      <c r="W654" s="394"/>
      <c r="X654" s="392"/>
      <c r="Y654" s="395"/>
      <c r="Z654" s="395"/>
      <c r="AA654" s="395"/>
      <c r="AB654" s="395"/>
      <c r="AC654" s="395"/>
      <c r="AD654" s="395"/>
      <c r="AE654" s="395"/>
      <c r="AF654" s="395"/>
      <c r="AG654" s="395"/>
      <c r="AH654" s="395"/>
      <c r="AI654" s="395"/>
    </row>
    <row r="655" spans="2:35" ht="11.25" hidden="1" customHeight="1" outlineLevel="1" x14ac:dyDescent="0.35">
      <c r="B655" s="244" t="s">
        <v>5366</v>
      </c>
      <c r="C655" s="245"/>
      <c r="D655" s="279" t="str">
        <f>IF(Y331="","",Y331)</f>
        <v>NA</v>
      </c>
      <c r="E655" s="279" t="str">
        <f>IF(Z331="","",Z331)</f>
        <v>NA</v>
      </c>
      <c r="F655" s="279" t="str">
        <f>IF(AA331="","",AA331)</f>
        <v>NA</v>
      </c>
      <c r="G655" s="279" t="str">
        <f>IF(AB331="","",AB331)</f>
        <v>NA</v>
      </c>
      <c r="H655" s="279" t="str">
        <f>IF(AC331="","",AC331)</f>
        <v>NA</v>
      </c>
      <c r="I655" s="279" t="str">
        <f>IF(AD331="","",AD331)</f>
        <v>NA</v>
      </c>
      <c r="J655" s="279" t="str">
        <f>IF(AE331="","",AE331)</f>
        <v>NA</v>
      </c>
      <c r="K655" s="279" t="str">
        <f>IF(AF331="","",AF331)</f>
        <v>NA</v>
      </c>
      <c r="L655" s="279" t="str">
        <f>IF(AG331="","",AG331)</f>
        <v>NA</v>
      </c>
      <c r="M655" s="279" t="str">
        <f>IF(AH331="","",AH331)</f>
        <v>NA</v>
      </c>
      <c r="N655" s="279" t="str">
        <f>IF(AI331="","",AI331)</f>
        <v>NA</v>
      </c>
      <c r="U655" s="258"/>
      <c r="V655" s="394"/>
      <c r="W655" s="394"/>
      <c r="X655" s="392"/>
      <c r="Y655" s="395"/>
      <c r="Z655" s="395"/>
      <c r="AA655" s="395"/>
      <c r="AB655" s="395"/>
      <c r="AC655" s="395"/>
      <c r="AD655" s="395"/>
      <c r="AE655" s="395"/>
      <c r="AF655" s="395"/>
      <c r="AG655" s="395"/>
      <c r="AH655" s="395"/>
      <c r="AI655" s="395"/>
    </row>
    <row r="656" spans="2:35" ht="11.25" hidden="1" customHeight="1" outlineLevel="1" x14ac:dyDescent="0.35">
      <c r="B656" s="244" t="s">
        <v>5122</v>
      </c>
      <c r="C656" s="245"/>
      <c r="D656" s="279" t="str">
        <f>IF(Y332="","",Y332)</f>
        <v>NA</v>
      </c>
      <c r="E656" s="279" t="str">
        <f>IF(Z332="","",Z332)</f>
        <v>NA</v>
      </c>
      <c r="F656" s="279" t="str">
        <f>IF(AA332="","",AA332)</f>
        <v>NA</v>
      </c>
      <c r="G656" s="279" t="str">
        <f>IF(AB332="","",AB332)</f>
        <v>NA</v>
      </c>
      <c r="H656" s="279" t="str">
        <f>IF(AC332="","",AC332)</f>
        <v>NA</v>
      </c>
      <c r="I656" s="279" t="str">
        <f>IF(AD332="","",AD332)</f>
        <v>NA</v>
      </c>
      <c r="J656" s="279" t="str">
        <f>IF(AE332="","",AE332)</f>
        <v>NA</v>
      </c>
      <c r="K656" s="279" t="str">
        <f>IF(AF332="","",AF332)</f>
        <v>NA</v>
      </c>
      <c r="L656" s="279" t="str">
        <f>IF(AG332="","",AG332)</f>
        <v>NA</v>
      </c>
      <c r="M656" s="279" t="str">
        <f>IF(AH332="","",AH332)</f>
        <v>NA</v>
      </c>
      <c r="N656" s="279" t="str">
        <f>IF(AI332="","",AI332)</f>
        <v>NA</v>
      </c>
      <c r="U656" s="258"/>
      <c r="V656" s="394"/>
      <c r="W656" s="394"/>
      <c r="X656" s="392"/>
      <c r="Y656" s="395"/>
      <c r="Z656" s="395"/>
      <c r="AA656" s="395"/>
      <c r="AB656" s="395"/>
      <c r="AC656" s="395"/>
      <c r="AD656" s="395"/>
      <c r="AE656" s="395"/>
      <c r="AF656" s="395"/>
      <c r="AG656" s="395"/>
      <c r="AH656" s="395"/>
      <c r="AI656" s="395"/>
    </row>
    <row r="657" spans="2:35" ht="11.25" hidden="1" customHeight="1" outlineLevel="1" x14ac:dyDescent="0.35">
      <c r="B657" s="244" t="s">
        <v>5124</v>
      </c>
      <c r="C657" s="245"/>
      <c r="D657" s="279" t="str">
        <f>IF(Y333="","",Y333)</f>
        <v>NA</v>
      </c>
      <c r="E657" s="279" t="str">
        <f>IF(Z333="","",Z333)</f>
        <v>NA</v>
      </c>
      <c r="F657" s="279" t="str">
        <f>IF(AA333="","",AA333)</f>
        <v>NA</v>
      </c>
      <c r="G657" s="279" t="str">
        <f>IF(AB333="","",AB333)</f>
        <v>NA</v>
      </c>
      <c r="H657" s="279" t="str">
        <f>IF(AC333="","",AC333)</f>
        <v>NA</v>
      </c>
      <c r="I657" s="279" t="str">
        <f>IF(AD333="","",AD333)</f>
        <v>NA</v>
      </c>
      <c r="J657" s="279" t="str">
        <f>IF(AE333="","",AE333)</f>
        <v>NA</v>
      </c>
      <c r="K657" s="279" t="str">
        <f>IF(AF333="","",AF333)</f>
        <v>NA</v>
      </c>
      <c r="L657" s="279" t="str">
        <f>IF(AG333="","",AG333)</f>
        <v>NA</v>
      </c>
      <c r="M657" s="279" t="str">
        <f>IF(AH333="","",AH333)</f>
        <v>NA</v>
      </c>
      <c r="N657" s="279" t="str">
        <f>IF(AI333="","",AI333)</f>
        <v>NA</v>
      </c>
      <c r="U657" s="258"/>
      <c r="V657" s="394"/>
      <c r="W657" s="394"/>
      <c r="X657" s="392"/>
      <c r="Y657" s="395"/>
      <c r="Z657" s="395"/>
      <c r="AA657" s="395"/>
      <c r="AB657" s="395"/>
      <c r="AC657" s="395"/>
      <c r="AD657" s="395"/>
      <c r="AE657" s="395"/>
      <c r="AF657" s="395"/>
      <c r="AG657" s="395"/>
      <c r="AH657" s="395"/>
      <c r="AI657" s="395"/>
    </row>
    <row r="658" spans="2:35" ht="11.25" hidden="1" customHeight="1" outlineLevel="1" x14ac:dyDescent="0.35">
      <c r="B658" s="244" t="s">
        <v>5121</v>
      </c>
      <c r="C658" s="245"/>
      <c r="D658" s="279" t="str">
        <f>IF(Y334="","",Y334)</f>
        <v>NA</v>
      </c>
      <c r="E658" s="279" t="str">
        <f>IF(Z334="","",Z334)</f>
        <v>NA</v>
      </c>
      <c r="F658" s="279" t="str">
        <f>IF(AA334="","",AA334)</f>
        <v>NA</v>
      </c>
      <c r="G658" s="279" t="str">
        <f>IF(AB334="","",AB334)</f>
        <v>NA</v>
      </c>
      <c r="H658" s="279" t="str">
        <f>IF(AC334="","",AC334)</f>
        <v>NA</v>
      </c>
      <c r="I658" s="279" t="str">
        <f>IF(AD334="","",AD334)</f>
        <v>NA</v>
      </c>
      <c r="J658" s="279" t="str">
        <f>IF(AE334="","",AE334)</f>
        <v>NA</v>
      </c>
      <c r="K658" s="279" t="str">
        <f>IF(AF334="","",AF334)</f>
        <v>NA</v>
      </c>
      <c r="L658" s="279" t="str">
        <f>IF(AG334="","",AG334)</f>
        <v>NA</v>
      </c>
      <c r="M658" s="279" t="str">
        <f>IF(AH334="","",AH334)</f>
        <v>NA</v>
      </c>
      <c r="N658" s="279" t="str">
        <f>IF(AI334="","",AI334)</f>
        <v>NA</v>
      </c>
      <c r="U658" s="258"/>
      <c r="V658" s="394"/>
      <c r="W658" s="394"/>
      <c r="X658" s="392"/>
      <c r="Y658" s="395"/>
      <c r="Z658" s="395"/>
      <c r="AA658" s="395"/>
      <c r="AB658" s="395"/>
      <c r="AC658" s="395"/>
      <c r="AD658" s="395"/>
      <c r="AE658" s="395"/>
      <c r="AF658" s="395"/>
      <c r="AG658" s="395"/>
      <c r="AH658" s="395"/>
      <c r="AI658" s="395"/>
    </row>
    <row r="659" spans="2:35" ht="11.25" hidden="1" customHeight="1" outlineLevel="1" x14ac:dyDescent="0.35">
      <c r="B659" s="244" t="s">
        <v>5367</v>
      </c>
      <c r="C659" s="245"/>
      <c r="D659" s="279" t="str">
        <f>IF(Y335="","",Y335)</f>
        <v>NA</v>
      </c>
      <c r="E659" s="279" t="str">
        <f>IF(Z335="","",Z335)</f>
        <v>NA</v>
      </c>
      <c r="F659" s="279" t="str">
        <f>IF(AA335="","",AA335)</f>
        <v>NA</v>
      </c>
      <c r="G659" s="279" t="str">
        <f>IF(AB335="","",AB335)</f>
        <v>NA</v>
      </c>
      <c r="H659" s="279" t="str">
        <f>IF(AC335="","",AC335)</f>
        <v>NA</v>
      </c>
      <c r="I659" s="279" t="str">
        <f>IF(AD335="","",AD335)</f>
        <v>NA</v>
      </c>
      <c r="J659" s="279" t="str">
        <f>IF(AE335="","",AE335)</f>
        <v>NA</v>
      </c>
      <c r="K659" s="279" t="str">
        <f>IF(AF335="","",AF335)</f>
        <v>NA</v>
      </c>
      <c r="L659" s="279" t="str">
        <f>IF(AG335="","",AG335)</f>
        <v>NA</v>
      </c>
      <c r="M659" s="279" t="str">
        <f>IF(AH335="","",AH335)</f>
        <v>NA</v>
      </c>
      <c r="N659" s="279" t="str">
        <f>IF(AI335="","",AI335)</f>
        <v>NA</v>
      </c>
      <c r="U659" s="258"/>
      <c r="V659" s="394"/>
      <c r="W659" s="394"/>
      <c r="X659" s="392"/>
      <c r="Y659" s="395"/>
      <c r="Z659" s="395"/>
      <c r="AA659" s="395"/>
      <c r="AB659" s="395"/>
      <c r="AC659" s="395"/>
      <c r="AD659" s="395"/>
      <c r="AE659" s="395"/>
      <c r="AF659" s="395"/>
      <c r="AG659" s="395"/>
      <c r="AH659" s="395"/>
      <c r="AI659" s="395"/>
    </row>
    <row r="660" spans="2:35" ht="11.25" hidden="1" customHeight="1" outlineLevel="1" x14ac:dyDescent="0.35">
      <c r="B660" s="244" t="s">
        <v>5368</v>
      </c>
      <c r="C660" s="245"/>
      <c r="D660" s="279" t="str">
        <f>IF(Y336="","",Y336)</f>
        <v>NA</v>
      </c>
      <c r="E660" s="279" t="str">
        <f>IF(Z336="","",Z336)</f>
        <v>NA</v>
      </c>
      <c r="F660" s="279" t="str">
        <f>IF(AA336="","",AA336)</f>
        <v>NA</v>
      </c>
      <c r="G660" s="279" t="str">
        <f>IF(AB336="","",AB336)</f>
        <v>NA</v>
      </c>
      <c r="H660" s="279" t="str">
        <f>IF(AC336="","",AC336)</f>
        <v>NA</v>
      </c>
      <c r="I660" s="279" t="str">
        <f>IF(AD336="","",AD336)</f>
        <v>NA</v>
      </c>
      <c r="J660" s="279" t="str">
        <f>IF(AE336="","",AE336)</f>
        <v>NA</v>
      </c>
      <c r="K660" s="279" t="str">
        <f>IF(AF336="","",AF336)</f>
        <v>NA</v>
      </c>
      <c r="L660" s="279" t="str">
        <f>IF(AG336="","",AG336)</f>
        <v>NA</v>
      </c>
      <c r="M660" s="279" t="str">
        <f>IF(AH336="","",AH336)</f>
        <v>NA</v>
      </c>
      <c r="N660" s="279" t="str">
        <f>IF(AI336="","",AI336)</f>
        <v>NA</v>
      </c>
      <c r="U660" s="258"/>
      <c r="V660" s="394"/>
      <c r="W660" s="394"/>
      <c r="X660" s="392"/>
      <c r="Y660" s="395"/>
      <c r="Z660" s="395"/>
      <c r="AA660" s="395"/>
      <c r="AB660" s="395"/>
      <c r="AC660" s="395"/>
      <c r="AD660" s="395"/>
      <c r="AE660" s="395"/>
      <c r="AF660" s="395"/>
      <c r="AG660" s="395"/>
      <c r="AH660" s="395"/>
      <c r="AI660" s="395"/>
    </row>
    <row r="661" spans="2:35" ht="11.25" hidden="1" customHeight="1" outlineLevel="1" x14ac:dyDescent="0.35">
      <c r="B661" s="244" t="s">
        <v>5369</v>
      </c>
      <c r="C661" s="245"/>
      <c r="D661" s="279" t="str">
        <f>IF(Y337="","",Y337)</f>
        <v>NA</v>
      </c>
      <c r="E661" s="279" t="str">
        <f>IF(Z337="","",Z337)</f>
        <v>NA</v>
      </c>
      <c r="F661" s="279" t="str">
        <f>IF(AA337="","",AA337)</f>
        <v>NA</v>
      </c>
      <c r="G661" s="279" t="str">
        <f>IF(AB337="","",AB337)</f>
        <v>NA</v>
      </c>
      <c r="H661" s="279" t="str">
        <f>IF(AC337="","",AC337)</f>
        <v>NA</v>
      </c>
      <c r="I661" s="279" t="str">
        <f>IF(AD337="","",AD337)</f>
        <v>NA</v>
      </c>
      <c r="J661" s="279" t="str">
        <f>IF(AE337="","",AE337)</f>
        <v>NA</v>
      </c>
      <c r="K661" s="279" t="str">
        <f>IF(AF337="","",AF337)</f>
        <v>NA</v>
      </c>
      <c r="L661" s="279" t="str">
        <f>IF(AG337="","",AG337)</f>
        <v>NA</v>
      </c>
      <c r="M661" s="279" t="str">
        <f>IF(AH337="","",AH337)</f>
        <v>NA</v>
      </c>
      <c r="N661" s="279" t="str">
        <f>IF(AI337="","",AI337)</f>
        <v>NA</v>
      </c>
      <c r="U661" s="258"/>
      <c r="V661" s="394"/>
      <c r="W661" s="394"/>
      <c r="X661" s="392"/>
      <c r="Y661" s="395"/>
      <c r="Z661" s="395"/>
      <c r="AA661" s="395"/>
      <c r="AB661" s="395"/>
      <c r="AC661" s="395"/>
      <c r="AD661" s="395"/>
      <c r="AE661" s="395"/>
      <c r="AF661" s="395"/>
      <c r="AG661" s="395"/>
      <c r="AH661" s="395"/>
      <c r="AI661" s="395"/>
    </row>
    <row r="662" spans="2:35" ht="11.25" hidden="1" customHeight="1" outlineLevel="1" x14ac:dyDescent="0.35">
      <c r="B662" s="244" t="s">
        <v>5370</v>
      </c>
      <c r="C662" s="245"/>
      <c r="D662" s="279" t="str">
        <f>IF(Y338="","",Y338)</f>
        <v>NA</v>
      </c>
      <c r="E662" s="279" t="str">
        <f>IF(Z338="","",Z338)</f>
        <v>NA</v>
      </c>
      <c r="F662" s="279" t="str">
        <f>IF(AA338="","",AA338)</f>
        <v>NA</v>
      </c>
      <c r="G662" s="279" t="str">
        <f>IF(AB338="","",AB338)</f>
        <v>NA</v>
      </c>
      <c r="H662" s="279" t="str">
        <f>IF(AC338="","",AC338)</f>
        <v>NA</v>
      </c>
      <c r="I662" s="279" t="str">
        <f>IF(AD338="","",AD338)</f>
        <v>NA</v>
      </c>
      <c r="J662" s="279" t="str">
        <f>IF(AE338="","",AE338)</f>
        <v>NA</v>
      </c>
      <c r="K662" s="279" t="str">
        <f>IF(AF338="","",AF338)</f>
        <v>NA</v>
      </c>
      <c r="L662" s="279" t="str">
        <f>IF(AG338="","",AG338)</f>
        <v>NA</v>
      </c>
      <c r="M662" s="279" t="str">
        <f>IF(AH338="","",AH338)</f>
        <v>NA</v>
      </c>
      <c r="N662" s="279" t="str">
        <f>IF(AI338="","",AI338)</f>
        <v>NA</v>
      </c>
      <c r="U662" s="258"/>
      <c r="V662" s="394"/>
      <c r="W662" s="394"/>
      <c r="X662" s="392"/>
      <c r="Y662" s="395"/>
      <c r="Z662" s="395"/>
      <c r="AA662" s="395"/>
      <c r="AB662" s="395"/>
      <c r="AC662" s="395"/>
      <c r="AD662" s="395"/>
      <c r="AE662" s="395"/>
      <c r="AF662" s="395"/>
      <c r="AG662" s="395"/>
      <c r="AH662" s="395"/>
      <c r="AI662" s="395"/>
    </row>
    <row r="663" spans="2:35" ht="11.25" hidden="1" customHeight="1" outlineLevel="1" x14ac:dyDescent="0.35">
      <c r="B663" s="244" t="s">
        <v>5371</v>
      </c>
      <c r="C663" s="245"/>
      <c r="D663" s="279" t="str">
        <f>IF(Y339="","",Y339)</f>
        <v>NA</v>
      </c>
      <c r="E663" s="279" t="str">
        <f>IF(Z339="","",Z339)</f>
        <v>NA</v>
      </c>
      <c r="F663" s="279" t="str">
        <f>IF(AA339="","",AA339)</f>
        <v>NA</v>
      </c>
      <c r="G663" s="279" t="str">
        <f>IF(AB339="","",AB339)</f>
        <v>NA</v>
      </c>
      <c r="H663" s="279" t="str">
        <f>IF(AC339="","",AC339)</f>
        <v>NA</v>
      </c>
      <c r="I663" s="279" t="str">
        <f>IF(AD339="","",AD339)</f>
        <v>NA</v>
      </c>
      <c r="J663" s="279" t="str">
        <f>IF(AE339="","",AE339)</f>
        <v>NA</v>
      </c>
      <c r="K663" s="279" t="str">
        <f>IF(AF339="","",AF339)</f>
        <v>NA</v>
      </c>
      <c r="L663" s="279" t="str">
        <f>IF(AG339="","",AG339)</f>
        <v>NA</v>
      </c>
      <c r="M663" s="279" t="str">
        <f>IF(AH339="","",AH339)</f>
        <v>NA</v>
      </c>
      <c r="N663" s="279" t="str">
        <f>IF(AI339="","",AI339)</f>
        <v>NA</v>
      </c>
      <c r="U663" s="258"/>
      <c r="V663" s="394"/>
      <c r="W663" s="394"/>
      <c r="X663" s="392"/>
      <c r="Y663" s="395"/>
      <c r="Z663" s="395"/>
      <c r="AA663" s="395"/>
      <c r="AB663" s="395"/>
      <c r="AC663" s="395"/>
      <c r="AD663" s="395"/>
      <c r="AE663" s="395"/>
      <c r="AF663" s="395"/>
      <c r="AG663" s="395"/>
      <c r="AH663" s="395"/>
      <c r="AI663" s="395"/>
    </row>
    <row r="664" spans="2:35" ht="11.25" hidden="1" customHeight="1" outlineLevel="1" x14ac:dyDescent="0.35">
      <c r="B664" s="244" t="s">
        <v>5372</v>
      </c>
      <c r="C664" s="245"/>
      <c r="D664" s="279" t="str">
        <f>IF(Y340="","",Y340)</f>
        <v>NA</v>
      </c>
      <c r="E664" s="279" t="str">
        <f>IF(Z340="","",Z340)</f>
        <v>NA</v>
      </c>
      <c r="F664" s="279" t="str">
        <f>IF(AA340="","",AA340)</f>
        <v>NA</v>
      </c>
      <c r="G664" s="279" t="str">
        <f>IF(AB340="","",AB340)</f>
        <v>NA</v>
      </c>
      <c r="H664" s="279" t="str">
        <f>IF(AC340="","",AC340)</f>
        <v>NA</v>
      </c>
      <c r="I664" s="279" t="str">
        <f>IF(AD340="","",AD340)</f>
        <v>NA</v>
      </c>
      <c r="J664" s="279" t="str">
        <f>IF(AE340="","",AE340)</f>
        <v>NA</v>
      </c>
      <c r="K664" s="279" t="str">
        <f>IF(AF340="","",AF340)</f>
        <v>NA</v>
      </c>
      <c r="L664" s="279" t="str">
        <f>IF(AG340="","",AG340)</f>
        <v>NA</v>
      </c>
      <c r="M664" s="279" t="str">
        <f>IF(AH340="","",AH340)</f>
        <v>NA</v>
      </c>
      <c r="N664" s="279" t="str">
        <f>IF(AI340="","",AI340)</f>
        <v>NA</v>
      </c>
      <c r="U664" s="258"/>
      <c r="V664" s="394"/>
      <c r="W664" s="394"/>
      <c r="X664" s="392"/>
      <c r="Y664" s="395"/>
      <c r="Z664" s="395"/>
      <c r="AA664" s="395"/>
      <c r="AB664" s="395"/>
      <c r="AC664" s="395"/>
      <c r="AD664" s="395"/>
      <c r="AE664" s="395"/>
      <c r="AF664" s="395"/>
      <c r="AG664" s="395"/>
      <c r="AH664" s="395"/>
      <c r="AI664" s="395"/>
    </row>
    <row r="665" spans="2:35" ht="11.25" hidden="1" customHeight="1" outlineLevel="1" x14ac:dyDescent="0.35">
      <c r="B665" s="244"/>
      <c r="C665" s="245"/>
      <c r="D665" s="278"/>
      <c r="E665" s="307"/>
      <c r="F665" s="307"/>
      <c r="G665" s="307"/>
      <c r="H665" s="307"/>
      <c r="I665" s="307"/>
      <c r="J665" s="307"/>
      <c r="K665" s="307"/>
      <c r="L665" s="307"/>
      <c r="M665" s="307"/>
      <c r="N665" s="307"/>
      <c r="U665" s="318"/>
      <c r="V665" s="318"/>
      <c r="W665" s="318"/>
      <c r="X665" s="318"/>
      <c r="Y665" s="318"/>
      <c r="Z665" s="318"/>
      <c r="AA665" s="318"/>
      <c r="AB665" s="318"/>
      <c r="AC665" s="318"/>
      <c r="AD665" s="318"/>
      <c r="AE665" s="318"/>
      <c r="AF665" s="318"/>
      <c r="AG665" s="318"/>
      <c r="AH665" s="318"/>
      <c r="AI665" s="318"/>
    </row>
    <row r="666" spans="2:35" ht="11.25" hidden="1" customHeight="1" outlineLevel="1" x14ac:dyDescent="0.35">
      <c r="B666" s="246" t="s">
        <v>5467</v>
      </c>
      <c r="C666" s="245"/>
      <c r="D666" s="278"/>
      <c r="E666" s="307"/>
      <c r="F666" s="307"/>
      <c r="G666" s="307"/>
      <c r="H666" s="307"/>
      <c r="I666" s="307"/>
      <c r="J666" s="307"/>
      <c r="K666" s="307"/>
      <c r="L666" s="307"/>
      <c r="M666" s="307"/>
      <c r="N666" s="307"/>
      <c r="U666" s="318"/>
      <c r="V666" s="318"/>
      <c r="W666" s="318"/>
      <c r="X666" s="318"/>
      <c r="Y666" s="318"/>
      <c r="Z666" s="318"/>
      <c r="AA666" s="318"/>
      <c r="AB666" s="318"/>
      <c r="AC666" s="318"/>
      <c r="AD666" s="318"/>
      <c r="AE666" s="318"/>
      <c r="AF666" s="318"/>
      <c r="AG666" s="318"/>
      <c r="AH666" s="318"/>
      <c r="AI666" s="318"/>
    </row>
    <row r="667" spans="2:35" ht="11.25" hidden="1" customHeight="1" outlineLevel="1" x14ac:dyDescent="0.35">
      <c r="B667" s="244" t="s">
        <v>5365</v>
      </c>
      <c r="C667" s="245"/>
      <c r="D667" s="279" t="str">
        <f>IF(Y343="","",Y343)</f>
        <v>NA</v>
      </c>
      <c r="E667" s="279" t="str">
        <f>IF(Z343="","",Z343)</f>
        <v>NA</v>
      </c>
      <c r="F667" s="279" t="str">
        <f>IF(AA343="","",AA343)</f>
        <v>NA</v>
      </c>
      <c r="G667" s="279" t="str">
        <f>IF(AB343="","",AB343)</f>
        <v>NA</v>
      </c>
      <c r="H667" s="279" t="str">
        <f>IF(AC343="","",AC343)</f>
        <v>NA</v>
      </c>
      <c r="I667" s="279" t="str">
        <f>IF(AD343="","",AD343)</f>
        <v>NA</v>
      </c>
      <c r="J667" s="279" t="str">
        <f>IF(AE343="","",AE343)</f>
        <v>NA</v>
      </c>
      <c r="K667" s="279" t="str">
        <f>IF(AF343="","",AF343)</f>
        <v>NA</v>
      </c>
      <c r="L667" s="279" t="str">
        <f>IF(AG343="","",AG343)</f>
        <v>NA</v>
      </c>
      <c r="M667" s="279" t="str">
        <f>IF(AH343="","",AH343)</f>
        <v>NA</v>
      </c>
      <c r="N667" s="279" t="str">
        <f>IF(AI343="","",AI343)</f>
        <v>NA</v>
      </c>
      <c r="U667" s="258"/>
      <c r="V667" s="394"/>
      <c r="W667" s="394"/>
      <c r="X667" s="392"/>
      <c r="Y667" s="395"/>
      <c r="Z667" s="395"/>
      <c r="AA667" s="395"/>
      <c r="AB667" s="395"/>
      <c r="AC667" s="395"/>
      <c r="AD667" s="395"/>
      <c r="AE667" s="395"/>
      <c r="AF667" s="395"/>
      <c r="AG667" s="395"/>
      <c r="AH667" s="395"/>
      <c r="AI667" s="395"/>
    </row>
    <row r="668" spans="2:35" ht="11.25" hidden="1" customHeight="1" outlineLevel="1" x14ac:dyDescent="0.35">
      <c r="B668" s="244" t="s">
        <v>5366</v>
      </c>
      <c r="C668" s="245"/>
      <c r="D668" s="279" t="str">
        <f>IF(Y344="","",Y344)</f>
        <v>NA</v>
      </c>
      <c r="E668" s="279" t="str">
        <f>IF(Z344="","",Z344)</f>
        <v>NA</v>
      </c>
      <c r="F668" s="279" t="str">
        <f>IF(AA344="","",AA344)</f>
        <v>NA</v>
      </c>
      <c r="G668" s="279" t="str">
        <f>IF(AB344="","",AB344)</f>
        <v>NA</v>
      </c>
      <c r="H668" s="279" t="str">
        <f>IF(AC344="","",AC344)</f>
        <v>NA</v>
      </c>
      <c r="I668" s="279" t="str">
        <f>IF(AD344="","",AD344)</f>
        <v>NA</v>
      </c>
      <c r="J668" s="279" t="str">
        <f>IF(AE344="","",AE344)</f>
        <v>NA</v>
      </c>
      <c r="K668" s="279" t="str">
        <f>IF(AF344="","",AF344)</f>
        <v>NA</v>
      </c>
      <c r="L668" s="279" t="str">
        <f>IF(AG344="","",AG344)</f>
        <v>NA</v>
      </c>
      <c r="M668" s="279" t="str">
        <f>IF(AH344="","",AH344)</f>
        <v>NA</v>
      </c>
      <c r="N668" s="279" t="str">
        <f>IF(AI344="","",AI344)</f>
        <v>NA</v>
      </c>
      <c r="U668" s="258"/>
      <c r="V668" s="394"/>
      <c r="W668" s="394"/>
      <c r="X668" s="392"/>
      <c r="Y668" s="395"/>
      <c r="Z668" s="395"/>
      <c r="AA668" s="395"/>
      <c r="AB668" s="395"/>
      <c r="AC668" s="395"/>
      <c r="AD668" s="395"/>
      <c r="AE668" s="395"/>
      <c r="AF668" s="395"/>
      <c r="AG668" s="395"/>
      <c r="AH668" s="395"/>
      <c r="AI668" s="395"/>
    </row>
    <row r="669" spans="2:35" ht="11.25" hidden="1" customHeight="1" outlineLevel="1" x14ac:dyDescent="0.35">
      <c r="B669" s="244" t="s">
        <v>5122</v>
      </c>
      <c r="C669" s="245"/>
      <c r="D669" s="279" t="str">
        <f>IF(Y345="","",Y345)</f>
        <v>NA</v>
      </c>
      <c r="E669" s="279" t="str">
        <f>IF(Z345="","",Z345)</f>
        <v>NA</v>
      </c>
      <c r="F669" s="279" t="str">
        <f>IF(AA345="","",AA345)</f>
        <v>NA</v>
      </c>
      <c r="G669" s="279" t="str">
        <f>IF(AB345="","",AB345)</f>
        <v>NA</v>
      </c>
      <c r="H669" s="279" t="str">
        <f>IF(AC345="","",AC345)</f>
        <v>NA</v>
      </c>
      <c r="I669" s="279" t="str">
        <f>IF(AD345="","",AD345)</f>
        <v>NA</v>
      </c>
      <c r="J669" s="279" t="str">
        <f>IF(AE345="","",AE345)</f>
        <v>NA</v>
      </c>
      <c r="K669" s="279" t="str">
        <f>IF(AF345="","",AF345)</f>
        <v>NA</v>
      </c>
      <c r="L669" s="279" t="str">
        <f>IF(AG345="","",AG345)</f>
        <v>NA</v>
      </c>
      <c r="M669" s="279" t="str">
        <f>IF(AH345="","",AH345)</f>
        <v>NA</v>
      </c>
      <c r="N669" s="279" t="str">
        <f>IF(AI345="","",AI345)</f>
        <v>NA</v>
      </c>
      <c r="U669" s="258"/>
      <c r="V669" s="394"/>
      <c r="W669" s="394"/>
      <c r="X669" s="392"/>
      <c r="Y669" s="395"/>
      <c r="Z669" s="395"/>
      <c r="AA669" s="395"/>
      <c r="AB669" s="395"/>
      <c r="AC669" s="395"/>
      <c r="AD669" s="395"/>
      <c r="AE669" s="395"/>
      <c r="AF669" s="395"/>
      <c r="AG669" s="395"/>
      <c r="AH669" s="395"/>
      <c r="AI669" s="395"/>
    </row>
    <row r="670" spans="2:35" ht="11.25" hidden="1" customHeight="1" outlineLevel="1" x14ac:dyDescent="0.35">
      <c r="B670" s="244" t="s">
        <v>5124</v>
      </c>
      <c r="C670" s="245"/>
      <c r="D670" s="279" t="str">
        <f>IF(Y346="","",Y346)</f>
        <v>NA</v>
      </c>
      <c r="E670" s="279" t="str">
        <f>IF(Z346="","",Z346)</f>
        <v>NA</v>
      </c>
      <c r="F670" s="279" t="str">
        <f>IF(AA346="","",AA346)</f>
        <v>NA</v>
      </c>
      <c r="G670" s="279" t="str">
        <f>IF(AB346="","",AB346)</f>
        <v>NA</v>
      </c>
      <c r="H670" s="279" t="str">
        <f>IF(AC346="","",AC346)</f>
        <v>NA</v>
      </c>
      <c r="I670" s="279" t="str">
        <f>IF(AD346="","",AD346)</f>
        <v>NA</v>
      </c>
      <c r="J670" s="279" t="str">
        <f>IF(AE346="","",AE346)</f>
        <v>NA</v>
      </c>
      <c r="K670" s="279" t="str">
        <f>IF(AF346="","",AF346)</f>
        <v>NA</v>
      </c>
      <c r="L670" s="279" t="str">
        <f>IF(AG346="","",AG346)</f>
        <v>NA</v>
      </c>
      <c r="M670" s="279" t="str">
        <f>IF(AH346="","",AH346)</f>
        <v>NA</v>
      </c>
      <c r="N670" s="279" t="str">
        <f>IF(AI346="","",AI346)</f>
        <v>NA</v>
      </c>
      <c r="U670" s="258"/>
      <c r="V670" s="394"/>
      <c r="W670" s="394"/>
      <c r="X670" s="392"/>
      <c r="Y670" s="395"/>
      <c r="Z670" s="395"/>
      <c r="AA670" s="395"/>
      <c r="AB670" s="395"/>
      <c r="AC670" s="395"/>
      <c r="AD670" s="395"/>
      <c r="AE670" s="395"/>
      <c r="AF670" s="395"/>
      <c r="AG670" s="395"/>
      <c r="AH670" s="395"/>
      <c r="AI670" s="395"/>
    </row>
    <row r="671" spans="2:35" ht="11.25" hidden="1" customHeight="1" outlineLevel="1" x14ac:dyDescent="0.35">
      <c r="B671" s="244" t="s">
        <v>5121</v>
      </c>
      <c r="C671" s="245"/>
      <c r="D671" s="279" t="str">
        <f>IF(Y347="","",Y347)</f>
        <v>NA</v>
      </c>
      <c r="E671" s="279" t="str">
        <f>IF(Z347="","",Z347)</f>
        <v>NA</v>
      </c>
      <c r="F671" s="279" t="str">
        <f>IF(AA347="","",AA347)</f>
        <v>NA</v>
      </c>
      <c r="G671" s="279" t="str">
        <f>IF(AB347="","",AB347)</f>
        <v>NA</v>
      </c>
      <c r="H671" s="279" t="str">
        <f>IF(AC347="","",AC347)</f>
        <v>NA</v>
      </c>
      <c r="I671" s="279" t="str">
        <f>IF(AD347="","",AD347)</f>
        <v>NA</v>
      </c>
      <c r="J671" s="279" t="str">
        <f>IF(AE347="","",AE347)</f>
        <v>NA</v>
      </c>
      <c r="K671" s="279" t="str">
        <f>IF(AF347="","",AF347)</f>
        <v>NA</v>
      </c>
      <c r="L671" s="279" t="str">
        <f>IF(AG347="","",AG347)</f>
        <v>NA</v>
      </c>
      <c r="M671" s="279" t="str">
        <f>IF(AH347="","",AH347)</f>
        <v>NA</v>
      </c>
      <c r="N671" s="279" t="str">
        <f>IF(AI347="","",AI347)</f>
        <v>NA</v>
      </c>
      <c r="U671" s="258"/>
      <c r="V671" s="394"/>
      <c r="W671" s="394"/>
      <c r="X671" s="392"/>
      <c r="Y671" s="395"/>
      <c r="Z671" s="395"/>
      <c r="AA671" s="395"/>
      <c r="AB671" s="395"/>
      <c r="AC671" s="395"/>
      <c r="AD671" s="395"/>
      <c r="AE671" s="395"/>
      <c r="AF671" s="395"/>
      <c r="AG671" s="395"/>
      <c r="AH671" s="395"/>
      <c r="AI671" s="395"/>
    </row>
    <row r="672" spans="2:35" ht="11.25" hidden="1" customHeight="1" outlineLevel="1" x14ac:dyDescent="0.35">
      <c r="B672" s="244" t="s">
        <v>5367</v>
      </c>
      <c r="C672" s="245"/>
      <c r="D672" s="279" t="str">
        <f>IF(Y348="","",Y348)</f>
        <v>NA</v>
      </c>
      <c r="E672" s="279" t="str">
        <f>IF(Z348="","",Z348)</f>
        <v>NA</v>
      </c>
      <c r="F672" s="279" t="str">
        <f>IF(AA348="","",AA348)</f>
        <v>NA</v>
      </c>
      <c r="G672" s="279" t="str">
        <f>IF(AB348="","",AB348)</f>
        <v>NA</v>
      </c>
      <c r="H672" s="279" t="str">
        <f>IF(AC348="","",AC348)</f>
        <v>NA</v>
      </c>
      <c r="I672" s="279" t="str">
        <f>IF(AD348="","",AD348)</f>
        <v>NA</v>
      </c>
      <c r="J672" s="279" t="str">
        <f>IF(AE348="","",AE348)</f>
        <v>NA</v>
      </c>
      <c r="K672" s="279" t="str">
        <f>IF(AF348="","",AF348)</f>
        <v>NA</v>
      </c>
      <c r="L672" s="279" t="str">
        <f>IF(AG348="","",AG348)</f>
        <v>NA</v>
      </c>
      <c r="M672" s="279" t="str">
        <f>IF(AH348="","",AH348)</f>
        <v>NA</v>
      </c>
      <c r="N672" s="279" t="str">
        <f>IF(AI348="","",AI348)</f>
        <v>NA</v>
      </c>
      <c r="U672" s="258"/>
      <c r="V672" s="394"/>
      <c r="W672" s="394"/>
      <c r="X672" s="392"/>
      <c r="Y672" s="395"/>
      <c r="Z672" s="395"/>
      <c r="AA672" s="395"/>
      <c r="AB672" s="395"/>
      <c r="AC672" s="395"/>
      <c r="AD672" s="395"/>
      <c r="AE672" s="395"/>
      <c r="AF672" s="395"/>
      <c r="AG672" s="395"/>
      <c r="AH672" s="395"/>
      <c r="AI672" s="395"/>
    </row>
    <row r="673" spans="2:35" ht="11.25" hidden="1" customHeight="1" outlineLevel="1" x14ac:dyDescent="0.35">
      <c r="B673" s="244" t="s">
        <v>5368</v>
      </c>
      <c r="C673" s="245"/>
      <c r="D673" s="279" t="str">
        <f>IF(Y349="","",Y349)</f>
        <v>NA</v>
      </c>
      <c r="E673" s="279" t="str">
        <f>IF(Z349="","",Z349)</f>
        <v>NA</v>
      </c>
      <c r="F673" s="279" t="str">
        <f>IF(AA349="","",AA349)</f>
        <v>NA</v>
      </c>
      <c r="G673" s="279" t="str">
        <f>IF(AB349="","",AB349)</f>
        <v>NA</v>
      </c>
      <c r="H673" s="279" t="str">
        <f>IF(AC349="","",AC349)</f>
        <v>NA</v>
      </c>
      <c r="I673" s="279" t="str">
        <f>IF(AD349="","",AD349)</f>
        <v>NA</v>
      </c>
      <c r="J673" s="279" t="str">
        <f>IF(AE349="","",AE349)</f>
        <v>NA</v>
      </c>
      <c r="K673" s="279" t="str">
        <f>IF(AF349="","",AF349)</f>
        <v>NA</v>
      </c>
      <c r="L673" s="279" t="str">
        <f>IF(AG349="","",AG349)</f>
        <v>NA</v>
      </c>
      <c r="M673" s="279" t="str">
        <f>IF(AH349="","",AH349)</f>
        <v>NA</v>
      </c>
      <c r="N673" s="279" t="str">
        <f>IF(AI349="","",AI349)</f>
        <v>NA</v>
      </c>
      <c r="U673" s="258"/>
      <c r="V673" s="394"/>
      <c r="W673" s="394"/>
      <c r="X673" s="392"/>
      <c r="Y673" s="395"/>
      <c r="Z673" s="395"/>
      <c r="AA673" s="395"/>
      <c r="AB673" s="395"/>
      <c r="AC673" s="395"/>
      <c r="AD673" s="395"/>
      <c r="AE673" s="395"/>
      <c r="AF673" s="395"/>
      <c r="AG673" s="395"/>
      <c r="AH673" s="395"/>
      <c r="AI673" s="395"/>
    </row>
    <row r="674" spans="2:35" ht="11.25" hidden="1" customHeight="1" outlineLevel="1" x14ac:dyDescent="0.35">
      <c r="B674" s="244" t="s">
        <v>5369</v>
      </c>
      <c r="C674" s="245"/>
      <c r="D674" s="279" t="str">
        <f>IF(Y350="","",Y350)</f>
        <v>NA</v>
      </c>
      <c r="E674" s="279" t="str">
        <f>IF(Z350="","",Z350)</f>
        <v>NA</v>
      </c>
      <c r="F674" s="279" t="str">
        <f>IF(AA350="","",AA350)</f>
        <v>NA</v>
      </c>
      <c r="G674" s="279" t="str">
        <f>IF(AB350="","",AB350)</f>
        <v>NA</v>
      </c>
      <c r="H674" s="279" t="str">
        <f>IF(AC350="","",AC350)</f>
        <v>NA</v>
      </c>
      <c r="I674" s="279" t="str">
        <f>IF(AD350="","",AD350)</f>
        <v>NA</v>
      </c>
      <c r="J674" s="279" t="str">
        <f>IF(AE350="","",AE350)</f>
        <v>NA</v>
      </c>
      <c r="K674" s="279" t="str">
        <f>IF(AF350="","",AF350)</f>
        <v>NA</v>
      </c>
      <c r="L674" s="279" t="str">
        <f>IF(AG350="","",AG350)</f>
        <v>NA</v>
      </c>
      <c r="M674" s="279" t="str">
        <f>IF(AH350="","",AH350)</f>
        <v>NA</v>
      </c>
      <c r="N674" s="279" t="str">
        <f>IF(AI350="","",AI350)</f>
        <v>NA</v>
      </c>
      <c r="U674" s="258"/>
      <c r="V674" s="394"/>
      <c r="W674" s="394"/>
      <c r="X674" s="392"/>
      <c r="Y674" s="395"/>
      <c r="Z674" s="395"/>
      <c r="AA674" s="395"/>
      <c r="AB674" s="395"/>
      <c r="AC674" s="395"/>
      <c r="AD674" s="395"/>
      <c r="AE674" s="395"/>
      <c r="AF674" s="395"/>
      <c r="AG674" s="395"/>
      <c r="AH674" s="395"/>
      <c r="AI674" s="395"/>
    </row>
    <row r="675" spans="2:35" ht="11.25" hidden="1" customHeight="1" outlineLevel="1" x14ac:dyDescent="0.35">
      <c r="B675" s="244" t="s">
        <v>5370</v>
      </c>
      <c r="C675" s="245"/>
      <c r="D675" s="279" t="str">
        <f>IF(Y351="","",Y351)</f>
        <v>NA</v>
      </c>
      <c r="E675" s="279" t="str">
        <f>IF(Z351="","",Z351)</f>
        <v>NA</v>
      </c>
      <c r="F675" s="279" t="str">
        <f>IF(AA351="","",AA351)</f>
        <v>NA</v>
      </c>
      <c r="G675" s="279" t="str">
        <f>IF(AB351="","",AB351)</f>
        <v>NA</v>
      </c>
      <c r="H675" s="279" t="str">
        <f>IF(AC351="","",AC351)</f>
        <v>NA</v>
      </c>
      <c r="I675" s="279" t="str">
        <f>IF(AD351="","",AD351)</f>
        <v>NA</v>
      </c>
      <c r="J675" s="279" t="str">
        <f>IF(AE351="","",AE351)</f>
        <v>NA</v>
      </c>
      <c r="K675" s="279" t="str">
        <f>IF(AF351="","",AF351)</f>
        <v>NA</v>
      </c>
      <c r="L675" s="279" t="str">
        <f>IF(AG351="","",AG351)</f>
        <v>NA</v>
      </c>
      <c r="M675" s="279" t="str">
        <f>IF(AH351="","",AH351)</f>
        <v>NA</v>
      </c>
      <c r="N675" s="279" t="str">
        <f>IF(AI351="","",AI351)</f>
        <v>NA</v>
      </c>
      <c r="U675" s="258"/>
      <c r="V675" s="394"/>
      <c r="W675" s="394"/>
      <c r="X675" s="392"/>
      <c r="Y675" s="395"/>
      <c r="Z675" s="395"/>
      <c r="AA675" s="395"/>
      <c r="AB675" s="395"/>
      <c r="AC675" s="395"/>
      <c r="AD675" s="395"/>
      <c r="AE675" s="395"/>
      <c r="AF675" s="395"/>
      <c r="AG675" s="395"/>
      <c r="AH675" s="395"/>
      <c r="AI675" s="395"/>
    </row>
    <row r="676" spans="2:35" ht="11.25" hidden="1" customHeight="1" outlineLevel="1" x14ac:dyDescent="0.35">
      <c r="B676" s="244" t="s">
        <v>5371</v>
      </c>
      <c r="C676" s="245"/>
      <c r="D676" s="279" t="str">
        <f>IF(Y352="","",Y352)</f>
        <v>NA</v>
      </c>
      <c r="E676" s="279" t="str">
        <f>IF(Z352="","",Z352)</f>
        <v>NA</v>
      </c>
      <c r="F676" s="279" t="str">
        <f>IF(AA352="","",AA352)</f>
        <v>NA</v>
      </c>
      <c r="G676" s="279" t="str">
        <f>IF(AB352="","",AB352)</f>
        <v>NA</v>
      </c>
      <c r="H676" s="279" t="str">
        <f>IF(AC352="","",AC352)</f>
        <v>NA</v>
      </c>
      <c r="I676" s="279" t="str">
        <f>IF(AD352="","",AD352)</f>
        <v>NA</v>
      </c>
      <c r="J676" s="279" t="str">
        <f>IF(AE352="","",AE352)</f>
        <v>NA</v>
      </c>
      <c r="K676" s="279" t="str">
        <f>IF(AF352="","",AF352)</f>
        <v>NA</v>
      </c>
      <c r="L676" s="279" t="str">
        <f>IF(AG352="","",AG352)</f>
        <v>NA</v>
      </c>
      <c r="M676" s="279" t="str">
        <f>IF(AH352="","",AH352)</f>
        <v>NA</v>
      </c>
      <c r="N676" s="279" t="str">
        <f>IF(AI352="","",AI352)</f>
        <v>NA</v>
      </c>
      <c r="U676" s="258"/>
      <c r="V676" s="394"/>
      <c r="W676" s="394"/>
      <c r="X676" s="392"/>
      <c r="Y676" s="395"/>
      <c r="Z676" s="395"/>
      <c r="AA676" s="395"/>
      <c r="AB676" s="395"/>
      <c r="AC676" s="395"/>
      <c r="AD676" s="395"/>
      <c r="AE676" s="395"/>
      <c r="AF676" s="395"/>
      <c r="AG676" s="395"/>
      <c r="AH676" s="395"/>
      <c r="AI676" s="395"/>
    </row>
    <row r="677" spans="2:35" ht="11.25" hidden="1" customHeight="1" outlineLevel="1" x14ac:dyDescent="0.35">
      <c r="B677" s="244" t="s">
        <v>5372</v>
      </c>
      <c r="C677" s="245"/>
      <c r="D677" s="279" t="str">
        <f>IF(Y353="","",Y353)</f>
        <v>NA</v>
      </c>
      <c r="E677" s="279" t="str">
        <f>IF(Z353="","",Z353)</f>
        <v>NA</v>
      </c>
      <c r="F677" s="279" t="str">
        <f>IF(AA353="","",AA353)</f>
        <v>NA</v>
      </c>
      <c r="G677" s="279" t="str">
        <f>IF(AB353="","",AB353)</f>
        <v>NA</v>
      </c>
      <c r="H677" s="279" t="str">
        <f>IF(AC353="","",AC353)</f>
        <v>NA</v>
      </c>
      <c r="I677" s="279" t="str">
        <f>IF(AD353="","",AD353)</f>
        <v>NA</v>
      </c>
      <c r="J677" s="279" t="str">
        <f>IF(AE353="","",AE353)</f>
        <v>NA</v>
      </c>
      <c r="K677" s="279" t="str">
        <f>IF(AF353="","",AF353)</f>
        <v>NA</v>
      </c>
      <c r="L677" s="279" t="str">
        <f>IF(AG353="","",AG353)</f>
        <v>NA</v>
      </c>
      <c r="M677" s="279" t="str">
        <f>IF(AH353="","",AH353)</f>
        <v>NA</v>
      </c>
      <c r="N677" s="279" t="str">
        <f>IF(AI353="","",AI353)</f>
        <v>NA</v>
      </c>
      <c r="U677" s="258"/>
      <c r="V677" s="394"/>
      <c r="W677" s="394"/>
      <c r="X677" s="392"/>
      <c r="Y677" s="395"/>
      <c r="Z677" s="395"/>
      <c r="AA677" s="395"/>
      <c r="AB677" s="395"/>
      <c r="AC677" s="395"/>
      <c r="AD677" s="395"/>
      <c r="AE677" s="395"/>
      <c r="AF677" s="395"/>
      <c r="AG677" s="395"/>
      <c r="AH677" s="395"/>
      <c r="AI677" s="395"/>
    </row>
    <row r="678" spans="2:35" ht="11.25" hidden="1" customHeight="1" outlineLevel="1" x14ac:dyDescent="0.35">
      <c r="B678" s="244"/>
      <c r="C678" s="245"/>
      <c r="D678" s="278"/>
      <c r="E678" s="307"/>
      <c r="F678" s="307"/>
      <c r="G678" s="307"/>
      <c r="H678" s="307"/>
      <c r="I678" s="307"/>
      <c r="J678" s="307"/>
      <c r="K678" s="307"/>
      <c r="L678" s="307"/>
      <c r="M678" s="307"/>
      <c r="N678" s="307"/>
      <c r="U678" s="318"/>
      <c r="V678" s="318"/>
      <c r="W678" s="318"/>
      <c r="X678" s="318"/>
      <c r="Y678" s="318"/>
      <c r="Z678" s="318"/>
      <c r="AA678" s="318"/>
      <c r="AB678" s="318"/>
      <c r="AC678" s="318"/>
      <c r="AD678" s="318"/>
      <c r="AE678" s="318"/>
      <c r="AF678" s="318"/>
      <c r="AG678" s="318"/>
      <c r="AH678" s="318"/>
      <c r="AI678" s="318"/>
    </row>
    <row r="679" spans="2:35" ht="11.25" hidden="1" customHeight="1" outlineLevel="1" x14ac:dyDescent="0.35">
      <c r="B679" s="246" t="s">
        <v>5468</v>
      </c>
      <c r="C679" s="245"/>
      <c r="D679" s="278"/>
      <c r="E679" s="307"/>
      <c r="F679" s="307"/>
      <c r="G679" s="307"/>
      <c r="H679" s="307"/>
      <c r="I679" s="307"/>
      <c r="J679" s="307"/>
      <c r="K679" s="307"/>
      <c r="L679" s="307"/>
      <c r="M679" s="307"/>
      <c r="N679" s="307"/>
      <c r="U679" s="318"/>
      <c r="V679" s="318"/>
      <c r="W679" s="318"/>
      <c r="X679" s="318"/>
      <c r="Y679" s="318"/>
      <c r="Z679" s="318"/>
      <c r="AA679" s="318"/>
      <c r="AB679" s="318"/>
      <c r="AC679" s="318"/>
      <c r="AD679" s="318"/>
      <c r="AE679" s="318"/>
      <c r="AF679" s="318"/>
      <c r="AG679" s="318"/>
      <c r="AH679" s="318"/>
      <c r="AI679" s="318"/>
    </row>
    <row r="680" spans="2:35" ht="11.25" hidden="1" customHeight="1" outlineLevel="1" x14ac:dyDescent="0.35">
      <c r="B680" s="244" t="s">
        <v>5365</v>
      </c>
      <c r="C680" s="245"/>
      <c r="D680" s="279" t="str">
        <f>IF(Y356="","",Y356)</f>
        <v>NA</v>
      </c>
      <c r="E680" s="279" t="str">
        <f>IF(Z356="","",Z356)</f>
        <v>NA</v>
      </c>
      <c r="F680" s="279" t="str">
        <f>IF(AA356="","",AA356)</f>
        <v>NA</v>
      </c>
      <c r="G680" s="279" t="str">
        <f>IF(AB356="","",AB356)</f>
        <v>NA</v>
      </c>
      <c r="H680" s="279" t="str">
        <f>IF(AC356="","",AC356)</f>
        <v>NA</v>
      </c>
      <c r="I680" s="279" t="str">
        <f>IF(AD356="","",AD356)</f>
        <v>NA</v>
      </c>
      <c r="J680" s="279" t="str">
        <f>IF(AE356="","",AE356)</f>
        <v>NA</v>
      </c>
      <c r="K680" s="279" t="str">
        <f>IF(AF356="","",AF356)</f>
        <v>NA</v>
      </c>
      <c r="L680" s="279" t="str">
        <f>IF(AG356="","",AG356)</f>
        <v>NA</v>
      </c>
      <c r="M680" s="279" t="str">
        <f>IF(AH356="","",AH356)</f>
        <v>NA</v>
      </c>
      <c r="N680" s="279" t="str">
        <f>IF(AI356="","",AI356)</f>
        <v>NA</v>
      </c>
      <c r="U680" s="258"/>
      <c r="V680" s="394"/>
      <c r="W680" s="394"/>
      <c r="X680" s="392"/>
      <c r="Y680" s="395"/>
      <c r="Z680" s="395"/>
      <c r="AA680" s="395"/>
      <c r="AB680" s="395"/>
      <c r="AC680" s="395"/>
      <c r="AD680" s="395"/>
      <c r="AE680" s="395"/>
      <c r="AF680" s="395"/>
      <c r="AG680" s="395"/>
      <c r="AH680" s="395"/>
      <c r="AI680" s="395"/>
    </row>
    <row r="681" spans="2:35" ht="11.25" hidden="1" customHeight="1" outlineLevel="1" x14ac:dyDescent="0.35">
      <c r="B681" s="244" t="s">
        <v>5366</v>
      </c>
      <c r="C681" s="245"/>
      <c r="D681" s="279" t="str">
        <f>IF(Y357="","",Y357)</f>
        <v>NA</v>
      </c>
      <c r="E681" s="279" t="str">
        <f>IF(Z357="","",Z357)</f>
        <v>NA</v>
      </c>
      <c r="F681" s="279" t="str">
        <f>IF(AA357="","",AA357)</f>
        <v>NA</v>
      </c>
      <c r="G681" s="279" t="str">
        <f>IF(AB357="","",AB357)</f>
        <v>NA</v>
      </c>
      <c r="H681" s="279" t="str">
        <f>IF(AC357="","",AC357)</f>
        <v>NA</v>
      </c>
      <c r="I681" s="279" t="str">
        <f>IF(AD357="","",AD357)</f>
        <v>NA</v>
      </c>
      <c r="J681" s="279" t="str">
        <f>IF(AE357="","",AE357)</f>
        <v>NA</v>
      </c>
      <c r="K681" s="279" t="str">
        <f>IF(AF357="","",AF357)</f>
        <v>NA</v>
      </c>
      <c r="L681" s="279" t="str">
        <f>IF(AG357="","",AG357)</f>
        <v>NA</v>
      </c>
      <c r="M681" s="279" t="str">
        <f>IF(AH357="","",AH357)</f>
        <v>NA</v>
      </c>
      <c r="N681" s="279" t="str">
        <f>IF(AI357="","",AI357)</f>
        <v>NA</v>
      </c>
      <c r="U681" s="258"/>
      <c r="V681" s="394"/>
      <c r="W681" s="394"/>
      <c r="X681" s="392"/>
      <c r="Y681" s="395"/>
      <c r="Z681" s="395"/>
      <c r="AA681" s="395"/>
      <c r="AB681" s="395"/>
      <c r="AC681" s="395"/>
      <c r="AD681" s="395"/>
      <c r="AE681" s="395"/>
      <c r="AF681" s="395"/>
      <c r="AG681" s="395"/>
      <c r="AH681" s="395"/>
      <c r="AI681" s="395"/>
    </row>
    <row r="682" spans="2:35" ht="11.25" hidden="1" customHeight="1" outlineLevel="1" x14ac:dyDescent="0.35">
      <c r="B682" s="244" t="s">
        <v>5122</v>
      </c>
      <c r="C682" s="245"/>
      <c r="D682" s="279" t="str">
        <f>IF(Y358="","",Y358)</f>
        <v>NA</v>
      </c>
      <c r="E682" s="279" t="str">
        <f>IF(Z358="","",Z358)</f>
        <v>NA</v>
      </c>
      <c r="F682" s="279" t="str">
        <f>IF(AA358="","",AA358)</f>
        <v>NA</v>
      </c>
      <c r="G682" s="279" t="str">
        <f>IF(AB358="","",AB358)</f>
        <v>NA</v>
      </c>
      <c r="H682" s="279" t="str">
        <f>IF(AC358="","",AC358)</f>
        <v>NA</v>
      </c>
      <c r="I682" s="279" t="str">
        <f>IF(AD358="","",AD358)</f>
        <v>NA</v>
      </c>
      <c r="J682" s="279" t="str">
        <f>IF(AE358="","",AE358)</f>
        <v>NA</v>
      </c>
      <c r="K682" s="279" t="str">
        <f>IF(AF358="","",AF358)</f>
        <v>NA</v>
      </c>
      <c r="L682" s="279" t="str">
        <f>IF(AG358="","",AG358)</f>
        <v>NA</v>
      </c>
      <c r="M682" s="279" t="str">
        <f>IF(AH358="","",AH358)</f>
        <v>NA</v>
      </c>
      <c r="N682" s="279" t="str">
        <f>IF(AI358="","",AI358)</f>
        <v>NA</v>
      </c>
      <c r="U682" s="258"/>
      <c r="V682" s="394"/>
      <c r="W682" s="394"/>
      <c r="X682" s="392"/>
      <c r="Y682" s="395"/>
      <c r="Z682" s="395"/>
      <c r="AA682" s="395"/>
      <c r="AB682" s="395"/>
      <c r="AC682" s="395"/>
      <c r="AD682" s="395"/>
      <c r="AE682" s="395"/>
      <c r="AF682" s="395"/>
      <c r="AG682" s="395"/>
      <c r="AH682" s="395"/>
      <c r="AI682" s="395"/>
    </row>
    <row r="683" spans="2:35" ht="11.25" hidden="1" customHeight="1" outlineLevel="1" x14ac:dyDescent="0.35">
      <c r="B683" s="244" t="s">
        <v>5124</v>
      </c>
      <c r="C683" s="245"/>
      <c r="D683" s="279" t="str">
        <f>IF(Y359="","",Y359)</f>
        <v>NA</v>
      </c>
      <c r="E683" s="279" t="str">
        <f>IF(Z359="","",Z359)</f>
        <v>NA</v>
      </c>
      <c r="F683" s="279" t="str">
        <f>IF(AA359="","",AA359)</f>
        <v>NA</v>
      </c>
      <c r="G683" s="279" t="str">
        <f>IF(AB359="","",AB359)</f>
        <v>NA</v>
      </c>
      <c r="H683" s="279" t="str">
        <f>IF(AC359="","",AC359)</f>
        <v>NA</v>
      </c>
      <c r="I683" s="279" t="str">
        <f>IF(AD359="","",AD359)</f>
        <v>NA</v>
      </c>
      <c r="J683" s="279" t="str">
        <f>IF(AE359="","",AE359)</f>
        <v>NA</v>
      </c>
      <c r="K683" s="279" t="str">
        <f>IF(AF359="","",AF359)</f>
        <v>NA</v>
      </c>
      <c r="L683" s="279" t="str">
        <f>IF(AG359="","",AG359)</f>
        <v>NA</v>
      </c>
      <c r="M683" s="279" t="str">
        <f>IF(AH359="","",AH359)</f>
        <v>NA</v>
      </c>
      <c r="N683" s="279" t="str">
        <f>IF(AI359="","",AI359)</f>
        <v>NA</v>
      </c>
      <c r="U683" s="258"/>
      <c r="V683" s="394"/>
      <c r="W683" s="394"/>
      <c r="X683" s="392"/>
      <c r="Y683" s="395"/>
      <c r="Z683" s="395"/>
      <c r="AA683" s="395"/>
      <c r="AB683" s="395"/>
      <c r="AC683" s="395"/>
      <c r="AD683" s="395"/>
      <c r="AE683" s="395"/>
      <c r="AF683" s="395"/>
      <c r="AG683" s="395"/>
      <c r="AH683" s="395"/>
      <c r="AI683" s="395"/>
    </row>
    <row r="684" spans="2:35" ht="11.25" hidden="1" customHeight="1" outlineLevel="1" x14ac:dyDescent="0.35">
      <c r="B684" s="244" t="s">
        <v>5121</v>
      </c>
      <c r="C684" s="245"/>
      <c r="D684" s="279" t="str">
        <f>IF(Y360="","",Y360)</f>
        <v>NA</v>
      </c>
      <c r="E684" s="279" t="str">
        <f>IF(Z360="","",Z360)</f>
        <v>NA</v>
      </c>
      <c r="F684" s="279" t="str">
        <f>IF(AA360="","",AA360)</f>
        <v>NA</v>
      </c>
      <c r="G684" s="279" t="str">
        <f>IF(AB360="","",AB360)</f>
        <v>NA</v>
      </c>
      <c r="H684" s="279" t="str">
        <f>IF(AC360="","",AC360)</f>
        <v>NA</v>
      </c>
      <c r="I684" s="279" t="str">
        <f>IF(AD360="","",AD360)</f>
        <v>NA</v>
      </c>
      <c r="J684" s="279" t="str">
        <f>IF(AE360="","",AE360)</f>
        <v>NA</v>
      </c>
      <c r="K684" s="279" t="str">
        <f>IF(AF360="","",AF360)</f>
        <v>NA</v>
      </c>
      <c r="L684" s="279" t="str">
        <f>IF(AG360="","",AG360)</f>
        <v>NA</v>
      </c>
      <c r="M684" s="279" t="str">
        <f>IF(AH360="","",AH360)</f>
        <v>NA</v>
      </c>
      <c r="N684" s="279" t="str">
        <f>IF(AI360="","",AI360)</f>
        <v>NA</v>
      </c>
      <c r="U684" s="258"/>
      <c r="V684" s="394"/>
      <c r="W684" s="394"/>
      <c r="X684" s="392"/>
      <c r="Y684" s="395"/>
      <c r="Z684" s="395"/>
      <c r="AA684" s="395"/>
      <c r="AB684" s="395"/>
      <c r="AC684" s="395"/>
      <c r="AD684" s="395"/>
      <c r="AE684" s="395"/>
      <c r="AF684" s="395"/>
      <c r="AG684" s="395"/>
      <c r="AH684" s="395"/>
      <c r="AI684" s="395"/>
    </row>
    <row r="685" spans="2:35" ht="11.25" hidden="1" customHeight="1" outlineLevel="1" x14ac:dyDescent="0.35">
      <c r="B685" s="244" t="s">
        <v>5367</v>
      </c>
      <c r="C685" s="245"/>
      <c r="D685" s="279" t="str">
        <f>IF(Y361="","",Y361)</f>
        <v>NA</v>
      </c>
      <c r="E685" s="279" t="str">
        <f>IF(Z361="","",Z361)</f>
        <v>NA</v>
      </c>
      <c r="F685" s="279" t="str">
        <f>IF(AA361="","",AA361)</f>
        <v>NA</v>
      </c>
      <c r="G685" s="279" t="str">
        <f>IF(AB361="","",AB361)</f>
        <v>NA</v>
      </c>
      <c r="H685" s="279" t="str">
        <f>IF(AC361="","",AC361)</f>
        <v>NA</v>
      </c>
      <c r="I685" s="279" t="str">
        <f>IF(AD361="","",AD361)</f>
        <v>NA</v>
      </c>
      <c r="J685" s="279" t="str">
        <f>IF(AE361="","",AE361)</f>
        <v>NA</v>
      </c>
      <c r="K685" s="279" t="str">
        <f>IF(AF361="","",AF361)</f>
        <v>NA</v>
      </c>
      <c r="L685" s="279" t="str">
        <f>IF(AG361="","",AG361)</f>
        <v>NA</v>
      </c>
      <c r="M685" s="279" t="str">
        <f>IF(AH361="","",AH361)</f>
        <v>NA</v>
      </c>
      <c r="N685" s="279" t="str">
        <f>IF(AI361="","",AI361)</f>
        <v>NA</v>
      </c>
      <c r="U685" s="258"/>
      <c r="V685" s="394"/>
      <c r="W685" s="394"/>
      <c r="X685" s="392"/>
      <c r="Y685" s="395"/>
      <c r="Z685" s="395"/>
      <c r="AA685" s="395"/>
      <c r="AB685" s="395"/>
      <c r="AC685" s="395"/>
      <c r="AD685" s="395"/>
      <c r="AE685" s="395"/>
      <c r="AF685" s="395"/>
      <c r="AG685" s="395"/>
      <c r="AH685" s="395"/>
      <c r="AI685" s="395"/>
    </row>
    <row r="686" spans="2:35" ht="11.25" hidden="1" customHeight="1" outlineLevel="1" x14ac:dyDescent="0.35">
      <c r="B686" s="244" t="s">
        <v>5368</v>
      </c>
      <c r="C686" s="245"/>
      <c r="D686" s="279" t="str">
        <f>IF(Y362="","",Y362)</f>
        <v>NA</v>
      </c>
      <c r="E686" s="279" t="str">
        <f>IF(Z362="","",Z362)</f>
        <v>NA</v>
      </c>
      <c r="F686" s="279" t="str">
        <f>IF(AA362="","",AA362)</f>
        <v>NA</v>
      </c>
      <c r="G686" s="279" t="str">
        <f>IF(AB362="","",AB362)</f>
        <v>NA</v>
      </c>
      <c r="H686" s="279" t="str">
        <f>IF(AC362="","",AC362)</f>
        <v>NA</v>
      </c>
      <c r="I686" s="279" t="str">
        <f>IF(AD362="","",AD362)</f>
        <v>NA</v>
      </c>
      <c r="J686" s="279" t="str">
        <f>IF(AE362="","",AE362)</f>
        <v>NA</v>
      </c>
      <c r="K686" s="279" t="str">
        <f>IF(AF362="","",AF362)</f>
        <v>NA</v>
      </c>
      <c r="L686" s="279" t="str">
        <f>IF(AG362="","",AG362)</f>
        <v>NA</v>
      </c>
      <c r="M686" s="279" t="str">
        <f>IF(AH362="","",AH362)</f>
        <v>NA</v>
      </c>
      <c r="N686" s="279" t="str">
        <f>IF(AI362="","",AI362)</f>
        <v>NA</v>
      </c>
      <c r="U686" s="258"/>
      <c r="V686" s="394"/>
      <c r="W686" s="394"/>
      <c r="X686" s="392"/>
      <c r="Y686" s="395"/>
      <c r="Z686" s="395"/>
      <c r="AA686" s="395"/>
      <c r="AB686" s="395"/>
      <c r="AC686" s="395"/>
      <c r="AD686" s="395"/>
      <c r="AE686" s="395"/>
      <c r="AF686" s="395"/>
      <c r="AG686" s="395"/>
      <c r="AH686" s="395"/>
      <c r="AI686" s="395"/>
    </row>
    <row r="687" spans="2:35" ht="11.25" hidden="1" customHeight="1" outlineLevel="1" x14ac:dyDescent="0.35">
      <c r="B687" s="244" t="s">
        <v>5369</v>
      </c>
      <c r="C687" s="245"/>
      <c r="D687" s="279" t="str">
        <f>IF(Y363="","",Y363)</f>
        <v>NA</v>
      </c>
      <c r="E687" s="279" t="str">
        <f>IF(Z363="","",Z363)</f>
        <v>NA</v>
      </c>
      <c r="F687" s="279" t="str">
        <f>IF(AA363="","",AA363)</f>
        <v>NA</v>
      </c>
      <c r="G687" s="279" t="str">
        <f>IF(AB363="","",AB363)</f>
        <v>NA</v>
      </c>
      <c r="H687" s="279" t="str">
        <f>IF(AC363="","",AC363)</f>
        <v>NA</v>
      </c>
      <c r="I687" s="279" t="str">
        <f>IF(AD363="","",AD363)</f>
        <v>NA</v>
      </c>
      <c r="J687" s="279" t="str">
        <f>IF(AE363="","",AE363)</f>
        <v>NA</v>
      </c>
      <c r="K687" s="279" t="str">
        <f>IF(AF363="","",AF363)</f>
        <v>NA</v>
      </c>
      <c r="L687" s="279" t="str">
        <f>IF(AG363="","",AG363)</f>
        <v>NA</v>
      </c>
      <c r="M687" s="279" t="str">
        <f>IF(AH363="","",AH363)</f>
        <v>NA</v>
      </c>
      <c r="N687" s="279" t="str">
        <f>IF(AI363="","",AI363)</f>
        <v>NA</v>
      </c>
      <c r="U687" s="258"/>
      <c r="V687" s="394"/>
      <c r="W687" s="394"/>
      <c r="X687" s="392"/>
      <c r="Y687" s="395"/>
      <c r="Z687" s="395"/>
      <c r="AA687" s="395"/>
      <c r="AB687" s="395"/>
      <c r="AC687" s="395"/>
      <c r="AD687" s="395"/>
      <c r="AE687" s="395"/>
      <c r="AF687" s="395"/>
      <c r="AG687" s="395"/>
      <c r="AH687" s="395"/>
      <c r="AI687" s="395"/>
    </row>
    <row r="688" spans="2:35" ht="11.25" hidden="1" customHeight="1" outlineLevel="1" x14ac:dyDescent="0.35">
      <c r="B688" s="244" t="s">
        <v>5370</v>
      </c>
      <c r="C688" s="245"/>
      <c r="D688" s="279" t="str">
        <f>IF(Y364="","",Y364)</f>
        <v>NA</v>
      </c>
      <c r="E688" s="279" t="str">
        <f>IF(Z364="","",Z364)</f>
        <v>NA</v>
      </c>
      <c r="F688" s="279" t="str">
        <f>IF(AA364="","",AA364)</f>
        <v>NA</v>
      </c>
      <c r="G688" s="279" t="str">
        <f>IF(AB364="","",AB364)</f>
        <v>NA</v>
      </c>
      <c r="H688" s="279" t="str">
        <f>IF(AC364="","",AC364)</f>
        <v>NA</v>
      </c>
      <c r="I688" s="279" t="str">
        <f>IF(AD364="","",AD364)</f>
        <v>NA</v>
      </c>
      <c r="J688" s="279" t="str">
        <f>IF(AE364="","",AE364)</f>
        <v>NA</v>
      </c>
      <c r="K688" s="279" t="str">
        <f>IF(AF364="","",AF364)</f>
        <v>NA</v>
      </c>
      <c r="L688" s="279" t="str">
        <f>IF(AG364="","",AG364)</f>
        <v>NA</v>
      </c>
      <c r="M688" s="279" t="str">
        <f>IF(AH364="","",AH364)</f>
        <v>NA</v>
      </c>
      <c r="N688" s="279" t="str">
        <f>IF(AI364="","",AI364)</f>
        <v>NA</v>
      </c>
      <c r="U688" s="258"/>
      <c r="V688" s="394"/>
      <c r="W688" s="394"/>
      <c r="X688" s="392"/>
      <c r="Y688" s="395"/>
      <c r="Z688" s="395"/>
      <c r="AA688" s="395"/>
      <c r="AB688" s="395"/>
      <c r="AC688" s="395"/>
      <c r="AD688" s="395"/>
      <c r="AE688" s="395"/>
      <c r="AF688" s="395"/>
      <c r="AG688" s="395"/>
      <c r="AH688" s="395"/>
      <c r="AI688" s="395"/>
    </row>
    <row r="689" spans="2:35" ht="11.25" hidden="1" customHeight="1" outlineLevel="1" x14ac:dyDescent="0.35">
      <c r="B689" s="244" t="s">
        <v>5371</v>
      </c>
      <c r="C689" s="245"/>
      <c r="D689" s="279" t="str">
        <f>IF(Y365="","",Y365)</f>
        <v>NA</v>
      </c>
      <c r="E689" s="279" t="str">
        <f>IF(Z365="","",Z365)</f>
        <v>NA</v>
      </c>
      <c r="F689" s="279" t="str">
        <f>IF(AA365="","",AA365)</f>
        <v>NA</v>
      </c>
      <c r="G689" s="279" t="str">
        <f>IF(AB365="","",AB365)</f>
        <v>NA</v>
      </c>
      <c r="H689" s="279" t="str">
        <f>IF(AC365="","",AC365)</f>
        <v>NA</v>
      </c>
      <c r="I689" s="279" t="str">
        <f>IF(AD365="","",AD365)</f>
        <v>NA</v>
      </c>
      <c r="J689" s="279" t="str">
        <f>IF(AE365="","",AE365)</f>
        <v>NA</v>
      </c>
      <c r="K689" s="279" t="str">
        <f>IF(AF365="","",AF365)</f>
        <v>NA</v>
      </c>
      <c r="L689" s="279" t="str">
        <f>IF(AG365="","",AG365)</f>
        <v>NA</v>
      </c>
      <c r="M689" s="279" t="str">
        <f>IF(AH365="","",AH365)</f>
        <v>NA</v>
      </c>
      <c r="N689" s="279" t="str">
        <f>IF(AI365="","",AI365)</f>
        <v>NA</v>
      </c>
      <c r="U689" s="258"/>
      <c r="V689" s="394"/>
      <c r="W689" s="394"/>
      <c r="X689" s="392"/>
      <c r="Y689" s="395"/>
      <c r="Z689" s="395"/>
      <c r="AA689" s="395"/>
      <c r="AB689" s="395"/>
      <c r="AC689" s="395"/>
      <c r="AD689" s="395"/>
      <c r="AE689" s="395"/>
      <c r="AF689" s="395"/>
      <c r="AG689" s="395"/>
      <c r="AH689" s="395"/>
      <c r="AI689" s="395"/>
    </row>
    <row r="690" spans="2:35" ht="11.25" hidden="1" customHeight="1" outlineLevel="1" x14ac:dyDescent="0.35">
      <c r="B690" s="244" t="s">
        <v>5372</v>
      </c>
      <c r="C690" s="245"/>
      <c r="D690" s="279" t="str">
        <f>IF(Y366="","",Y366)</f>
        <v>NA</v>
      </c>
      <c r="E690" s="279" t="str">
        <f>IF(Z366="","",Z366)</f>
        <v>NA</v>
      </c>
      <c r="F690" s="279" t="str">
        <f>IF(AA366="","",AA366)</f>
        <v>NA</v>
      </c>
      <c r="G690" s="279" t="str">
        <f>IF(AB366="","",AB366)</f>
        <v>NA</v>
      </c>
      <c r="H690" s="279" t="str">
        <f>IF(AC366="","",AC366)</f>
        <v>NA</v>
      </c>
      <c r="I690" s="279" t="str">
        <f>IF(AD366="","",AD366)</f>
        <v>NA</v>
      </c>
      <c r="J690" s="279" t="str">
        <f>IF(AE366="","",AE366)</f>
        <v>NA</v>
      </c>
      <c r="K690" s="279" t="str">
        <f>IF(AF366="","",AF366)</f>
        <v>NA</v>
      </c>
      <c r="L690" s="279" t="str">
        <f>IF(AG366="","",AG366)</f>
        <v>NA</v>
      </c>
      <c r="M690" s="279" t="str">
        <f>IF(AH366="","",AH366)</f>
        <v>NA</v>
      </c>
      <c r="N690" s="279" t="str">
        <f>IF(AI366="","",AI366)</f>
        <v>NA</v>
      </c>
      <c r="U690" s="258"/>
      <c r="V690" s="394"/>
      <c r="W690" s="394"/>
      <c r="X690" s="392"/>
      <c r="Y690" s="395"/>
      <c r="Z690" s="395"/>
      <c r="AA690" s="395"/>
      <c r="AB690" s="395"/>
      <c r="AC690" s="395"/>
      <c r="AD690" s="395"/>
      <c r="AE690" s="395"/>
      <c r="AF690" s="395"/>
      <c r="AG690" s="395"/>
      <c r="AH690" s="395"/>
      <c r="AI690" s="395"/>
    </row>
    <row r="691" spans="2:35" ht="11.25" hidden="1" customHeight="1" outlineLevel="1" x14ac:dyDescent="0.35">
      <c r="B691" s="244"/>
      <c r="C691" s="245"/>
      <c r="D691" s="278"/>
      <c r="E691" s="307"/>
      <c r="F691" s="307"/>
      <c r="G691" s="307"/>
      <c r="H691" s="307"/>
      <c r="I691" s="307"/>
      <c r="J691" s="307"/>
      <c r="K691" s="307"/>
      <c r="L691" s="307"/>
      <c r="M691" s="307"/>
      <c r="N691" s="307"/>
      <c r="U691" s="318"/>
      <c r="V691" s="318"/>
      <c r="W691" s="318"/>
      <c r="X691" s="318"/>
      <c r="Y691" s="318"/>
      <c r="Z691" s="318"/>
      <c r="AA691" s="318"/>
      <c r="AB691" s="318"/>
      <c r="AC691" s="318"/>
      <c r="AD691" s="318"/>
      <c r="AE691" s="318"/>
      <c r="AF691" s="318"/>
      <c r="AG691" s="318"/>
      <c r="AH691" s="318"/>
      <c r="AI691" s="318"/>
    </row>
    <row r="692" spans="2:35" ht="11.25" hidden="1" customHeight="1" outlineLevel="1" x14ac:dyDescent="0.35">
      <c r="B692" s="246" t="s">
        <v>5469</v>
      </c>
      <c r="C692" s="245"/>
      <c r="D692" s="278"/>
      <c r="E692" s="307"/>
      <c r="F692" s="307"/>
      <c r="G692" s="307"/>
      <c r="H692" s="307"/>
      <c r="I692" s="307"/>
      <c r="J692" s="307"/>
      <c r="K692" s="307"/>
      <c r="L692" s="307"/>
      <c r="M692" s="307"/>
      <c r="N692" s="307"/>
      <c r="U692" s="318"/>
      <c r="V692" s="318"/>
      <c r="W692" s="318"/>
      <c r="X692" s="318"/>
      <c r="Y692" s="318"/>
      <c r="Z692" s="318"/>
      <c r="AA692" s="318"/>
      <c r="AB692" s="318"/>
      <c r="AC692" s="318"/>
      <c r="AD692" s="318"/>
      <c r="AE692" s="318"/>
      <c r="AF692" s="318"/>
      <c r="AG692" s="318"/>
      <c r="AH692" s="318"/>
      <c r="AI692" s="318"/>
    </row>
    <row r="693" spans="2:35" ht="11.25" hidden="1" customHeight="1" outlineLevel="1" x14ac:dyDescent="0.35">
      <c r="B693" s="244" t="s">
        <v>5365</v>
      </c>
      <c r="C693" s="245"/>
      <c r="D693" s="279" t="str">
        <f>IF(Y369="","",Y369)</f>
        <v>NA</v>
      </c>
      <c r="E693" s="279" t="str">
        <f>IF(Z369="","",Z369)</f>
        <v>NA</v>
      </c>
      <c r="F693" s="279" t="str">
        <f>IF(AA369="","",AA369)</f>
        <v>NA</v>
      </c>
      <c r="G693" s="279" t="str">
        <f>IF(AB369="","",AB369)</f>
        <v>NA</v>
      </c>
      <c r="H693" s="279" t="str">
        <f>IF(AC369="","",AC369)</f>
        <v>NA</v>
      </c>
      <c r="I693" s="279" t="str">
        <f>IF(AD369="","",AD369)</f>
        <v>NA</v>
      </c>
      <c r="J693" s="279" t="str">
        <f>IF(AE369="","",AE369)</f>
        <v>NA</v>
      </c>
      <c r="K693" s="279" t="str">
        <f>IF(AF369="","",AF369)</f>
        <v>NA</v>
      </c>
      <c r="L693" s="279" t="str">
        <f>IF(AG369="","",AG369)</f>
        <v>NA</v>
      </c>
      <c r="M693" s="279" t="str">
        <f>IF(AH369="","",AH369)</f>
        <v>NA</v>
      </c>
      <c r="N693" s="279" t="str">
        <f>IF(AI369="","",AI369)</f>
        <v>NA</v>
      </c>
      <c r="U693" s="258"/>
      <c r="V693" s="394"/>
      <c r="W693" s="394"/>
      <c r="X693" s="392"/>
      <c r="Y693" s="395"/>
      <c r="Z693" s="395"/>
      <c r="AA693" s="395"/>
      <c r="AB693" s="395"/>
      <c r="AC693" s="395"/>
      <c r="AD693" s="395"/>
      <c r="AE693" s="395"/>
      <c r="AF693" s="395"/>
      <c r="AG693" s="395"/>
      <c r="AH693" s="395"/>
      <c r="AI693" s="395"/>
    </row>
    <row r="694" spans="2:35" ht="11.25" hidden="1" customHeight="1" outlineLevel="1" x14ac:dyDescent="0.35">
      <c r="B694" s="244" t="s">
        <v>5366</v>
      </c>
      <c r="C694" s="245"/>
      <c r="D694" s="279" t="str">
        <f>IF(Y370="","",Y370)</f>
        <v>NA</v>
      </c>
      <c r="E694" s="279" t="str">
        <f>IF(Z370="","",Z370)</f>
        <v>NA</v>
      </c>
      <c r="F694" s="279" t="str">
        <f>IF(AA370="","",AA370)</f>
        <v>NA</v>
      </c>
      <c r="G694" s="279" t="str">
        <f>IF(AB370="","",AB370)</f>
        <v>NA</v>
      </c>
      <c r="H694" s="279" t="str">
        <f>IF(AC370="","",AC370)</f>
        <v>NA</v>
      </c>
      <c r="I694" s="279" t="str">
        <f>IF(AD370="","",AD370)</f>
        <v>NA</v>
      </c>
      <c r="J694" s="279" t="str">
        <f>IF(AE370="","",AE370)</f>
        <v>NA</v>
      </c>
      <c r="K694" s="279" t="str">
        <f>IF(AF370="","",AF370)</f>
        <v>NA</v>
      </c>
      <c r="L694" s="279" t="str">
        <f>IF(AG370="","",AG370)</f>
        <v>NA</v>
      </c>
      <c r="M694" s="279" t="str">
        <f>IF(AH370="","",AH370)</f>
        <v>NA</v>
      </c>
      <c r="N694" s="279" t="str">
        <f>IF(AI370="","",AI370)</f>
        <v>NA</v>
      </c>
      <c r="U694" s="258"/>
      <c r="V694" s="394"/>
      <c r="W694" s="394"/>
      <c r="X694" s="392"/>
      <c r="Y694" s="395"/>
      <c r="Z694" s="395"/>
      <c r="AA694" s="395"/>
      <c r="AB694" s="395"/>
      <c r="AC694" s="395"/>
      <c r="AD694" s="395"/>
      <c r="AE694" s="395"/>
      <c r="AF694" s="395"/>
      <c r="AG694" s="395"/>
      <c r="AH694" s="395"/>
      <c r="AI694" s="395"/>
    </row>
    <row r="695" spans="2:35" ht="11.25" hidden="1" customHeight="1" outlineLevel="1" x14ac:dyDescent="0.35">
      <c r="B695" s="244" t="s">
        <v>5122</v>
      </c>
      <c r="C695" s="245"/>
      <c r="D695" s="279" t="str">
        <f>IF(Y371="","",Y371)</f>
        <v>NA</v>
      </c>
      <c r="E695" s="279" t="str">
        <f>IF(Z371="","",Z371)</f>
        <v>NA</v>
      </c>
      <c r="F695" s="279" t="str">
        <f>IF(AA371="","",AA371)</f>
        <v>NA</v>
      </c>
      <c r="G695" s="279" t="str">
        <f>IF(AB371="","",AB371)</f>
        <v>NA</v>
      </c>
      <c r="H695" s="279" t="str">
        <f>IF(AC371="","",AC371)</f>
        <v>NA</v>
      </c>
      <c r="I695" s="279" t="str">
        <f>IF(AD371="","",AD371)</f>
        <v>NA</v>
      </c>
      <c r="J695" s="279" t="str">
        <f>IF(AE371="","",AE371)</f>
        <v>NA</v>
      </c>
      <c r="K695" s="279" t="str">
        <f>IF(AF371="","",AF371)</f>
        <v>NA</v>
      </c>
      <c r="L695" s="279" t="str">
        <f>IF(AG371="","",AG371)</f>
        <v>NA</v>
      </c>
      <c r="M695" s="279" t="str">
        <f>IF(AH371="","",AH371)</f>
        <v>NA</v>
      </c>
      <c r="N695" s="279" t="str">
        <f>IF(AI371="","",AI371)</f>
        <v>NA</v>
      </c>
      <c r="U695" s="258"/>
      <c r="V695" s="394"/>
      <c r="W695" s="394"/>
      <c r="X695" s="392"/>
      <c r="Y695" s="395"/>
      <c r="Z695" s="395"/>
      <c r="AA695" s="395"/>
      <c r="AB695" s="395"/>
      <c r="AC695" s="395"/>
      <c r="AD695" s="395"/>
      <c r="AE695" s="395"/>
      <c r="AF695" s="395"/>
      <c r="AG695" s="395"/>
      <c r="AH695" s="395"/>
      <c r="AI695" s="395"/>
    </row>
    <row r="696" spans="2:35" ht="11.25" hidden="1" customHeight="1" outlineLevel="1" x14ac:dyDescent="0.35">
      <c r="B696" s="244" t="s">
        <v>5124</v>
      </c>
      <c r="C696" s="245"/>
      <c r="D696" s="279" t="str">
        <f>IF(Y372="","",Y372)</f>
        <v>NA</v>
      </c>
      <c r="E696" s="279" t="str">
        <f>IF(Z372="","",Z372)</f>
        <v>NA</v>
      </c>
      <c r="F696" s="279" t="str">
        <f>IF(AA372="","",AA372)</f>
        <v>NA</v>
      </c>
      <c r="G696" s="279" t="str">
        <f>IF(AB372="","",AB372)</f>
        <v>NA</v>
      </c>
      <c r="H696" s="279" t="str">
        <f>IF(AC372="","",AC372)</f>
        <v>NA</v>
      </c>
      <c r="I696" s="279" t="str">
        <f>IF(AD372="","",AD372)</f>
        <v>NA</v>
      </c>
      <c r="J696" s="279" t="str">
        <f>IF(AE372="","",AE372)</f>
        <v>NA</v>
      </c>
      <c r="K696" s="279" t="str">
        <f>IF(AF372="","",AF372)</f>
        <v>NA</v>
      </c>
      <c r="L696" s="279" t="str">
        <f>IF(AG372="","",AG372)</f>
        <v>NA</v>
      </c>
      <c r="M696" s="279" t="str">
        <f>IF(AH372="","",AH372)</f>
        <v>NA</v>
      </c>
      <c r="N696" s="279" t="str">
        <f>IF(AI372="","",AI372)</f>
        <v>NA</v>
      </c>
      <c r="U696" s="258"/>
      <c r="V696" s="394"/>
      <c r="W696" s="394"/>
      <c r="X696" s="392"/>
      <c r="Y696" s="395"/>
      <c r="Z696" s="395"/>
      <c r="AA696" s="395"/>
      <c r="AB696" s="395"/>
      <c r="AC696" s="395"/>
      <c r="AD696" s="395"/>
      <c r="AE696" s="395"/>
      <c r="AF696" s="395"/>
      <c r="AG696" s="395"/>
      <c r="AH696" s="395"/>
      <c r="AI696" s="395"/>
    </row>
    <row r="697" spans="2:35" ht="11.25" hidden="1" customHeight="1" outlineLevel="1" x14ac:dyDescent="0.35">
      <c r="B697" s="244" t="s">
        <v>5121</v>
      </c>
      <c r="C697" s="245"/>
      <c r="D697" s="279" t="str">
        <f>IF(Y373="","",Y373)</f>
        <v>NA</v>
      </c>
      <c r="E697" s="279" t="str">
        <f>IF(Z373="","",Z373)</f>
        <v>NA</v>
      </c>
      <c r="F697" s="279" t="str">
        <f>IF(AA373="","",AA373)</f>
        <v>NA</v>
      </c>
      <c r="G697" s="279" t="str">
        <f>IF(AB373="","",AB373)</f>
        <v>NA</v>
      </c>
      <c r="H697" s="279" t="str">
        <f>IF(AC373="","",AC373)</f>
        <v>NA</v>
      </c>
      <c r="I697" s="279" t="str">
        <f>IF(AD373="","",AD373)</f>
        <v>NA</v>
      </c>
      <c r="J697" s="279" t="str">
        <f>IF(AE373="","",AE373)</f>
        <v>NA</v>
      </c>
      <c r="K697" s="279" t="str">
        <f>IF(AF373="","",AF373)</f>
        <v>NA</v>
      </c>
      <c r="L697" s="279" t="str">
        <f>IF(AG373="","",AG373)</f>
        <v>NA</v>
      </c>
      <c r="M697" s="279" t="str">
        <f>IF(AH373="","",AH373)</f>
        <v>NA</v>
      </c>
      <c r="N697" s="279" t="str">
        <f>IF(AI373="","",AI373)</f>
        <v>NA</v>
      </c>
      <c r="U697" s="258"/>
      <c r="V697" s="394"/>
      <c r="W697" s="394"/>
      <c r="X697" s="392"/>
      <c r="Y697" s="395"/>
      <c r="Z697" s="395"/>
      <c r="AA697" s="395"/>
      <c r="AB697" s="395"/>
      <c r="AC697" s="395"/>
      <c r="AD697" s="395"/>
      <c r="AE697" s="395"/>
      <c r="AF697" s="395"/>
      <c r="AG697" s="395"/>
      <c r="AH697" s="395"/>
      <c r="AI697" s="395"/>
    </row>
    <row r="698" spans="2:35" ht="11.25" hidden="1" customHeight="1" outlineLevel="1" x14ac:dyDescent="0.35">
      <c r="B698" s="244" t="s">
        <v>5367</v>
      </c>
      <c r="C698" s="245"/>
      <c r="D698" s="279" t="str">
        <f>IF(Y374="","",Y374)</f>
        <v>NA</v>
      </c>
      <c r="E698" s="279" t="str">
        <f>IF(Z374="","",Z374)</f>
        <v>NA</v>
      </c>
      <c r="F698" s="279" t="str">
        <f>IF(AA374="","",AA374)</f>
        <v>NA</v>
      </c>
      <c r="G698" s="279" t="str">
        <f>IF(AB374="","",AB374)</f>
        <v>NA</v>
      </c>
      <c r="H698" s="279" t="str">
        <f>IF(AC374="","",AC374)</f>
        <v>NA</v>
      </c>
      <c r="I698" s="279" t="str">
        <f>IF(AD374="","",AD374)</f>
        <v>NA</v>
      </c>
      <c r="J698" s="279" t="str">
        <f>IF(AE374="","",AE374)</f>
        <v>NA</v>
      </c>
      <c r="K698" s="279" t="str">
        <f>IF(AF374="","",AF374)</f>
        <v>NA</v>
      </c>
      <c r="L698" s="279" t="str">
        <f>IF(AG374="","",AG374)</f>
        <v>NA</v>
      </c>
      <c r="M698" s="279" t="str">
        <f>IF(AH374="","",AH374)</f>
        <v>NA</v>
      </c>
      <c r="N698" s="279" t="str">
        <f>IF(AI374="","",AI374)</f>
        <v>NA</v>
      </c>
      <c r="U698" s="258"/>
      <c r="V698" s="394"/>
      <c r="W698" s="394"/>
      <c r="X698" s="392"/>
      <c r="Y698" s="395"/>
      <c r="Z698" s="395"/>
      <c r="AA698" s="395"/>
      <c r="AB698" s="395"/>
      <c r="AC698" s="395"/>
      <c r="AD698" s="395"/>
      <c r="AE698" s="395"/>
      <c r="AF698" s="395"/>
      <c r="AG698" s="395"/>
      <c r="AH698" s="395"/>
      <c r="AI698" s="395"/>
    </row>
    <row r="699" spans="2:35" ht="11.25" hidden="1" customHeight="1" outlineLevel="1" x14ac:dyDescent="0.35">
      <c r="B699" s="244" t="s">
        <v>5368</v>
      </c>
      <c r="C699" s="245"/>
      <c r="D699" s="279" t="str">
        <f>IF(Y375="","",Y375)</f>
        <v>NA</v>
      </c>
      <c r="E699" s="279" t="str">
        <f>IF(Z375="","",Z375)</f>
        <v>NA</v>
      </c>
      <c r="F699" s="279" t="str">
        <f>IF(AA375="","",AA375)</f>
        <v>NA</v>
      </c>
      <c r="G699" s="279" t="str">
        <f>IF(AB375="","",AB375)</f>
        <v>NA</v>
      </c>
      <c r="H699" s="279" t="str">
        <f>IF(AC375="","",AC375)</f>
        <v>NA</v>
      </c>
      <c r="I699" s="279" t="str">
        <f>IF(AD375="","",AD375)</f>
        <v>NA</v>
      </c>
      <c r="J699" s="279" t="str">
        <f>IF(AE375="","",AE375)</f>
        <v>NA</v>
      </c>
      <c r="K699" s="279" t="str">
        <f>IF(AF375="","",AF375)</f>
        <v>NA</v>
      </c>
      <c r="L699" s="279" t="str">
        <f>IF(AG375="","",AG375)</f>
        <v>NA</v>
      </c>
      <c r="M699" s="279" t="str">
        <f>IF(AH375="","",AH375)</f>
        <v>NA</v>
      </c>
      <c r="N699" s="279" t="str">
        <f>IF(AI375="","",AI375)</f>
        <v>NA</v>
      </c>
      <c r="U699" s="258"/>
      <c r="V699" s="394"/>
      <c r="W699" s="394"/>
      <c r="X699" s="392"/>
      <c r="Y699" s="395"/>
      <c r="Z699" s="395"/>
      <c r="AA699" s="395"/>
      <c r="AB699" s="395"/>
      <c r="AC699" s="395"/>
      <c r="AD699" s="395"/>
      <c r="AE699" s="395"/>
      <c r="AF699" s="395"/>
      <c r="AG699" s="395"/>
      <c r="AH699" s="395"/>
      <c r="AI699" s="395"/>
    </row>
    <row r="700" spans="2:35" ht="11.25" hidden="1" customHeight="1" outlineLevel="1" x14ac:dyDescent="0.35">
      <c r="B700" s="244" t="s">
        <v>5369</v>
      </c>
      <c r="C700" s="245"/>
      <c r="D700" s="279" t="str">
        <f>IF(Y376="","",Y376)</f>
        <v>NA</v>
      </c>
      <c r="E700" s="279" t="str">
        <f>IF(Z376="","",Z376)</f>
        <v>NA</v>
      </c>
      <c r="F700" s="279" t="str">
        <f>IF(AA376="","",AA376)</f>
        <v>NA</v>
      </c>
      <c r="G700" s="279" t="str">
        <f>IF(AB376="","",AB376)</f>
        <v>NA</v>
      </c>
      <c r="H700" s="279" t="str">
        <f>IF(AC376="","",AC376)</f>
        <v>NA</v>
      </c>
      <c r="I700" s="279" t="str">
        <f>IF(AD376="","",AD376)</f>
        <v>NA</v>
      </c>
      <c r="J700" s="279" t="str">
        <f>IF(AE376="","",AE376)</f>
        <v>NA</v>
      </c>
      <c r="K700" s="279" t="str">
        <f>IF(AF376="","",AF376)</f>
        <v>NA</v>
      </c>
      <c r="L700" s="279" t="str">
        <f>IF(AG376="","",AG376)</f>
        <v>NA</v>
      </c>
      <c r="M700" s="279" t="str">
        <f>IF(AH376="","",AH376)</f>
        <v>NA</v>
      </c>
      <c r="N700" s="279" t="str">
        <f>IF(AI376="","",AI376)</f>
        <v>NA</v>
      </c>
      <c r="U700" s="258"/>
      <c r="V700" s="394"/>
      <c r="W700" s="394"/>
      <c r="X700" s="392"/>
      <c r="Y700" s="395"/>
      <c r="Z700" s="395"/>
      <c r="AA700" s="395"/>
      <c r="AB700" s="395"/>
      <c r="AC700" s="395"/>
      <c r="AD700" s="395"/>
      <c r="AE700" s="395"/>
      <c r="AF700" s="395"/>
      <c r="AG700" s="395"/>
      <c r="AH700" s="395"/>
      <c r="AI700" s="395"/>
    </row>
    <row r="701" spans="2:35" ht="11.25" hidden="1" customHeight="1" outlineLevel="1" x14ac:dyDescent="0.35">
      <c r="B701" s="244" t="s">
        <v>5370</v>
      </c>
      <c r="C701" s="245"/>
      <c r="D701" s="279" t="str">
        <f>IF(Y377="","",Y377)</f>
        <v>NA</v>
      </c>
      <c r="E701" s="279" t="str">
        <f>IF(Z377="","",Z377)</f>
        <v>NA</v>
      </c>
      <c r="F701" s="279" t="str">
        <f>IF(AA377="","",AA377)</f>
        <v>NA</v>
      </c>
      <c r="G701" s="279" t="str">
        <f>IF(AB377="","",AB377)</f>
        <v>NA</v>
      </c>
      <c r="H701" s="279" t="str">
        <f>IF(AC377="","",AC377)</f>
        <v>NA</v>
      </c>
      <c r="I701" s="279" t="str">
        <f>IF(AD377="","",AD377)</f>
        <v>NA</v>
      </c>
      <c r="J701" s="279" t="str">
        <f>IF(AE377="","",AE377)</f>
        <v>NA</v>
      </c>
      <c r="K701" s="279" t="str">
        <f>IF(AF377="","",AF377)</f>
        <v>NA</v>
      </c>
      <c r="L701" s="279" t="str">
        <f>IF(AG377="","",AG377)</f>
        <v>NA</v>
      </c>
      <c r="M701" s="279" t="str">
        <f>IF(AH377="","",AH377)</f>
        <v>NA</v>
      </c>
      <c r="N701" s="279" t="str">
        <f>IF(AI377="","",AI377)</f>
        <v>NA</v>
      </c>
      <c r="U701" s="258"/>
      <c r="V701" s="394"/>
      <c r="W701" s="394"/>
      <c r="X701" s="392"/>
      <c r="Y701" s="395"/>
      <c r="Z701" s="395"/>
      <c r="AA701" s="395"/>
      <c r="AB701" s="395"/>
      <c r="AC701" s="395"/>
      <c r="AD701" s="395"/>
      <c r="AE701" s="395"/>
      <c r="AF701" s="395"/>
      <c r="AG701" s="395"/>
      <c r="AH701" s="395"/>
      <c r="AI701" s="395"/>
    </row>
    <row r="702" spans="2:35" ht="11.25" hidden="1" customHeight="1" outlineLevel="1" x14ac:dyDescent="0.35">
      <c r="B702" s="244" t="s">
        <v>5371</v>
      </c>
      <c r="C702" s="245"/>
      <c r="D702" s="279" t="str">
        <f>IF(Y378="","",Y378)</f>
        <v>NA</v>
      </c>
      <c r="E702" s="279" t="str">
        <f>IF(Z378="","",Z378)</f>
        <v>NA</v>
      </c>
      <c r="F702" s="279" t="str">
        <f>IF(AA378="","",AA378)</f>
        <v>NA</v>
      </c>
      <c r="G702" s="279" t="str">
        <f>IF(AB378="","",AB378)</f>
        <v>NA</v>
      </c>
      <c r="H702" s="279" t="str">
        <f>IF(AC378="","",AC378)</f>
        <v>NA</v>
      </c>
      <c r="I702" s="279" t="str">
        <f>IF(AD378="","",AD378)</f>
        <v>NA</v>
      </c>
      <c r="J702" s="279" t="str">
        <f>IF(AE378="","",AE378)</f>
        <v>NA</v>
      </c>
      <c r="K702" s="279" t="str">
        <f>IF(AF378="","",AF378)</f>
        <v>NA</v>
      </c>
      <c r="L702" s="279" t="str">
        <f>IF(AG378="","",AG378)</f>
        <v>NA</v>
      </c>
      <c r="M702" s="279" t="str">
        <f>IF(AH378="","",AH378)</f>
        <v>NA</v>
      </c>
      <c r="N702" s="279" t="str">
        <f>IF(AI378="","",AI378)</f>
        <v>NA</v>
      </c>
      <c r="U702" s="258"/>
      <c r="V702" s="394"/>
      <c r="W702" s="394"/>
      <c r="X702" s="392"/>
      <c r="Y702" s="395"/>
      <c r="Z702" s="395"/>
      <c r="AA702" s="395"/>
      <c r="AB702" s="395"/>
      <c r="AC702" s="395"/>
      <c r="AD702" s="395"/>
      <c r="AE702" s="395"/>
      <c r="AF702" s="395"/>
      <c r="AG702" s="395"/>
      <c r="AH702" s="395"/>
      <c r="AI702" s="395"/>
    </row>
    <row r="703" spans="2:35" ht="11.25" hidden="1" customHeight="1" outlineLevel="1" x14ac:dyDescent="0.35">
      <c r="B703" s="244" t="s">
        <v>5372</v>
      </c>
      <c r="C703" s="245"/>
      <c r="D703" s="279" t="str">
        <f>IF(Y379="","",Y379)</f>
        <v>NA</v>
      </c>
      <c r="E703" s="279" t="str">
        <f>IF(Z379="","",Z379)</f>
        <v>NA</v>
      </c>
      <c r="F703" s="279" t="str">
        <f>IF(AA379="","",AA379)</f>
        <v>NA</v>
      </c>
      <c r="G703" s="279" t="str">
        <f>IF(AB379="","",AB379)</f>
        <v>NA</v>
      </c>
      <c r="H703" s="279" t="str">
        <f>IF(AC379="","",AC379)</f>
        <v>NA</v>
      </c>
      <c r="I703" s="279" t="str">
        <f>IF(AD379="","",AD379)</f>
        <v>NA</v>
      </c>
      <c r="J703" s="279" t="str">
        <f>IF(AE379="","",AE379)</f>
        <v>NA</v>
      </c>
      <c r="K703" s="279" t="str">
        <f>IF(AF379="","",AF379)</f>
        <v>NA</v>
      </c>
      <c r="L703" s="279" t="str">
        <f>IF(AG379="","",AG379)</f>
        <v>NA</v>
      </c>
      <c r="M703" s="279" t="str">
        <f>IF(AH379="","",AH379)</f>
        <v>NA</v>
      </c>
      <c r="N703" s="279" t="str">
        <f>IF(AI379="","",AI379)</f>
        <v>NA</v>
      </c>
      <c r="U703" s="258"/>
      <c r="V703" s="394"/>
      <c r="W703" s="394"/>
      <c r="X703" s="392"/>
      <c r="Y703" s="395"/>
      <c r="Z703" s="395"/>
      <c r="AA703" s="395"/>
      <c r="AB703" s="395"/>
      <c r="AC703" s="395"/>
      <c r="AD703" s="395"/>
      <c r="AE703" s="395"/>
      <c r="AF703" s="395"/>
      <c r="AG703" s="395"/>
      <c r="AH703" s="395"/>
      <c r="AI703" s="395"/>
    </row>
    <row r="704" spans="2:35" ht="11.25" hidden="1" customHeight="1" outlineLevel="1" x14ac:dyDescent="0.35">
      <c r="B704" s="244"/>
      <c r="C704" s="245"/>
      <c r="D704" s="278"/>
      <c r="E704" s="307"/>
      <c r="F704" s="307"/>
      <c r="G704" s="307"/>
      <c r="H704" s="307"/>
      <c r="I704" s="307"/>
      <c r="J704" s="307"/>
      <c r="K704" s="307"/>
      <c r="L704" s="307"/>
      <c r="M704" s="307"/>
      <c r="N704" s="307"/>
      <c r="U704" s="318"/>
      <c r="V704" s="318"/>
      <c r="W704" s="318"/>
      <c r="X704" s="318"/>
      <c r="Y704" s="318"/>
      <c r="Z704" s="318"/>
      <c r="AA704" s="318"/>
      <c r="AB704" s="318"/>
      <c r="AC704" s="318"/>
      <c r="AD704" s="318"/>
      <c r="AE704" s="318"/>
      <c r="AF704" s="318"/>
      <c r="AG704" s="318"/>
      <c r="AH704" s="318"/>
      <c r="AI704" s="318"/>
    </row>
    <row r="705" spans="2:35" ht="11.25" hidden="1" customHeight="1" outlineLevel="1" x14ac:dyDescent="0.35">
      <c r="B705" s="246" t="s">
        <v>5458</v>
      </c>
      <c r="C705" s="245"/>
      <c r="D705" s="278"/>
      <c r="E705" s="307"/>
      <c r="F705" s="307"/>
      <c r="G705" s="307"/>
      <c r="H705" s="307"/>
      <c r="I705" s="307"/>
      <c r="J705" s="307"/>
      <c r="K705" s="307"/>
      <c r="L705" s="307"/>
      <c r="M705" s="307"/>
      <c r="N705" s="307"/>
      <c r="U705" s="318"/>
      <c r="V705" s="318"/>
      <c r="W705" s="318"/>
      <c r="X705" s="318"/>
      <c r="Y705" s="318"/>
      <c r="Z705" s="318"/>
      <c r="AA705" s="318"/>
      <c r="AB705" s="318"/>
      <c r="AC705" s="318"/>
      <c r="AD705" s="318"/>
      <c r="AE705" s="318"/>
      <c r="AF705" s="318"/>
      <c r="AG705" s="318"/>
      <c r="AH705" s="318"/>
      <c r="AI705" s="318"/>
    </row>
    <row r="706" spans="2:35" ht="11.25" hidden="1" customHeight="1" outlineLevel="1" x14ac:dyDescent="0.35">
      <c r="B706" s="244" t="s">
        <v>5365</v>
      </c>
      <c r="C706" s="245"/>
      <c r="D706" s="279" t="str">
        <f>IF(Y77="","",Y77)</f>
        <v>NA</v>
      </c>
      <c r="E706" s="279" t="str">
        <f>IF(Z77="","",Z77)</f>
        <v>NA</v>
      </c>
      <c r="F706" s="279" t="str">
        <f>IF(AA77="","",AA77)</f>
        <v>NA</v>
      </c>
      <c r="G706" s="279" t="str">
        <f>IF(AB77="","",AB77)</f>
        <v>NA</v>
      </c>
      <c r="H706" s="279" t="str">
        <f>IF(AC77="","",AC77)</f>
        <v>NA</v>
      </c>
      <c r="I706" s="279" t="str">
        <f>IF(AD77="","",AD77)</f>
        <v>NA</v>
      </c>
      <c r="J706" s="279" t="str">
        <f>IF(AE77="","",AE77)</f>
        <v>NA</v>
      </c>
      <c r="K706" s="279" t="str">
        <f>IF(AF77="","",AF77)</f>
        <v>NA</v>
      </c>
      <c r="L706" s="279" t="str">
        <f>IF(AG77="","",AG77)</f>
        <v>NA</v>
      </c>
      <c r="M706" s="279" t="str">
        <f>IF(AH77="","",AH77)</f>
        <v>NA</v>
      </c>
      <c r="N706" s="279" t="str">
        <f>IF(AI77="","",AI77)</f>
        <v>NA</v>
      </c>
      <c r="U706" s="258"/>
      <c r="V706" s="394"/>
      <c r="W706" s="394"/>
      <c r="X706" s="392"/>
      <c r="Y706" s="395"/>
      <c r="Z706" s="395"/>
      <c r="AA706" s="395"/>
      <c r="AB706" s="395"/>
      <c r="AC706" s="395"/>
      <c r="AD706" s="395"/>
      <c r="AE706" s="395"/>
      <c r="AF706" s="395"/>
      <c r="AG706" s="395"/>
      <c r="AH706" s="395"/>
      <c r="AI706" s="395"/>
    </row>
    <row r="707" spans="2:35" ht="11.25" hidden="1" customHeight="1" outlineLevel="1" x14ac:dyDescent="0.35">
      <c r="B707" s="244" t="s">
        <v>5366</v>
      </c>
      <c r="C707" s="245"/>
      <c r="D707" s="279" t="str">
        <f>IF(Y78="","",Y78)</f>
        <v>NA</v>
      </c>
      <c r="E707" s="279" t="str">
        <f>IF(Z78="","",Z78)</f>
        <v>NA</v>
      </c>
      <c r="F707" s="279" t="str">
        <f>IF(AA78="","",AA78)</f>
        <v>NA</v>
      </c>
      <c r="G707" s="279" t="str">
        <f>IF(AB78="","",AB78)</f>
        <v>NA</v>
      </c>
      <c r="H707" s="279" t="str">
        <f>IF(AC78="","",AC78)</f>
        <v>NA</v>
      </c>
      <c r="I707" s="279" t="str">
        <f>IF(AD78="","",AD78)</f>
        <v>NA</v>
      </c>
      <c r="J707" s="279" t="str">
        <f>IF(AE78="","",AE78)</f>
        <v>NA</v>
      </c>
      <c r="K707" s="279" t="str">
        <f>IF(AF78="","",AF78)</f>
        <v>NA</v>
      </c>
      <c r="L707" s="279" t="str">
        <f>IF(AG78="","",AG78)</f>
        <v>NA</v>
      </c>
      <c r="M707" s="279" t="str">
        <f>IF(AH78="","",AH78)</f>
        <v>NA</v>
      </c>
      <c r="N707" s="279" t="str">
        <f>IF(AI78="","",AI78)</f>
        <v>NA</v>
      </c>
      <c r="U707" s="258"/>
      <c r="V707" s="394"/>
      <c r="W707" s="394"/>
      <c r="X707" s="392"/>
      <c r="Y707" s="395"/>
      <c r="Z707" s="395"/>
      <c r="AA707" s="395"/>
      <c r="AB707" s="395"/>
      <c r="AC707" s="395"/>
      <c r="AD707" s="395"/>
      <c r="AE707" s="395"/>
      <c r="AF707" s="395"/>
      <c r="AG707" s="395"/>
      <c r="AH707" s="395"/>
      <c r="AI707" s="395"/>
    </row>
    <row r="708" spans="2:35" ht="11.25" hidden="1" customHeight="1" outlineLevel="1" x14ac:dyDescent="0.35">
      <c r="B708" s="244" t="s">
        <v>5122</v>
      </c>
      <c r="C708" s="245"/>
      <c r="D708" s="279" t="str">
        <f>IF(Y79="","",Y79)</f>
        <v>NA</v>
      </c>
      <c r="E708" s="279" t="str">
        <f>IF(Z79="","",Z79)</f>
        <v>NA</v>
      </c>
      <c r="F708" s="279" t="str">
        <f>IF(AA79="","",AA79)</f>
        <v>NA</v>
      </c>
      <c r="G708" s="279" t="str">
        <f>IF(AB79="","",AB79)</f>
        <v>NA</v>
      </c>
      <c r="H708" s="279" t="str">
        <f>IF(AC79="","",AC79)</f>
        <v>NA</v>
      </c>
      <c r="I708" s="279" t="str">
        <f>IF(AD79="","",AD79)</f>
        <v>NA</v>
      </c>
      <c r="J708" s="279" t="str">
        <f>IF(AE79="","",AE79)</f>
        <v>NA</v>
      </c>
      <c r="K708" s="279" t="str">
        <f>IF(AF79="","",AF79)</f>
        <v>NA</v>
      </c>
      <c r="L708" s="279" t="str">
        <f>IF(AG79="","",AG79)</f>
        <v>NA</v>
      </c>
      <c r="M708" s="279" t="str">
        <f>IF(AH79="","",AH79)</f>
        <v>NA</v>
      </c>
      <c r="N708" s="279" t="str">
        <f>IF(AI79="","",AI79)</f>
        <v>NA</v>
      </c>
      <c r="U708" s="258"/>
      <c r="V708" s="394"/>
      <c r="W708" s="394"/>
      <c r="X708" s="392"/>
      <c r="Y708" s="395"/>
      <c r="Z708" s="395"/>
      <c r="AA708" s="395"/>
      <c r="AB708" s="395"/>
      <c r="AC708" s="395"/>
      <c r="AD708" s="395"/>
      <c r="AE708" s="395"/>
      <c r="AF708" s="395"/>
      <c r="AG708" s="395"/>
      <c r="AH708" s="395"/>
      <c r="AI708" s="395"/>
    </row>
    <row r="709" spans="2:35" ht="11.25" hidden="1" customHeight="1" outlineLevel="1" x14ac:dyDescent="0.35">
      <c r="B709" s="244" t="s">
        <v>5124</v>
      </c>
      <c r="C709" s="245"/>
      <c r="D709" s="279" t="str">
        <f>IF(Y80="","",Y80)</f>
        <v>NA</v>
      </c>
      <c r="E709" s="279" t="str">
        <f>IF(Z80="","",Z80)</f>
        <v>NA</v>
      </c>
      <c r="F709" s="279" t="str">
        <f>IF(AA80="","",AA80)</f>
        <v>NA</v>
      </c>
      <c r="G709" s="279" t="str">
        <f>IF(AB80="","",AB80)</f>
        <v>NA</v>
      </c>
      <c r="H709" s="279" t="str">
        <f>IF(AC80="","",AC80)</f>
        <v>NA</v>
      </c>
      <c r="I709" s="279" t="str">
        <f>IF(AD80="","",AD80)</f>
        <v>NA</v>
      </c>
      <c r="J709" s="279" t="str">
        <f>IF(AE80="","",AE80)</f>
        <v>NA</v>
      </c>
      <c r="K709" s="279" t="str">
        <f>IF(AF80="","",AF80)</f>
        <v>NA</v>
      </c>
      <c r="L709" s="279" t="str">
        <f>IF(AG80="","",AG80)</f>
        <v>NA</v>
      </c>
      <c r="M709" s="279" t="str">
        <f>IF(AH80="","",AH80)</f>
        <v>NA</v>
      </c>
      <c r="N709" s="279" t="str">
        <f>IF(AI80="","",AI80)</f>
        <v>NA</v>
      </c>
      <c r="U709" s="258"/>
      <c r="V709" s="394"/>
      <c r="W709" s="394"/>
      <c r="X709" s="392"/>
      <c r="Y709" s="395"/>
      <c r="Z709" s="395"/>
      <c r="AA709" s="395"/>
      <c r="AB709" s="395"/>
      <c r="AC709" s="395"/>
      <c r="AD709" s="395"/>
      <c r="AE709" s="395"/>
      <c r="AF709" s="395"/>
      <c r="AG709" s="395"/>
      <c r="AH709" s="395"/>
      <c r="AI709" s="395"/>
    </row>
    <row r="710" spans="2:35" ht="11.25" hidden="1" customHeight="1" outlineLevel="1" x14ac:dyDescent="0.35">
      <c r="B710" s="244" t="s">
        <v>5121</v>
      </c>
      <c r="C710" s="245"/>
      <c r="D710" s="279" t="str">
        <f>IF(Y81="","",Y81)</f>
        <v>NA</v>
      </c>
      <c r="E710" s="279" t="str">
        <f>IF(Z81="","",Z81)</f>
        <v>NA</v>
      </c>
      <c r="F710" s="279" t="str">
        <f>IF(AA81="","",AA81)</f>
        <v>NA</v>
      </c>
      <c r="G710" s="279" t="str">
        <f>IF(AB81="","",AB81)</f>
        <v>NA</v>
      </c>
      <c r="H710" s="279" t="str">
        <f>IF(AC81="","",AC81)</f>
        <v>NA</v>
      </c>
      <c r="I710" s="279" t="str">
        <f>IF(AD81="","",AD81)</f>
        <v>NA</v>
      </c>
      <c r="J710" s="279" t="str">
        <f>IF(AE81="","",AE81)</f>
        <v>NA</v>
      </c>
      <c r="K710" s="279" t="str">
        <f>IF(AF81="","",AF81)</f>
        <v>NA</v>
      </c>
      <c r="L710" s="279" t="str">
        <f>IF(AG81="","",AG81)</f>
        <v>NA</v>
      </c>
      <c r="M710" s="279" t="str">
        <f>IF(AH81="","",AH81)</f>
        <v>NA</v>
      </c>
      <c r="N710" s="279" t="str">
        <f>IF(AI81="","",AI81)</f>
        <v>NA</v>
      </c>
      <c r="U710" s="258"/>
      <c r="V710" s="394"/>
      <c r="W710" s="394"/>
      <c r="X710" s="392"/>
      <c r="Y710" s="395"/>
      <c r="Z710" s="395"/>
      <c r="AA710" s="395"/>
      <c r="AB710" s="395"/>
      <c r="AC710" s="395"/>
      <c r="AD710" s="395"/>
      <c r="AE710" s="395"/>
      <c r="AF710" s="395"/>
      <c r="AG710" s="395"/>
      <c r="AH710" s="395"/>
      <c r="AI710" s="395"/>
    </row>
    <row r="711" spans="2:35" ht="11.25" hidden="1" customHeight="1" outlineLevel="1" x14ac:dyDescent="0.35">
      <c r="B711" s="244" t="s">
        <v>5367</v>
      </c>
      <c r="C711" s="245"/>
      <c r="D711" s="279" t="str">
        <f>IF(Y82="","",Y82)</f>
        <v>NA</v>
      </c>
      <c r="E711" s="279" t="str">
        <f>IF(Z82="","",Z82)</f>
        <v>NA</v>
      </c>
      <c r="F711" s="279" t="str">
        <f>IF(AA82="","",AA82)</f>
        <v>NA</v>
      </c>
      <c r="G711" s="279" t="str">
        <f>IF(AB82="","",AB82)</f>
        <v>NA</v>
      </c>
      <c r="H711" s="279" t="str">
        <f>IF(AC82="","",AC82)</f>
        <v>NA</v>
      </c>
      <c r="I711" s="279" t="str">
        <f>IF(AD82="","",AD82)</f>
        <v>NA</v>
      </c>
      <c r="J711" s="279" t="str">
        <f>IF(AE82="","",AE82)</f>
        <v>NA</v>
      </c>
      <c r="K711" s="279" t="str">
        <f>IF(AF82="","",AF82)</f>
        <v>NA</v>
      </c>
      <c r="L711" s="279" t="str">
        <f>IF(AG82="","",AG82)</f>
        <v>NA</v>
      </c>
      <c r="M711" s="279" t="str">
        <f>IF(AH82="","",AH82)</f>
        <v>NA</v>
      </c>
      <c r="N711" s="279" t="str">
        <f>IF(AI82="","",AI82)</f>
        <v>NA</v>
      </c>
      <c r="U711" s="258"/>
      <c r="V711" s="394"/>
      <c r="W711" s="394"/>
      <c r="X711" s="392"/>
      <c r="Y711" s="395"/>
      <c r="Z711" s="395"/>
      <c r="AA711" s="395"/>
      <c r="AB711" s="395"/>
      <c r="AC711" s="395"/>
      <c r="AD711" s="395"/>
      <c r="AE711" s="395"/>
      <c r="AF711" s="395"/>
      <c r="AG711" s="395"/>
      <c r="AH711" s="395"/>
      <c r="AI711" s="395"/>
    </row>
    <row r="712" spans="2:35" ht="11.25" hidden="1" customHeight="1" outlineLevel="1" x14ac:dyDescent="0.35">
      <c r="B712" s="244" t="s">
        <v>5368</v>
      </c>
      <c r="C712" s="245"/>
      <c r="D712" s="279" t="str">
        <f>IF(Y83="","",Y83)</f>
        <v>NA</v>
      </c>
      <c r="E712" s="279" t="str">
        <f>IF(Z83="","",Z83)</f>
        <v>NA</v>
      </c>
      <c r="F712" s="279" t="str">
        <f>IF(AA83="","",AA83)</f>
        <v>NA</v>
      </c>
      <c r="G712" s="279" t="str">
        <f>IF(AB83="","",AB83)</f>
        <v>NA</v>
      </c>
      <c r="H712" s="279" t="str">
        <f>IF(AC83="","",AC83)</f>
        <v>NA</v>
      </c>
      <c r="I712" s="279" t="str">
        <f>IF(AD83="","",AD83)</f>
        <v>NA</v>
      </c>
      <c r="J712" s="279" t="str">
        <f>IF(AE83="","",AE83)</f>
        <v>NA</v>
      </c>
      <c r="K712" s="279" t="str">
        <f>IF(AF83="","",AF83)</f>
        <v>NA</v>
      </c>
      <c r="L712" s="279" t="str">
        <f>IF(AG83="","",AG83)</f>
        <v>NA</v>
      </c>
      <c r="M712" s="279" t="str">
        <f>IF(AH83="","",AH83)</f>
        <v>NA</v>
      </c>
      <c r="N712" s="279" t="str">
        <f>IF(AI83="","",AI83)</f>
        <v>NA</v>
      </c>
      <c r="U712" s="258"/>
      <c r="V712" s="394"/>
      <c r="W712" s="394"/>
      <c r="X712" s="392"/>
      <c r="Y712" s="395"/>
      <c r="Z712" s="395"/>
      <c r="AA712" s="395"/>
      <c r="AB712" s="395"/>
      <c r="AC712" s="395"/>
      <c r="AD712" s="395"/>
      <c r="AE712" s="395"/>
      <c r="AF712" s="395"/>
      <c r="AG712" s="395"/>
      <c r="AH712" s="395"/>
      <c r="AI712" s="395"/>
    </row>
    <row r="713" spans="2:35" ht="11.25" hidden="1" customHeight="1" outlineLevel="1" x14ac:dyDescent="0.35">
      <c r="B713" s="244" t="s">
        <v>5369</v>
      </c>
      <c r="C713" s="245"/>
      <c r="D713" s="279" t="str">
        <f>IF(Y84="","",Y84)</f>
        <v>NA</v>
      </c>
      <c r="E713" s="279" t="str">
        <f>IF(Z84="","",Z84)</f>
        <v>NA</v>
      </c>
      <c r="F713" s="279" t="str">
        <f>IF(AA84="","",AA84)</f>
        <v>NA</v>
      </c>
      <c r="G713" s="279" t="str">
        <f>IF(AB84="","",AB84)</f>
        <v>NA</v>
      </c>
      <c r="H713" s="279" t="str">
        <f>IF(AC84="","",AC84)</f>
        <v>NA</v>
      </c>
      <c r="I713" s="279" t="str">
        <f>IF(AD84="","",AD84)</f>
        <v>NA</v>
      </c>
      <c r="J713" s="279" t="str">
        <f>IF(AE84="","",AE84)</f>
        <v>NA</v>
      </c>
      <c r="K713" s="279" t="str">
        <f>IF(AF84="","",AF84)</f>
        <v>NA</v>
      </c>
      <c r="L713" s="279" t="str">
        <f>IF(AG84="","",AG84)</f>
        <v>NA</v>
      </c>
      <c r="M713" s="279" t="str">
        <f>IF(AH84="","",AH84)</f>
        <v>NA</v>
      </c>
      <c r="N713" s="279" t="str">
        <f>IF(AI84="","",AI84)</f>
        <v>NA</v>
      </c>
      <c r="U713" s="258"/>
      <c r="V713" s="394"/>
      <c r="W713" s="394"/>
      <c r="X713" s="392"/>
      <c r="Y713" s="395"/>
      <c r="Z713" s="395"/>
      <c r="AA713" s="395"/>
      <c r="AB713" s="395"/>
      <c r="AC713" s="395"/>
      <c r="AD713" s="395"/>
      <c r="AE713" s="395"/>
      <c r="AF713" s="395"/>
      <c r="AG713" s="395"/>
      <c r="AH713" s="395"/>
      <c r="AI713" s="395"/>
    </row>
    <row r="714" spans="2:35" ht="11.25" hidden="1" customHeight="1" outlineLevel="1" x14ac:dyDescent="0.35">
      <c r="B714" s="244" t="s">
        <v>5370</v>
      </c>
      <c r="C714" s="245"/>
      <c r="D714" s="279" t="str">
        <f>IF(Y85="","",Y85)</f>
        <v>NA</v>
      </c>
      <c r="E714" s="279" t="str">
        <f>IF(Z85="","",Z85)</f>
        <v>NA</v>
      </c>
      <c r="F714" s="279" t="str">
        <f>IF(AA85="","",AA85)</f>
        <v>NA</v>
      </c>
      <c r="G714" s="279" t="str">
        <f>IF(AB85="","",AB85)</f>
        <v>NA</v>
      </c>
      <c r="H714" s="279" t="str">
        <f>IF(AC85="","",AC85)</f>
        <v>NA</v>
      </c>
      <c r="I714" s="279" t="str">
        <f>IF(AD85="","",AD85)</f>
        <v>NA</v>
      </c>
      <c r="J714" s="279" t="str">
        <f>IF(AE85="","",AE85)</f>
        <v>NA</v>
      </c>
      <c r="K714" s="279" t="str">
        <f>IF(AF85="","",AF85)</f>
        <v>NA</v>
      </c>
      <c r="L714" s="279" t="str">
        <f>IF(AG85="","",AG85)</f>
        <v>NA</v>
      </c>
      <c r="M714" s="279" t="str">
        <f>IF(AH85="","",AH85)</f>
        <v>NA</v>
      </c>
      <c r="N714" s="279" t="str">
        <f>IF(AI85="","",AI85)</f>
        <v>NA</v>
      </c>
      <c r="U714" s="258"/>
      <c r="V714" s="394"/>
      <c r="W714" s="394"/>
      <c r="X714" s="392"/>
      <c r="Y714" s="395"/>
      <c r="Z714" s="395"/>
      <c r="AA714" s="395"/>
      <c r="AB714" s="395"/>
      <c r="AC714" s="395"/>
      <c r="AD714" s="395"/>
      <c r="AE714" s="395"/>
      <c r="AF714" s="395"/>
      <c r="AG714" s="395"/>
      <c r="AH714" s="395"/>
      <c r="AI714" s="395"/>
    </row>
    <row r="715" spans="2:35" ht="11.25" hidden="1" customHeight="1" outlineLevel="1" x14ac:dyDescent="0.35">
      <c r="B715" s="244" t="s">
        <v>5371</v>
      </c>
      <c r="C715" s="245"/>
      <c r="D715" s="279" t="str">
        <f>IF(Y86="","",Y86)</f>
        <v>NA</v>
      </c>
      <c r="E715" s="279" t="str">
        <f>IF(Z86="","",Z86)</f>
        <v>NA</v>
      </c>
      <c r="F715" s="279" t="str">
        <f>IF(AA86="","",AA86)</f>
        <v>NA</v>
      </c>
      <c r="G715" s="279" t="str">
        <f>IF(AB86="","",AB86)</f>
        <v>NA</v>
      </c>
      <c r="H715" s="279" t="str">
        <f>IF(AC86="","",AC86)</f>
        <v>NA</v>
      </c>
      <c r="I715" s="279" t="str">
        <f>IF(AD86="","",AD86)</f>
        <v>NA</v>
      </c>
      <c r="J715" s="279" t="str">
        <f>IF(AE86="","",AE86)</f>
        <v>NA</v>
      </c>
      <c r="K715" s="279" t="str">
        <f>IF(AF86="","",AF86)</f>
        <v>NA</v>
      </c>
      <c r="L715" s="279" t="str">
        <f>IF(AG86="","",AG86)</f>
        <v>NA</v>
      </c>
      <c r="M715" s="279" t="str">
        <f>IF(AH86="","",AH86)</f>
        <v>NA</v>
      </c>
      <c r="N715" s="279" t="str">
        <f>IF(AI86="","",AI86)</f>
        <v>NA</v>
      </c>
      <c r="U715" s="258"/>
      <c r="V715" s="394"/>
      <c r="W715" s="394"/>
      <c r="X715" s="392"/>
      <c r="Y715" s="395"/>
      <c r="Z715" s="395"/>
      <c r="AA715" s="395"/>
      <c r="AB715" s="395"/>
      <c r="AC715" s="395"/>
      <c r="AD715" s="395"/>
      <c r="AE715" s="395"/>
      <c r="AF715" s="395"/>
      <c r="AG715" s="395"/>
      <c r="AH715" s="395"/>
      <c r="AI715" s="395"/>
    </row>
    <row r="716" spans="2:35" ht="11.25" hidden="1" customHeight="1" outlineLevel="1" x14ac:dyDescent="0.35">
      <c r="B716" s="244" t="s">
        <v>5372</v>
      </c>
      <c r="C716" s="247"/>
      <c r="D716" s="279" t="str">
        <f>IF(Y87="","",Y87)</f>
        <v>NA</v>
      </c>
      <c r="E716" s="279" t="str">
        <f>IF(Z87="","",Z87)</f>
        <v>NA</v>
      </c>
      <c r="F716" s="279" t="str">
        <f>IF(AA87="","",AA87)</f>
        <v>NA</v>
      </c>
      <c r="G716" s="279" t="str">
        <f>IF(AB87="","",AB87)</f>
        <v>NA</v>
      </c>
      <c r="H716" s="279" t="str">
        <f>IF(AC87="","",AC87)</f>
        <v>NA</v>
      </c>
      <c r="I716" s="279" t="str">
        <f>IF(AD87="","",AD87)</f>
        <v>NA</v>
      </c>
      <c r="J716" s="279" t="str">
        <f>IF(AE87="","",AE87)</f>
        <v>NA</v>
      </c>
      <c r="K716" s="279" t="str">
        <f>IF(AF87="","",AF87)</f>
        <v>NA</v>
      </c>
      <c r="L716" s="279" t="str">
        <f>IF(AG87="","",AG87)</f>
        <v>NA</v>
      </c>
      <c r="M716" s="279" t="str">
        <f>IF(AH87="","",AH87)</f>
        <v>NA</v>
      </c>
      <c r="N716" s="279" t="str">
        <f>IF(AI87="","",AI87)</f>
        <v>NA</v>
      </c>
      <c r="U716" s="258"/>
      <c r="V716" s="394"/>
      <c r="W716" s="394"/>
      <c r="X716" s="392"/>
      <c r="Y716" s="395"/>
      <c r="Z716" s="395"/>
      <c r="AA716" s="395"/>
      <c r="AB716" s="395"/>
      <c r="AC716" s="395"/>
      <c r="AD716" s="395"/>
      <c r="AE716" s="395"/>
      <c r="AF716" s="395"/>
      <c r="AG716" s="395"/>
      <c r="AH716" s="395"/>
      <c r="AI716" s="395"/>
    </row>
    <row r="717" spans="2:35" ht="11.25" hidden="1" customHeight="1" outlineLevel="1" x14ac:dyDescent="0.35">
      <c r="B717" s="244"/>
      <c r="C717" s="245"/>
      <c r="D717" s="278"/>
      <c r="E717" s="307"/>
      <c r="F717" s="307"/>
      <c r="G717" s="307"/>
      <c r="H717" s="307"/>
      <c r="I717" s="307"/>
      <c r="J717" s="307"/>
      <c r="K717" s="307"/>
      <c r="L717" s="307"/>
      <c r="M717" s="307"/>
      <c r="N717" s="307"/>
      <c r="U717" s="318"/>
      <c r="V717" s="318"/>
      <c r="W717" s="318"/>
      <c r="X717" s="318"/>
      <c r="Y717" s="318"/>
      <c r="Z717" s="318"/>
      <c r="AA717" s="318"/>
      <c r="AB717" s="318"/>
      <c r="AC717" s="318"/>
      <c r="AD717" s="318"/>
      <c r="AE717" s="318"/>
      <c r="AF717" s="318"/>
      <c r="AG717" s="318"/>
      <c r="AH717" s="318"/>
      <c r="AI717" s="318"/>
    </row>
    <row r="718" spans="2:35" ht="11.25" hidden="1" customHeight="1" outlineLevel="1" x14ac:dyDescent="0.35">
      <c r="B718" s="246" t="s">
        <v>5461</v>
      </c>
      <c r="C718" s="245"/>
      <c r="D718" s="278"/>
      <c r="E718" s="307"/>
      <c r="F718" s="307"/>
      <c r="G718" s="307"/>
      <c r="H718" s="307"/>
      <c r="I718" s="307"/>
      <c r="J718" s="307"/>
      <c r="K718" s="307"/>
      <c r="L718" s="307"/>
      <c r="M718" s="307"/>
      <c r="N718" s="307"/>
      <c r="U718" s="318"/>
      <c r="V718" s="318"/>
      <c r="W718" s="318"/>
      <c r="X718" s="318"/>
      <c r="Y718" s="318"/>
      <c r="Z718" s="318"/>
      <c r="AA718" s="318"/>
      <c r="AB718" s="318"/>
      <c r="AC718" s="318"/>
      <c r="AD718" s="318"/>
      <c r="AE718" s="318"/>
      <c r="AF718" s="318"/>
      <c r="AG718" s="318"/>
      <c r="AH718" s="318"/>
      <c r="AI718" s="318"/>
    </row>
    <row r="719" spans="2:35" ht="11.25" hidden="1" customHeight="1" outlineLevel="1" x14ac:dyDescent="0.35">
      <c r="B719" s="244" t="s">
        <v>5365</v>
      </c>
      <c r="C719" s="245"/>
      <c r="D719" s="279" t="str">
        <f>IF(Y90="","",Y90)</f>
        <v>NA</v>
      </c>
      <c r="E719" s="279" t="str">
        <f>IF(Z90="","",Z90)</f>
        <v>NA</v>
      </c>
      <c r="F719" s="279" t="str">
        <f>IF(AA90="","",AA90)</f>
        <v>NA</v>
      </c>
      <c r="G719" s="279" t="str">
        <f>IF(AB90="","",AB90)</f>
        <v>NA</v>
      </c>
      <c r="H719" s="279" t="str">
        <f>IF(AC90="","",AC90)</f>
        <v>NA</v>
      </c>
      <c r="I719" s="279" t="str">
        <f>IF(AD90="","",AD90)</f>
        <v>NA</v>
      </c>
      <c r="J719" s="279" t="str">
        <f>IF(AE90="","",AE90)</f>
        <v>NA</v>
      </c>
      <c r="K719" s="279" t="str">
        <f>IF(AF90="","",AF90)</f>
        <v>NA</v>
      </c>
      <c r="L719" s="279" t="str">
        <f>IF(AG90="","",AG90)</f>
        <v>NA</v>
      </c>
      <c r="M719" s="279" t="str">
        <f>IF(AH90="","",AH90)</f>
        <v>NA</v>
      </c>
      <c r="N719" s="279" t="str">
        <f>IF(AI90="","",AI90)</f>
        <v>NA</v>
      </c>
      <c r="U719" s="258"/>
      <c r="V719" s="394"/>
      <c r="W719" s="394"/>
      <c r="X719" s="392"/>
      <c r="Y719" s="395"/>
      <c r="Z719" s="395"/>
      <c r="AA719" s="395"/>
      <c r="AB719" s="395"/>
      <c r="AC719" s="395"/>
      <c r="AD719" s="395"/>
      <c r="AE719" s="395"/>
      <c r="AF719" s="395"/>
      <c r="AG719" s="395"/>
      <c r="AH719" s="395"/>
      <c r="AI719" s="395"/>
    </row>
    <row r="720" spans="2:35" ht="11.25" hidden="1" customHeight="1" outlineLevel="1" x14ac:dyDescent="0.35">
      <c r="B720" s="244" t="s">
        <v>5366</v>
      </c>
      <c r="C720" s="245"/>
      <c r="D720" s="279" t="str">
        <f>IF(Y91="","",Y91)</f>
        <v>NA</v>
      </c>
      <c r="E720" s="279" t="str">
        <f>IF(Z91="","",Z91)</f>
        <v>NA</v>
      </c>
      <c r="F720" s="279" t="str">
        <f>IF(AA91="","",AA91)</f>
        <v>NA</v>
      </c>
      <c r="G720" s="279" t="str">
        <f>IF(AB91="","",AB91)</f>
        <v>NA</v>
      </c>
      <c r="H720" s="279" t="str">
        <f>IF(AC91="","",AC91)</f>
        <v>NA</v>
      </c>
      <c r="I720" s="279" t="str">
        <f>IF(AD91="","",AD91)</f>
        <v>NA</v>
      </c>
      <c r="J720" s="279" t="str">
        <f>IF(AE91="","",AE91)</f>
        <v>NA</v>
      </c>
      <c r="K720" s="279" t="str">
        <f>IF(AF91="","",AF91)</f>
        <v>NA</v>
      </c>
      <c r="L720" s="279" t="str">
        <f>IF(AG91="","",AG91)</f>
        <v>NA</v>
      </c>
      <c r="M720" s="279" t="str">
        <f>IF(AH91="","",AH91)</f>
        <v>NA</v>
      </c>
      <c r="N720" s="279" t="str">
        <f>IF(AI91="","",AI91)</f>
        <v>NA</v>
      </c>
      <c r="U720" s="258"/>
      <c r="V720" s="394"/>
      <c r="W720" s="394"/>
      <c r="X720" s="392"/>
      <c r="Y720" s="395"/>
      <c r="Z720" s="395"/>
      <c r="AA720" s="395"/>
      <c r="AB720" s="395"/>
      <c r="AC720" s="395"/>
      <c r="AD720" s="395"/>
      <c r="AE720" s="395"/>
      <c r="AF720" s="395"/>
      <c r="AG720" s="395"/>
      <c r="AH720" s="395"/>
      <c r="AI720" s="395"/>
    </row>
    <row r="721" spans="2:35" ht="11.25" hidden="1" customHeight="1" outlineLevel="1" x14ac:dyDescent="0.35">
      <c r="B721" s="244" t="s">
        <v>5122</v>
      </c>
      <c r="C721" s="245"/>
      <c r="D721" s="279" t="str">
        <f>IF(Y92="","",Y92)</f>
        <v>NA</v>
      </c>
      <c r="E721" s="279" t="str">
        <f>IF(Z92="","",Z92)</f>
        <v>NA</v>
      </c>
      <c r="F721" s="279" t="str">
        <f>IF(AA92="","",AA92)</f>
        <v>NA</v>
      </c>
      <c r="G721" s="279" t="str">
        <f>IF(AB92="","",AB92)</f>
        <v>NA</v>
      </c>
      <c r="H721" s="279" t="str">
        <f>IF(AC92="","",AC92)</f>
        <v>NA</v>
      </c>
      <c r="I721" s="279" t="str">
        <f>IF(AD92="","",AD92)</f>
        <v>NA</v>
      </c>
      <c r="J721" s="279" t="str">
        <f>IF(AE92="","",AE92)</f>
        <v>NA</v>
      </c>
      <c r="K721" s="279" t="str">
        <f>IF(AF92="","",AF92)</f>
        <v>NA</v>
      </c>
      <c r="L721" s="279" t="str">
        <f>IF(AG92="","",AG92)</f>
        <v>NA</v>
      </c>
      <c r="M721" s="279" t="str">
        <f>IF(AH92="","",AH92)</f>
        <v>NA</v>
      </c>
      <c r="N721" s="279" t="str">
        <f>IF(AI92="","",AI92)</f>
        <v>NA</v>
      </c>
      <c r="U721" s="258"/>
      <c r="V721" s="394"/>
      <c r="W721" s="394"/>
      <c r="X721" s="392"/>
      <c r="Y721" s="395"/>
      <c r="Z721" s="395"/>
      <c r="AA721" s="395"/>
      <c r="AB721" s="395"/>
      <c r="AC721" s="395"/>
      <c r="AD721" s="395"/>
      <c r="AE721" s="395"/>
      <c r="AF721" s="395"/>
      <c r="AG721" s="395"/>
      <c r="AH721" s="395"/>
      <c r="AI721" s="395"/>
    </row>
    <row r="722" spans="2:35" ht="11.25" hidden="1" customHeight="1" outlineLevel="1" x14ac:dyDescent="0.35">
      <c r="B722" s="244" t="s">
        <v>5124</v>
      </c>
      <c r="C722" s="245"/>
      <c r="D722" s="279" t="str">
        <f>IF(Y93="","",Y93)</f>
        <v>NA</v>
      </c>
      <c r="E722" s="279" t="str">
        <f>IF(Z93="","",Z93)</f>
        <v>NA</v>
      </c>
      <c r="F722" s="279" t="str">
        <f>IF(AA93="","",AA93)</f>
        <v>NA</v>
      </c>
      <c r="G722" s="279" t="str">
        <f>IF(AB93="","",AB93)</f>
        <v>NA</v>
      </c>
      <c r="H722" s="279" t="str">
        <f>IF(AC93="","",AC93)</f>
        <v>NA</v>
      </c>
      <c r="I722" s="279" t="str">
        <f>IF(AD93="","",AD93)</f>
        <v>NA</v>
      </c>
      <c r="J722" s="279" t="str">
        <f>IF(AE93="","",AE93)</f>
        <v>NA</v>
      </c>
      <c r="K722" s="279" t="str">
        <f>IF(AF93="","",AF93)</f>
        <v>NA</v>
      </c>
      <c r="L722" s="279" t="str">
        <f>IF(AG93="","",AG93)</f>
        <v>NA</v>
      </c>
      <c r="M722" s="279" t="str">
        <f>IF(AH93="","",AH93)</f>
        <v>NA</v>
      </c>
      <c r="N722" s="279" t="str">
        <f>IF(AI93="","",AI93)</f>
        <v>NA</v>
      </c>
      <c r="U722" s="258"/>
      <c r="V722" s="394"/>
      <c r="W722" s="394"/>
      <c r="X722" s="392"/>
      <c r="Y722" s="395"/>
      <c r="Z722" s="395"/>
      <c r="AA722" s="395"/>
      <c r="AB722" s="395"/>
      <c r="AC722" s="395"/>
      <c r="AD722" s="395"/>
      <c r="AE722" s="395"/>
      <c r="AF722" s="395"/>
      <c r="AG722" s="395"/>
      <c r="AH722" s="395"/>
      <c r="AI722" s="395"/>
    </row>
    <row r="723" spans="2:35" ht="11.25" hidden="1" customHeight="1" outlineLevel="1" x14ac:dyDescent="0.35">
      <c r="B723" s="244" t="s">
        <v>5121</v>
      </c>
      <c r="C723" s="245"/>
      <c r="D723" s="279" t="str">
        <f>IF(Y94="","",Y94)</f>
        <v>NA</v>
      </c>
      <c r="E723" s="279" t="str">
        <f>IF(Z94="","",Z94)</f>
        <v>NA</v>
      </c>
      <c r="F723" s="279" t="str">
        <f>IF(AA94="","",AA94)</f>
        <v>NA</v>
      </c>
      <c r="G723" s="279" t="str">
        <f>IF(AB94="","",AB94)</f>
        <v>NA</v>
      </c>
      <c r="H723" s="279" t="str">
        <f>IF(AC94="","",AC94)</f>
        <v>NA</v>
      </c>
      <c r="I723" s="279" t="str">
        <f>IF(AD94="","",AD94)</f>
        <v>NA</v>
      </c>
      <c r="J723" s="279" t="str">
        <f>IF(AE94="","",AE94)</f>
        <v>NA</v>
      </c>
      <c r="K723" s="279" t="str">
        <f>IF(AF94="","",AF94)</f>
        <v>NA</v>
      </c>
      <c r="L723" s="279" t="str">
        <f>IF(AG94="","",AG94)</f>
        <v>NA</v>
      </c>
      <c r="M723" s="279" t="str">
        <f>IF(AH94="","",AH94)</f>
        <v>NA</v>
      </c>
      <c r="N723" s="279" t="str">
        <f>IF(AI94="","",AI94)</f>
        <v>NA</v>
      </c>
      <c r="U723" s="258"/>
      <c r="V723" s="394"/>
      <c r="W723" s="394"/>
      <c r="X723" s="392"/>
      <c r="Y723" s="395"/>
      <c r="Z723" s="395"/>
      <c r="AA723" s="395"/>
      <c r="AB723" s="395"/>
      <c r="AC723" s="395"/>
      <c r="AD723" s="395"/>
      <c r="AE723" s="395"/>
      <c r="AF723" s="395"/>
      <c r="AG723" s="395"/>
      <c r="AH723" s="395"/>
      <c r="AI723" s="395"/>
    </row>
    <row r="724" spans="2:35" ht="11.25" hidden="1" customHeight="1" outlineLevel="1" x14ac:dyDescent="0.35">
      <c r="B724" s="244" t="s">
        <v>5367</v>
      </c>
      <c r="C724" s="245"/>
      <c r="D724" s="279" t="str">
        <f>IF(Y95="","",Y95)</f>
        <v>NA</v>
      </c>
      <c r="E724" s="279" t="str">
        <f>IF(Z95="","",Z95)</f>
        <v>NA</v>
      </c>
      <c r="F724" s="279" t="str">
        <f>IF(AA95="","",AA95)</f>
        <v>NA</v>
      </c>
      <c r="G724" s="279" t="str">
        <f>IF(AB95="","",AB95)</f>
        <v>NA</v>
      </c>
      <c r="H724" s="279" t="str">
        <f>IF(AC95="","",AC95)</f>
        <v>NA</v>
      </c>
      <c r="I724" s="279" t="str">
        <f>IF(AD95="","",AD95)</f>
        <v>NA</v>
      </c>
      <c r="J724" s="279" t="str">
        <f>IF(AE95="","",AE95)</f>
        <v>NA</v>
      </c>
      <c r="K724" s="279" t="str">
        <f>IF(AF95="","",AF95)</f>
        <v>NA</v>
      </c>
      <c r="L724" s="279" t="str">
        <f>IF(AG95="","",AG95)</f>
        <v>NA</v>
      </c>
      <c r="M724" s="279" t="str">
        <f>IF(AH95="","",AH95)</f>
        <v>NA</v>
      </c>
      <c r="N724" s="279" t="str">
        <f>IF(AI95="","",AI95)</f>
        <v>NA</v>
      </c>
      <c r="U724" s="258"/>
      <c r="V724" s="394"/>
      <c r="W724" s="394"/>
      <c r="X724" s="392"/>
      <c r="Y724" s="395"/>
      <c r="Z724" s="395"/>
      <c r="AA724" s="395"/>
      <c r="AB724" s="395"/>
      <c r="AC724" s="395"/>
      <c r="AD724" s="395"/>
      <c r="AE724" s="395"/>
      <c r="AF724" s="395"/>
      <c r="AG724" s="395"/>
      <c r="AH724" s="395"/>
      <c r="AI724" s="395"/>
    </row>
    <row r="725" spans="2:35" ht="11.25" hidden="1" customHeight="1" outlineLevel="1" x14ac:dyDescent="0.35">
      <c r="B725" s="244" t="s">
        <v>5368</v>
      </c>
      <c r="C725" s="245"/>
      <c r="D725" s="279" t="str">
        <f>IF(Y96="","",Y96)</f>
        <v>NA</v>
      </c>
      <c r="E725" s="279" t="str">
        <f>IF(Z96="","",Z96)</f>
        <v>NA</v>
      </c>
      <c r="F725" s="279" t="str">
        <f>IF(AA96="","",AA96)</f>
        <v>NA</v>
      </c>
      <c r="G725" s="279" t="str">
        <f>IF(AB96="","",AB96)</f>
        <v>NA</v>
      </c>
      <c r="H725" s="279" t="str">
        <f>IF(AC96="","",AC96)</f>
        <v>NA</v>
      </c>
      <c r="I725" s="279" t="str">
        <f>IF(AD96="","",AD96)</f>
        <v>NA</v>
      </c>
      <c r="J725" s="279" t="str">
        <f>IF(AE96="","",AE96)</f>
        <v>NA</v>
      </c>
      <c r="K725" s="279" t="str">
        <f>IF(AF96="","",AF96)</f>
        <v>NA</v>
      </c>
      <c r="L725" s="279" t="str">
        <f>IF(AG96="","",AG96)</f>
        <v>NA</v>
      </c>
      <c r="M725" s="279" t="str">
        <f>IF(AH96="","",AH96)</f>
        <v>NA</v>
      </c>
      <c r="N725" s="279" t="str">
        <f>IF(AI96="","",AI96)</f>
        <v>NA</v>
      </c>
      <c r="U725" s="258"/>
      <c r="V725" s="394"/>
      <c r="W725" s="394"/>
      <c r="X725" s="392"/>
      <c r="Y725" s="395"/>
      <c r="Z725" s="395"/>
      <c r="AA725" s="395"/>
      <c r="AB725" s="395"/>
      <c r="AC725" s="395"/>
      <c r="AD725" s="395"/>
      <c r="AE725" s="395"/>
      <c r="AF725" s="395"/>
      <c r="AG725" s="395"/>
      <c r="AH725" s="395"/>
      <c r="AI725" s="395"/>
    </row>
    <row r="726" spans="2:35" ht="11.25" hidden="1" customHeight="1" outlineLevel="1" x14ac:dyDescent="0.35">
      <c r="B726" s="244" t="s">
        <v>5369</v>
      </c>
      <c r="C726" s="245"/>
      <c r="D726" s="279" t="str">
        <f>IF(Y97="","",Y97)</f>
        <v>NA</v>
      </c>
      <c r="E726" s="279" t="str">
        <f>IF(Z97="","",Z97)</f>
        <v>NA</v>
      </c>
      <c r="F726" s="279" t="str">
        <f>IF(AA97="","",AA97)</f>
        <v>NA</v>
      </c>
      <c r="G726" s="279" t="str">
        <f>IF(AB97="","",AB97)</f>
        <v>NA</v>
      </c>
      <c r="H726" s="279" t="str">
        <f>IF(AC97="","",AC97)</f>
        <v>NA</v>
      </c>
      <c r="I726" s="279" t="str">
        <f>IF(AD97="","",AD97)</f>
        <v>NA</v>
      </c>
      <c r="J726" s="279" t="str">
        <f>IF(AE97="","",AE97)</f>
        <v>NA</v>
      </c>
      <c r="K726" s="279" t="str">
        <f>IF(AF97="","",AF97)</f>
        <v>NA</v>
      </c>
      <c r="L726" s="279" t="str">
        <f>IF(AG97="","",AG97)</f>
        <v>NA</v>
      </c>
      <c r="M726" s="279" t="str">
        <f>IF(AH97="","",AH97)</f>
        <v>NA</v>
      </c>
      <c r="N726" s="279" t="str">
        <f>IF(AI97="","",AI97)</f>
        <v>NA</v>
      </c>
      <c r="U726" s="258"/>
      <c r="V726" s="394"/>
      <c r="W726" s="394"/>
      <c r="X726" s="392"/>
      <c r="Y726" s="395"/>
      <c r="Z726" s="395"/>
      <c r="AA726" s="395"/>
      <c r="AB726" s="395"/>
      <c r="AC726" s="395"/>
      <c r="AD726" s="395"/>
      <c r="AE726" s="395"/>
      <c r="AF726" s="395"/>
      <c r="AG726" s="395"/>
      <c r="AH726" s="395"/>
      <c r="AI726" s="395"/>
    </row>
    <row r="727" spans="2:35" ht="11.25" hidden="1" customHeight="1" outlineLevel="1" x14ac:dyDescent="0.35">
      <c r="B727" s="244" t="s">
        <v>5370</v>
      </c>
      <c r="C727" s="247"/>
      <c r="D727" s="279" t="str">
        <f>IF(Y98="","",Y98)</f>
        <v>NA</v>
      </c>
      <c r="E727" s="279" t="str">
        <f>IF(Z98="","",Z98)</f>
        <v>NA</v>
      </c>
      <c r="F727" s="279" t="str">
        <f>IF(AA98="","",AA98)</f>
        <v>NA</v>
      </c>
      <c r="G727" s="279" t="str">
        <f>IF(AB98="","",AB98)</f>
        <v>NA</v>
      </c>
      <c r="H727" s="279" t="str">
        <f>IF(AC98="","",AC98)</f>
        <v>NA</v>
      </c>
      <c r="I727" s="279" t="str">
        <f>IF(AD98="","",AD98)</f>
        <v>NA</v>
      </c>
      <c r="J727" s="279" t="str">
        <f>IF(AE98="","",AE98)</f>
        <v>NA</v>
      </c>
      <c r="K727" s="279" t="str">
        <f>IF(AF98="","",AF98)</f>
        <v>NA</v>
      </c>
      <c r="L727" s="279" t="str">
        <f>IF(AG98="","",AG98)</f>
        <v>NA</v>
      </c>
      <c r="M727" s="279" t="str">
        <f>IF(AH98="","",AH98)</f>
        <v>NA</v>
      </c>
      <c r="N727" s="279" t="str">
        <f>IF(AI98="","",AI98)</f>
        <v>NA</v>
      </c>
      <c r="U727" s="258"/>
      <c r="V727" s="394"/>
      <c r="W727" s="394"/>
      <c r="X727" s="392"/>
      <c r="Y727" s="395"/>
      <c r="Z727" s="395"/>
      <c r="AA727" s="395"/>
      <c r="AB727" s="395"/>
      <c r="AC727" s="395"/>
      <c r="AD727" s="395"/>
      <c r="AE727" s="395"/>
      <c r="AF727" s="395"/>
      <c r="AG727" s="395"/>
      <c r="AH727" s="395"/>
      <c r="AI727" s="395"/>
    </row>
    <row r="728" spans="2:35" ht="11.25" hidden="1" customHeight="1" outlineLevel="1" x14ac:dyDescent="0.35">
      <c r="B728" s="244" t="s">
        <v>5371</v>
      </c>
      <c r="C728" s="247"/>
      <c r="D728" s="279" t="str">
        <f>IF(Y99="","",Y99)</f>
        <v>NA</v>
      </c>
      <c r="E728" s="279" t="str">
        <f>IF(Z99="","",Z99)</f>
        <v>NA</v>
      </c>
      <c r="F728" s="279" t="str">
        <f>IF(AA99="","",AA99)</f>
        <v>NA</v>
      </c>
      <c r="G728" s="279" t="str">
        <f>IF(AB99="","",AB99)</f>
        <v>NA</v>
      </c>
      <c r="H728" s="279" t="str">
        <f>IF(AC99="","",AC99)</f>
        <v>NA</v>
      </c>
      <c r="I728" s="279" t="str">
        <f>IF(AD99="","",AD99)</f>
        <v>NA</v>
      </c>
      <c r="J728" s="279" t="str">
        <f>IF(AE99="","",AE99)</f>
        <v>NA</v>
      </c>
      <c r="K728" s="279" t="str">
        <f>IF(AF99="","",AF99)</f>
        <v>NA</v>
      </c>
      <c r="L728" s="279" t="str">
        <f>IF(AG99="","",AG99)</f>
        <v>NA</v>
      </c>
      <c r="M728" s="279" t="str">
        <f>IF(AH99="","",AH99)</f>
        <v>NA</v>
      </c>
      <c r="N728" s="279" t="str">
        <f>IF(AI99="","",AI99)</f>
        <v>NA</v>
      </c>
      <c r="U728" s="258"/>
      <c r="V728" s="394"/>
      <c r="W728" s="394"/>
      <c r="X728" s="392"/>
      <c r="Y728" s="395"/>
      <c r="Z728" s="395"/>
      <c r="AA728" s="395"/>
      <c r="AB728" s="395"/>
      <c r="AC728" s="395"/>
      <c r="AD728" s="395"/>
      <c r="AE728" s="395"/>
      <c r="AF728" s="395"/>
      <c r="AG728" s="395"/>
      <c r="AH728" s="395"/>
      <c r="AI728" s="395"/>
    </row>
    <row r="729" spans="2:35" ht="11.25" hidden="1" customHeight="1" outlineLevel="1" x14ac:dyDescent="0.35">
      <c r="B729" s="244" t="s">
        <v>5372</v>
      </c>
      <c r="C729" s="245"/>
      <c r="D729" s="279" t="str">
        <f>IF(Y100="","",Y100)</f>
        <v>NA</v>
      </c>
      <c r="E729" s="279" t="str">
        <f>IF(Z100="","",Z100)</f>
        <v>NA</v>
      </c>
      <c r="F729" s="279" t="str">
        <f>IF(AA100="","",AA100)</f>
        <v>NA</v>
      </c>
      <c r="G729" s="279" t="str">
        <f>IF(AB100="","",AB100)</f>
        <v>NA</v>
      </c>
      <c r="H729" s="279" t="str">
        <f>IF(AC100="","",AC100)</f>
        <v>NA</v>
      </c>
      <c r="I729" s="279" t="str">
        <f>IF(AD100="","",AD100)</f>
        <v>NA</v>
      </c>
      <c r="J729" s="279" t="str">
        <f>IF(AE100="","",AE100)</f>
        <v>NA</v>
      </c>
      <c r="K729" s="279" t="str">
        <f>IF(AF100="","",AF100)</f>
        <v>NA</v>
      </c>
      <c r="L729" s="279" t="str">
        <f>IF(AG100="","",AG100)</f>
        <v>NA</v>
      </c>
      <c r="M729" s="279" t="str">
        <f>IF(AH100="","",AH100)</f>
        <v>NA</v>
      </c>
      <c r="N729" s="279" t="str">
        <f>IF(AI100="","",AI100)</f>
        <v>NA</v>
      </c>
      <c r="U729" s="258"/>
      <c r="V729" s="394"/>
      <c r="W729" s="394"/>
      <c r="X729" s="392"/>
      <c r="Y729" s="395"/>
      <c r="Z729" s="395"/>
      <c r="AA729" s="395"/>
      <c r="AB729" s="395"/>
      <c r="AC729" s="395"/>
      <c r="AD729" s="395"/>
      <c r="AE729" s="395"/>
      <c r="AF729" s="395"/>
      <c r="AG729" s="395"/>
      <c r="AH729" s="395"/>
      <c r="AI729" s="395"/>
    </row>
    <row r="730" spans="2:35" ht="11.25" hidden="1" customHeight="1" outlineLevel="1" x14ac:dyDescent="0.35">
      <c r="B730" s="244"/>
      <c r="C730" s="245"/>
      <c r="D730" s="278"/>
      <c r="E730" s="278"/>
      <c r="F730" s="278"/>
      <c r="G730" s="278"/>
      <c r="H730" s="278"/>
      <c r="I730" s="278"/>
      <c r="J730" s="278"/>
      <c r="K730" s="278"/>
      <c r="L730" s="278"/>
      <c r="M730" s="278"/>
      <c r="N730" s="278"/>
    </row>
    <row r="731" spans="2:35" ht="11.25" customHeight="1" collapsed="1" x14ac:dyDescent="0.35">
      <c r="B731" s="246" t="s">
        <v>5510</v>
      </c>
      <c r="C731" s="245"/>
      <c r="D731" s="278"/>
      <c r="E731" s="278"/>
      <c r="F731" s="278"/>
      <c r="G731" s="278"/>
      <c r="H731" s="278"/>
      <c r="I731" s="278"/>
      <c r="J731" s="278"/>
      <c r="K731" s="278"/>
      <c r="L731" s="278"/>
      <c r="M731" s="278"/>
      <c r="N731" s="278"/>
    </row>
    <row r="732" spans="2:35" ht="11.25" customHeight="1" x14ac:dyDescent="0.35">
      <c r="B732" s="244" t="s">
        <v>5126</v>
      </c>
      <c r="C732" s="245">
        <v>123627</v>
      </c>
      <c r="D732" s="278">
        <v>27.387554300000001</v>
      </c>
      <c r="E732" s="278" t="s">
        <v>29</v>
      </c>
      <c r="F732" s="278" t="s">
        <v>29</v>
      </c>
      <c r="G732" s="278" t="s">
        <v>29</v>
      </c>
      <c r="H732" s="278" t="s">
        <v>29</v>
      </c>
      <c r="I732" s="278" t="s">
        <v>29</v>
      </c>
      <c r="J732" s="278" t="s">
        <v>29</v>
      </c>
      <c r="K732" s="278" t="s">
        <v>2107</v>
      </c>
      <c r="L732" s="278" t="s">
        <v>29</v>
      </c>
      <c r="M732" s="278" t="s">
        <v>29</v>
      </c>
      <c r="N732" s="278" t="s">
        <v>29</v>
      </c>
    </row>
    <row r="733" spans="2:35" ht="11.25" customHeight="1" x14ac:dyDescent="0.35">
      <c r="B733" s="244" t="s">
        <v>5125</v>
      </c>
      <c r="C733" s="245">
        <v>123631</v>
      </c>
      <c r="D733" s="278">
        <v>42.943347699999997</v>
      </c>
      <c r="E733" s="278">
        <v>155.42851780000001</v>
      </c>
      <c r="F733" s="278">
        <v>43.212827400000002</v>
      </c>
      <c r="G733" s="278">
        <v>7.0425483</v>
      </c>
      <c r="H733" s="278" t="s">
        <v>29</v>
      </c>
      <c r="I733" s="278">
        <v>23.080870399999998</v>
      </c>
      <c r="J733" s="278">
        <v>56.789742699999998</v>
      </c>
      <c r="K733" s="278">
        <v>109.040256</v>
      </c>
      <c r="L733" s="278">
        <v>92.687515099999999</v>
      </c>
      <c r="M733" s="278">
        <v>128.7913255</v>
      </c>
      <c r="N733" s="278">
        <v>30.990264499999999</v>
      </c>
    </row>
    <row r="734" spans="2:35" ht="11.25" customHeight="1" x14ac:dyDescent="0.35">
      <c r="B734" s="244" t="s">
        <v>5124</v>
      </c>
      <c r="C734" s="245">
        <v>123635</v>
      </c>
      <c r="D734" s="278">
        <v>18.481175100000002</v>
      </c>
      <c r="E734" s="278">
        <v>4361.3031408999996</v>
      </c>
      <c r="F734" s="278">
        <v>132.1404746</v>
      </c>
      <c r="G734" s="278">
        <v>0.78519709999999998</v>
      </c>
      <c r="H734" s="278" t="s">
        <v>29</v>
      </c>
      <c r="I734" s="278" t="s">
        <v>2107</v>
      </c>
      <c r="J734" s="278">
        <v>42.773417000000002</v>
      </c>
      <c r="K734" s="278">
        <v>1316.4237981000001</v>
      </c>
      <c r="L734" s="278">
        <v>1206.2205630999999</v>
      </c>
      <c r="M734" s="278" t="s">
        <v>29</v>
      </c>
      <c r="N734" s="278" t="s">
        <v>2107</v>
      </c>
    </row>
    <row r="735" spans="2:35" ht="11.25" customHeight="1" x14ac:dyDescent="0.35">
      <c r="B735" s="244" t="s">
        <v>5123</v>
      </c>
      <c r="C735" s="247">
        <v>123643</v>
      </c>
      <c r="D735" s="278">
        <v>45.635522600000002</v>
      </c>
      <c r="E735" s="307" t="s">
        <v>2107</v>
      </c>
      <c r="F735" s="307" t="s">
        <v>29</v>
      </c>
      <c r="G735" s="307" t="s">
        <v>29</v>
      </c>
      <c r="H735" s="307" t="s">
        <v>29</v>
      </c>
      <c r="I735" s="307">
        <v>137.83657220000001</v>
      </c>
      <c r="J735" s="307" t="s">
        <v>29</v>
      </c>
      <c r="K735" s="307" t="s">
        <v>29</v>
      </c>
      <c r="L735" s="307" t="s">
        <v>29</v>
      </c>
      <c r="M735" s="307" t="s">
        <v>29</v>
      </c>
      <c r="N735" s="307" t="s">
        <v>29</v>
      </c>
    </row>
    <row r="736" spans="2:35" ht="11.25" customHeight="1" x14ac:dyDescent="0.35">
      <c r="B736" s="244" t="s">
        <v>5122</v>
      </c>
      <c r="C736" s="245">
        <v>123647</v>
      </c>
      <c r="D736" s="278">
        <v>76.960807500000001</v>
      </c>
      <c r="E736" s="307">
        <v>103.173641</v>
      </c>
      <c r="F736" s="307" t="s">
        <v>2107</v>
      </c>
      <c r="G736" s="307">
        <v>77.186550699999998</v>
      </c>
      <c r="H736" s="307" t="s">
        <v>29</v>
      </c>
      <c r="I736" s="307">
        <v>222.7972953</v>
      </c>
      <c r="J736" s="307" t="s">
        <v>2107</v>
      </c>
      <c r="K736" s="307">
        <v>198.54281140000001</v>
      </c>
      <c r="L736" s="307" t="s">
        <v>29</v>
      </c>
      <c r="M736" s="307" t="s">
        <v>29</v>
      </c>
      <c r="N736" s="307">
        <v>60.003401400000001</v>
      </c>
    </row>
    <row r="737" spans="2:14" ht="11.25" customHeight="1" x14ac:dyDescent="0.35">
      <c r="B737" s="244" t="s">
        <v>5121</v>
      </c>
      <c r="C737" s="245">
        <v>123651</v>
      </c>
      <c r="D737" s="278">
        <v>22.3515692</v>
      </c>
      <c r="E737" s="307" t="s">
        <v>2107</v>
      </c>
      <c r="F737" s="307" t="s">
        <v>29</v>
      </c>
      <c r="G737" s="307" t="s">
        <v>29</v>
      </c>
      <c r="H737" s="307" t="s">
        <v>29</v>
      </c>
      <c r="I737" s="307" t="s">
        <v>2107</v>
      </c>
      <c r="J737" s="307">
        <v>414.32231489999998</v>
      </c>
      <c r="K737" s="307">
        <v>920.64627589999998</v>
      </c>
      <c r="L737" s="307" t="s">
        <v>29</v>
      </c>
      <c r="M737" s="307" t="s">
        <v>29</v>
      </c>
      <c r="N737" s="307" t="s">
        <v>29</v>
      </c>
    </row>
    <row r="738" spans="2:14" ht="11.25" customHeight="1" x14ac:dyDescent="0.35">
      <c r="B738" s="244" t="s">
        <v>5120</v>
      </c>
      <c r="C738" s="245">
        <v>123655</v>
      </c>
      <c r="D738" s="278">
        <v>74.295560499999993</v>
      </c>
      <c r="E738" s="307">
        <v>46.033054700000001</v>
      </c>
      <c r="F738" s="307" t="s">
        <v>29</v>
      </c>
      <c r="G738" s="307">
        <v>44.192885799999999</v>
      </c>
      <c r="H738" s="307">
        <v>54.747453700000001</v>
      </c>
      <c r="I738" s="307">
        <v>110.0640238</v>
      </c>
      <c r="J738" s="307">
        <v>37.181331399999998</v>
      </c>
      <c r="K738" s="307">
        <v>67.896595399999995</v>
      </c>
      <c r="L738" s="307" t="s">
        <v>29</v>
      </c>
      <c r="M738" s="307" t="s">
        <v>29</v>
      </c>
      <c r="N738" s="307">
        <v>47.539475699999997</v>
      </c>
    </row>
    <row r="739" spans="2:14" ht="11.25" customHeight="1" x14ac:dyDescent="0.35">
      <c r="B739" s="244" t="s">
        <v>5119</v>
      </c>
      <c r="C739" s="245">
        <v>123659</v>
      </c>
      <c r="D739" s="278">
        <v>40.543226500000003</v>
      </c>
      <c r="E739" s="307" t="s">
        <v>2107</v>
      </c>
      <c r="F739" s="307" t="s">
        <v>29</v>
      </c>
      <c r="G739" s="307" t="s">
        <v>29</v>
      </c>
      <c r="H739" s="307" t="s">
        <v>29</v>
      </c>
      <c r="I739" s="307" t="s">
        <v>29</v>
      </c>
      <c r="J739" s="307" t="s">
        <v>29</v>
      </c>
      <c r="K739" s="307" t="s">
        <v>29</v>
      </c>
      <c r="L739" s="307" t="s">
        <v>29</v>
      </c>
      <c r="M739" s="307" t="s">
        <v>29</v>
      </c>
      <c r="N739" s="307" t="s">
        <v>29</v>
      </c>
    </row>
    <row r="740" spans="2:14" ht="11.25" customHeight="1" x14ac:dyDescent="0.35">
      <c r="B740" s="244" t="s">
        <v>5107</v>
      </c>
      <c r="C740" s="245">
        <v>123663</v>
      </c>
      <c r="D740" s="278">
        <v>68.785835199999994</v>
      </c>
      <c r="E740" s="307">
        <v>195.33902950000001</v>
      </c>
      <c r="F740" s="307">
        <v>-3.4146841999999999</v>
      </c>
      <c r="G740" s="307">
        <v>54.445943399999997</v>
      </c>
      <c r="H740" s="307">
        <v>67.142217400000007</v>
      </c>
      <c r="I740" s="307">
        <v>37.309768699999999</v>
      </c>
      <c r="J740" s="307">
        <v>61.437870099999998</v>
      </c>
      <c r="K740" s="307">
        <v>67.110652200000004</v>
      </c>
      <c r="L740" s="307">
        <v>98.042809700000007</v>
      </c>
      <c r="M740" s="307">
        <v>47.947499700000002</v>
      </c>
      <c r="N740" s="307">
        <v>45.228254999999997</v>
      </c>
    </row>
    <row r="741" spans="2:14" ht="11.25" customHeight="1" x14ac:dyDescent="0.35">
      <c r="B741" s="244" t="s">
        <v>4946</v>
      </c>
      <c r="C741" s="247"/>
      <c r="D741" s="278"/>
      <c r="E741" s="307"/>
      <c r="F741" s="307"/>
      <c r="G741" s="307"/>
      <c r="H741" s="307"/>
      <c r="I741" s="307"/>
      <c r="J741" s="307"/>
      <c r="K741" s="307"/>
      <c r="L741" s="307"/>
      <c r="M741" s="307"/>
      <c r="N741" s="307"/>
    </row>
    <row r="742" spans="2:14" ht="11.25" customHeight="1" x14ac:dyDescent="0.35">
      <c r="B742" s="246" t="s">
        <v>5132</v>
      </c>
      <c r="C742" s="245"/>
      <c r="D742" s="278"/>
      <c r="E742" s="307"/>
      <c r="F742" s="307"/>
      <c r="G742" s="307"/>
      <c r="H742" s="307"/>
      <c r="I742" s="307"/>
      <c r="J742" s="307"/>
      <c r="K742" s="307"/>
      <c r="L742" s="307"/>
      <c r="M742" s="307"/>
      <c r="N742" s="307"/>
    </row>
    <row r="743" spans="2:14" ht="11.25" customHeight="1" x14ac:dyDescent="0.35">
      <c r="B743" s="244" t="s">
        <v>5130</v>
      </c>
      <c r="C743" s="245"/>
      <c r="D743" s="278">
        <f>IF(LEFT(D$6,4)&gt;"2018",IFERROR(100*D765/SUM(D778,D791),"NA"),D749)</f>
        <v>17.071829000000001</v>
      </c>
      <c r="E743" s="278">
        <f>IF(LEFT(E$6,4)&gt;"2018",IFERROR(100*E765/SUM(E778,E791),"NA"),E749)</f>
        <v>1.0727203999999999</v>
      </c>
      <c r="F743" s="278">
        <f>IF(LEFT(F$6,4)&gt;"2018",IFERROR(100*F765/SUM(F778,F791),"NA"),F749)</f>
        <v>6.8870544000000002</v>
      </c>
      <c r="G743" s="278">
        <f>IF(LEFT(G$6,4)&gt;"2018",IFERROR(100*G765/SUM(G778,G791),"NA"),G749)</f>
        <v>3.9230288999999998</v>
      </c>
      <c r="H743" s="278" t="str">
        <f>IF(LEFT(H$6,4)&gt;"2018",IFERROR(100*H765/SUM(H778,H791),"NA"),H749)</f>
        <v>NA</v>
      </c>
      <c r="I743" s="278">
        <f>IF(LEFT(I$6,4)&gt;"2018",IFERROR(100*I765/SUM(I778,I791),"NA"),I749)</f>
        <v>18.0903785</v>
      </c>
      <c r="J743" s="278">
        <f>IF(LEFT(J$6,4)&gt;"2018",IFERROR(100*J765/SUM(J778,J791),"NA"),J749)</f>
        <v>14.1968464</v>
      </c>
      <c r="K743" s="278">
        <f>IF(LEFT(K$6,4)&gt;"2018",IFERROR(100*K765/SUM(K778,K791),"NA"),K749)</f>
        <v>36.926660400000003</v>
      </c>
      <c r="L743" s="278">
        <f>IF(LEFT(L$6,4)&gt;"2018",IFERROR(100*L765/SUM(L778,L791),"NA"),L749)</f>
        <v>23.924295399999998</v>
      </c>
      <c r="M743" s="278">
        <f>IF(LEFT(M$6,4)&gt;"2018",IFERROR(100*M765/SUM(M778,M791),"NA"),M749)</f>
        <v>27.3038661</v>
      </c>
      <c r="N743" s="278">
        <f>IF(LEFT(N$6,4)&gt;"2018",IFERROR(100*N765/SUM(N778,N791),"NA"),N749)</f>
        <v>15.633442799999999</v>
      </c>
    </row>
    <row r="744" spans="2:14" ht="11.25" customHeight="1" x14ac:dyDescent="0.35">
      <c r="B744" s="244" t="s">
        <v>5129</v>
      </c>
      <c r="C744" s="245"/>
      <c r="D744" s="278">
        <f>IF(LEFT(D$6,4)&gt;"2018",IFERROR(100*D766/SUM(D779,D792),"NA"),D750)</f>
        <v>4.3756664000000001</v>
      </c>
      <c r="E744" s="278">
        <f>IF(LEFT(E$6,4)&gt;"2018",IFERROR(100*E766/SUM(E779,E792),"NA"),E750)</f>
        <v>142.96213069999999</v>
      </c>
      <c r="F744" s="278">
        <f>IF(LEFT(F$6,4)&gt;"2018",IFERROR(100*F766/SUM(F779,F792),"NA"),F750)</f>
        <v>521.37733809999997</v>
      </c>
      <c r="G744" s="278">
        <f>IF(LEFT(G$6,4)&gt;"2018",IFERROR(100*G766/SUM(G779,G792),"NA"),G750)</f>
        <v>2.7600433</v>
      </c>
      <c r="H744" s="278" t="str">
        <f>IF(LEFT(H$6,4)&gt;"2018",IFERROR(100*H766/SUM(H779,H792),"NA"),H750)</f>
        <v>NA</v>
      </c>
      <c r="I744" s="278" t="str">
        <f>IF(LEFT(I$6,4)&gt;"2018",IFERROR(100*I766/SUM(I779,I792),"NA"),I750)</f>
        <v>NM</v>
      </c>
      <c r="J744" s="278">
        <f>IF(LEFT(J$6,4)&gt;"2018",IFERROR(100*J766/SUM(J779,J792),"NA"),J750)</f>
        <v>4.9234796999999997</v>
      </c>
      <c r="K744" s="278">
        <f>IF(LEFT(K$6,4)&gt;"2018",IFERROR(100*K766/SUM(K779,K792),"NA"),K750)</f>
        <v>211.55537989999999</v>
      </c>
      <c r="L744" s="278">
        <f>IF(LEFT(L$6,4)&gt;"2018",IFERROR(100*L766/SUM(L779,L792),"NA"),L750)</f>
        <v>76.326882600000005</v>
      </c>
      <c r="M744" s="278" t="str">
        <f>IF(LEFT(M$6,4)&gt;"2018",IFERROR(100*M766/SUM(M779,M792),"NA"),M750)</f>
        <v>NA</v>
      </c>
      <c r="N744" s="278" t="str">
        <f>IF(LEFT(N$6,4)&gt;"2018",IFERROR(100*N766/SUM(N779,N792),"NA"),N750)</f>
        <v>NA</v>
      </c>
    </row>
    <row r="745" spans="2:14" ht="11.25" customHeight="1" x14ac:dyDescent="0.35">
      <c r="B745" s="244" t="s">
        <v>5128</v>
      </c>
      <c r="C745" s="245"/>
      <c r="D745" s="278">
        <f>IF(LEFT(D$6,4)&gt;"2018",IFERROR(100*D761/SUM(D774,D787),"NA"),D751)</f>
        <v>12.1117401</v>
      </c>
      <c r="E745" s="278">
        <f>IF(LEFT(E$6,4)&gt;"2018",IFERROR(100*E761/SUM(E774,E787),"NA"),E751)</f>
        <v>6.6157751999999999</v>
      </c>
      <c r="F745" s="278">
        <f>IF(LEFT(F$6,4)&gt;"2018",IFERROR(100*F761/SUM(F774,F787),"NA"),F751)</f>
        <v>0</v>
      </c>
      <c r="G745" s="278">
        <f>IF(LEFT(G$6,4)&gt;"2018",IFERROR(100*G761/SUM(G774,G787),"NA"),G751)</f>
        <v>17.498177699999999</v>
      </c>
      <c r="H745" s="278">
        <f>IF(LEFT(H$6,4)&gt;"2018",IFERROR(100*H761/SUM(H774,H787),"NA"),H751)</f>
        <v>7.3801306999999996</v>
      </c>
      <c r="I745" s="278">
        <f>IF(LEFT(I$6,4)&gt;"2018",IFERROR(100*I761/SUM(I774,I787),"NA"),I751)</f>
        <v>25.1884464</v>
      </c>
      <c r="J745" s="278">
        <f>IF(LEFT(J$6,4)&gt;"2018",IFERROR(100*J761/SUM(J774,J787),"NA"),J751)</f>
        <v>12.687833899999999</v>
      </c>
      <c r="K745" s="278">
        <f>IF(LEFT(K$6,4)&gt;"2018",IFERROR(100*K761/SUM(K774,K787),"NA"),K751)</f>
        <v>18.457745800000001</v>
      </c>
      <c r="L745" s="278">
        <f>IF(LEFT(L$6,4)&gt;"2018",IFERROR(100*L761/SUM(L774,L787),"NA"),L751)</f>
        <v>35.224603799999997</v>
      </c>
      <c r="M745" s="278">
        <f>IF(LEFT(M$6,4)&gt;"2018",IFERROR(100*M761/SUM(M774,M787),"NA"),M751)</f>
        <v>103.3675327</v>
      </c>
      <c r="N745" s="278">
        <f>IF(LEFT(N$6,4)&gt;"2018",IFERROR(100*N761/SUM(N774,N787),"NA"),N751)</f>
        <v>15.9392353</v>
      </c>
    </row>
    <row r="746" spans="2:14" ht="11.25" customHeight="1" x14ac:dyDescent="0.35">
      <c r="B746" s="244" t="s">
        <v>5387</v>
      </c>
      <c r="C746" s="245"/>
      <c r="D746" s="278">
        <f>IF(LEFT(D$6,4)&gt;"2018","NA",D752)</f>
        <v>33.745591400000002</v>
      </c>
      <c r="E746" s="278" t="str">
        <f>IF(LEFT(E$6,4)&gt;"2018","NA",E752)</f>
        <v>NM</v>
      </c>
      <c r="F746" s="278" t="str">
        <f>IF(LEFT(F$6,4)&gt;"2018","NA",F752)</f>
        <v>NA</v>
      </c>
      <c r="G746" s="278" t="str">
        <f>IF(LEFT(G$6,4)&gt;"2018","NA",G752)</f>
        <v>NA</v>
      </c>
      <c r="H746" s="278" t="str">
        <f>IF(LEFT(H$6,4)&gt;"2018","NA",H752)</f>
        <v>NA</v>
      </c>
      <c r="I746" s="278">
        <f>IF(LEFT(I$6,4)&gt;"2018","NA",I752)</f>
        <v>0</v>
      </c>
      <c r="J746" s="278" t="str">
        <f>IF(LEFT(J$6,4)&gt;"2018","NA",J752)</f>
        <v>NA</v>
      </c>
      <c r="K746" s="278" t="str">
        <f>IF(LEFT(K$6,4)&gt;"2018","NA",K752)</f>
        <v>NA</v>
      </c>
      <c r="L746" s="278" t="str">
        <f>IF(LEFT(L$6,4)&gt;"2018","NA",L752)</f>
        <v>NA</v>
      </c>
      <c r="M746" s="278" t="str">
        <f>IF(LEFT(M$6,4)&gt;"2018","NA",M752)</f>
        <v>NA</v>
      </c>
      <c r="N746" s="278" t="str">
        <f>IF(LEFT(N$6,4)&gt;"2018","NA",N752)</f>
        <v>NA</v>
      </c>
    </row>
    <row r="747" spans="2:14" ht="11.25" customHeight="1" x14ac:dyDescent="0.35">
      <c r="B747" s="244" t="s">
        <v>5127</v>
      </c>
      <c r="C747" s="245"/>
      <c r="D747" s="278">
        <f>IF(LEFT(D$6,4)&gt;"2018",IFERROR(100*SUM(D762:D764)/SUM(D775:D777,D788:D790),"NA"),D753)</f>
        <v>47.615303599999997</v>
      </c>
      <c r="E747" s="278" t="str">
        <f>IF(LEFT(E$6,4)&gt;"2018",IFERROR(100*SUM(E762:E764)/SUM(E775:E777,E788:E790),"NA"),E753)</f>
        <v>NA</v>
      </c>
      <c r="F747" s="278">
        <f>IF(LEFT(F$6,4)&gt;"2018",IFERROR(100*SUM(F762:F764)/SUM(F775:F777,F788:F790),"NA"),F753)</f>
        <v>3.5758333000000002</v>
      </c>
      <c r="G747" s="278" t="str">
        <f>IF(LEFT(G$6,4)&gt;"2018",IFERROR(100*SUM(G762:G764)/SUM(G775:G777,G788:G790),"NA"),G753)</f>
        <v>NA</v>
      </c>
      <c r="H747" s="278" t="str">
        <f>IF(LEFT(H$6,4)&gt;"2018",IFERROR(100*SUM(H762:H764)/SUM(H775:H777,H788:H790),"NA"),H753)</f>
        <v>NM</v>
      </c>
      <c r="I747" s="278" t="str">
        <f>IF(LEFT(I$6,4)&gt;"2018",IFERROR(100*SUM(I762:I764)/SUM(I775:I777,I788:I790),"NA"),I753)</f>
        <v>NM</v>
      </c>
      <c r="J747" s="278">
        <f>IF(LEFT(J$6,4)&gt;"2018",IFERROR(100*SUM(J762:J764)/SUM(J775:J777,J788:J790),"NA"),J753)</f>
        <v>3.5148765000000002</v>
      </c>
      <c r="K747" s="278">
        <f>IF(LEFT(K$6,4)&gt;"2018",IFERROR(100*SUM(K762:K764)/SUM(K775:K777,K788:K790),"NA"),K753)</f>
        <v>745.06624939999995</v>
      </c>
      <c r="L747" s="278" t="str">
        <f>IF(LEFT(L$6,4)&gt;"2018",IFERROR(100*SUM(L762:L764)/SUM(L775:L777,L788:L790),"NA"),L753)</f>
        <v>NM</v>
      </c>
      <c r="M747" s="278" t="str">
        <f>IF(LEFT(M$6,4)&gt;"2018",IFERROR(100*SUM(M762:M764)/SUM(M775:M777,M788:M790),"NA"),M753)</f>
        <v>NA</v>
      </c>
      <c r="N747" s="278" t="str">
        <f>IF(LEFT(N$6,4)&gt;"2018",IFERROR(100*SUM(N762:N764)/SUM(N775:N777,N788:N790),"NA"),N753)</f>
        <v>NA</v>
      </c>
    </row>
    <row r="748" spans="2:14" ht="11.25" customHeight="1" x14ac:dyDescent="0.35">
      <c r="B748" s="244" t="s">
        <v>4946</v>
      </c>
      <c r="C748" s="245"/>
      <c r="D748" s="278"/>
      <c r="E748" s="307"/>
      <c r="F748" s="307"/>
      <c r="G748" s="307"/>
      <c r="H748" s="307"/>
      <c r="I748" s="307"/>
      <c r="J748" s="307"/>
      <c r="K748" s="307"/>
      <c r="L748" s="307"/>
      <c r="M748" s="307"/>
      <c r="N748" s="307"/>
    </row>
    <row r="749" spans="2:14" ht="11.25" hidden="1" customHeight="1" outlineLevel="1" x14ac:dyDescent="0.35">
      <c r="B749" s="244" t="s">
        <v>5130</v>
      </c>
      <c r="C749" s="245">
        <v>123608</v>
      </c>
      <c r="D749" s="278">
        <v>17.071829000000001</v>
      </c>
      <c r="E749" s="307">
        <v>1.0727203999999999</v>
      </c>
      <c r="F749" s="307">
        <v>6.8870544000000002</v>
      </c>
      <c r="G749" s="307">
        <v>3.9230288999999998</v>
      </c>
      <c r="H749" s="307" t="s">
        <v>29</v>
      </c>
      <c r="I749" s="307">
        <v>18.0903785</v>
      </c>
      <c r="J749" s="307">
        <v>14.1968464</v>
      </c>
      <c r="K749" s="307">
        <v>36.926660400000003</v>
      </c>
      <c r="L749" s="307">
        <v>23.924295399999998</v>
      </c>
      <c r="M749" s="307">
        <v>27.3038661</v>
      </c>
      <c r="N749" s="307">
        <v>15.633442799999999</v>
      </c>
    </row>
    <row r="750" spans="2:14" ht="11.25" hidden="1" customHeight="1" outlineLevel="1" x14ac:dyDescent="0.35">
      <c r="B750" s="244" t="s">
        <v>5129</v>
      </c>
      <c r="C750" s="245">
        <v>123612</v>
      </c>
      <c r="D750" s="278">
        <v>4.3756664000000001</v>
      </c>
      <c r="E750" s="307">
        <v>142.96213069999999</v>
      </c>
      <c r="F750" s="307">
        <v>521.37733809999997</v>
      </c>
      <c r="G750" s="307">
        <v>2.7600433</v>
      </c>
      <c r="H750" s="307" t="s">
        <v>29</v>
      </c>
      <c r="I750" s="307" t="s">
        <v>2107</v>
      </c>
      <c r="J750" s="307">
        <v>4.9234796999999997</v>
      </c>
      <c r="K750" s="307">
        <v>211.55537989999999</v>
      </c>
      <c r="L750" s="307">
        <v>76.326882600000005</v>
      </c>
      <c r="M750" s="307" t="s">
        <v>29</v>
      </c>
      <c r="N750" s="307" t="s">
        <v>29</v>
      </c>
    </row>
    <row r="751" spans="2:14" ht="11.25" hidden="1" customHeight="1" outlineLevel="1" x14ac:dyDescent="0.35">
      <c r="B751" s="244" t="s">
        <v>5128</v>
      </c>
      <c r="C751" s="245">
        <v>123616</v>
      </c>
      <c r="D751" s="278">
        <v>12.1117401</v>
      </c>
      <c r="E751" s="307">
        <v>6.6157751999999999</v>
      </c>
      <c r="F751" s="307">
        <v>0</v>
      </c>
      <c r="G751" s="307">
        <v>17.498177699999999</v>
      </c>
      <c r="H751" s="307">
        <v>7.3801306999999996</v>
      </c>
      <c r="I751" s="307">
        <v>25.1884464</v>
      </c>
      <c r="J751" s="307">
        <v>12.687833899999999</v>
      </c>
      <c r="K751" s="307">
        <v>18.457745800000001</v>
      </c>
      <c r="L751" s="307">
        <v>35.224603799999997</v>
      </c>
      <c r="M751" s="307">
        <v>103.3675327</v>
      </c>
      <c r="N751" s="307">
        <v>15.9392353</v>
      </c>
    </row>
    <row r="752" spans="2:14" ht="11.25" hidden="1" customHeight="1" outlineLevel="1" x14ac:dyDescent="0.35">
      <c r="B752" s="244" t="s">
        <v>5387</v>
      </c>
      <c r="C752" s="245">
        <v>123620</v>
      </c>
      <c r="D752" s="278">
        <v>33.745591400000002</v>
      </c>
      <c r="E752" s="307" t="s">
        <v>2107</v>
      </c>
      <c r="F752" s="307" t="s">
        <v>29</v>
      </c>
      <c r="G752" s="307" t="s">
        <v>29</v>
      </c>
      <c r="H752" s="307" t="s">
        <v>29</v>
      </c>
      <c r="I752" s="307">
        <v>0</v>
      </c>
      <c r="J752" s="307" t="s">
        <v>29</v>
      </c>
      <c r="K752" s="307" t="s">
        <v>29</v>
      </c>
      <c r="L752" s="307" t="s">
        <v>29</v>
      </c>
      <c r="M752" s="307" t="s">
        <v>29</v>
      </c>
      <c r="N752" s="307" t="s">
        <v>29</v>
      </c>
    </row>
    <row r="753" spans="2:35" ht="11.25" hidden="1" customHeight="1" outlineLevel="1" x14ac:dyDescent="0.35">
      <c r="B753" s="244" t="s">
        <v>5127</v>
      </c>
      <c r="C753" s="245">
        <v>123624</v>
      </c>
      <c r="D753" s="278">
        <v>47.615303599999997</v>
      </c>
      <c r="E753" s="307" t="s">
        <v>29</v>
      </c>
      <c r="F753" s="307">
        <v>3.5758333000000002</v>
      </c>
      <c r="G753" s="307" t="s">
        <v>29</v>
      </c>
      <c r="H753" s="307" t="s">
        <v>2107</v>
      </c>
      <c r="I753" s="307" t="s">
        <v>2107</v>
      </c>
      <c r="J753" s="307">
        <v>3.5148765000000002</v>
      </c>
      <c r="K753" s="307">
        <v>745.06624939999995</v>
      </c>
      <c r="L753" s="307" t="s">
        <v>2107</v>
      </c>
      <c r="M753" s="307" t="s">
        <v>29</v>
      </c>
      <c r="N753" s="307" t="s">
        <v>29</v>
      </c>
    </row>
    <row r="754" spans="2:35" ht="11.25" hidden="1" customHeight="1" outlineLevel="1" x14ac:dyDescent="0.55000000000000004">
      <c r="B754" s="244"/>
      <c r="C754" s="245"/>
      <c r="D754" s="278"/>
      <c r="E754" s="307"/>
      <c r="F754" s="307"/>
      <c r="G754" s="307"/>
      <c r="H754" s="307"/>
      <c r="I754" s="307"/>
      <c r="J754" s="307"/>
      <c r="K754" s="307"/>
      <c r="L754" s="307"/>
      <c r="M754" s="307"/>
      <c r="N754" s="307"/>
      <c r="U754" s="396" t="str">
        <f ca="1">[1]!snltable(287,$Y$754:$AI$754,$V$756:$V$766,$W$756:$W$766,,"Options:Curr=USD, Mag=Thousands, ConvMethod=SNLrecommended")</f>
        <v>SNLTable</v>
      </c>
      <c r="V754" s="397"/>
      <c r="W754" s="397"/>
      <c r="X754" s="397"/>
      <c r="Y754" s="298" t="str">
        <f ca="1">IF(Entity_Code="","",Entity_Code)</f>
        <v>I36</v>
      </c>
      <c r="Z754" s="298" t="str">
        <f ca="1">IF(Entity_C1="","",Entity_C1)</f>
        <v>C2874</v>
      </c>
      <c r="AA754" s="298" t="str">
        <f ca="1">IF(Entity_C2="","",Entity_C2)</f>
        <v>C5004</v>
      </c>
      <c r="AB754" s="298" t="str">
        <f ca="1">IF(Entity_C3="","",Entity_C3)</f>
        <v>C2093</v>
      </c>
      <c r="AC754" s="298" t="str">
        <f ca="1">IF(Entity_C4="","",Entity_C4)</f>
        <v>C2623</v>
      </c>
      <c r="AD754" s="298" t="str">
        <f ca="1">IF(Entity_C5="","",Entity_C5)</f>
        <v>C3048</v>
      </c>
      <c r="AE754" s="298" t="str">
        <f ca="1">IF(Entity_C6="","",Entity_C6)</f>
        <v>C2409</v>
      </c>
      <c r="AF754" s="298" t="str">
        <f ca="1">IF(Entity_C7="","",Entity_C7)</f>
        <v>C2921</v>
      </c>
      <c r="AG754" s="298" t="str">
        <f ca="1">IF(Entity_C8="","",Entity_C8)</f>
        <v>C2284</v>
      </c>
      <c r="AH754" s="298" t="str">
        <f ca="1">IF(Entity_C9="","",Entity_C9)</f>
        <v>C3613</v>
      </c>
      <c r="AI754" s="298" t="str">
        <f ca="1">IF(Entity_C10="","",Entity_C10)</f>
        <v>C2253</v>
      </c>
    </row>
    <row r="755" spans="2:35" ht="11.25" hidden="1" customHeight="1" outlineLevel="1" x14ac:dyDescent="0.55000000000000004">
      <c r="B755" s="246" t="s">
        <v>5478</v>
      </c>
      <c r="C755" s="245"/>
      <c r="D755" s="334"/>
      <c r="E755" s="334"/>
      <c r="F755" s="334"/>
      <c r="G755" s="334"/>
      <c r="H755" s="334"/>
      <c r="I755" s="334"/>
      <c r="J755" s="334"/>
      <c r="K755" s="334"/>
      <c r="L755" s="334"/>
      <c r="M755" s="334"/>
      <c r="N755" s="334"/>
      <c r="U755" s="403"/>
      <c r="V755" s="400"/>
      <c r="W755" s="400"/>
      <c r="X755" s="400"/>
      <c r="Y755" s="402"/>
      <c r="Z755" s="402"/>
      <c r="AA755" s="402"/>
      <c r="AB755" s="402"/>
      <c r="AC755" s="402"/>
      <c r="AD755" s="402"/>
      <c r="AE755" s="402"/>
      <c r="AF755" s="402"/>
      <c r="AG755" s="402"/>
      <c r="AH755" s="402"/>
      <c r="AI755" s="402"/>
    </row>
    <row r="756" spans="2:35" ht="11.25" hidden="1" customHeight="1" outlineLevel="1" x14ac:dyDescent="0.35">
      <c r="B756" s="244" t="s">
        <v>5365</v>
      </c>
      <c r="C756" s="245"/>
      <c r="D756" s="279" t="str">
        <f>IF(Y756="","",Y756)</f>
        <v>NA</v>
      </c>
      <c r="E756" s="279" t="str">
        <f>IF(Z756="","",Z756)</f>
        <v>NA</v>
      </c>
      <c r="F756" s="279" t="str">
        <f>IF(AA756="","",AA756)</f>
        <v>NA</v>
      </c>
      <c r="G756" s="279" t="str">
        <f>IF(AB756="","",AB756)</f>
        <v>NA</v>
      </c>
      <c r="H756" s="279" t="str">
        <f>IF(AC756="","",AC756)</f>
        <v>NA</v>
      </c>
      <c r="I756" s="279" t="str">
        <f>IF(AD756="","",AD756)</f>
        <v>NA</v>
      </c>
      <c r="J756" s="279" t="str">
        <f>IF(AE756="","",AE756)</f>
        <v>NA</v>
      </c>
      <c r="K756" s="279" t="str">
        <f>IF(AF756="","",AF756)</f>
        <v>NA</v>
      </c>
      <c r="L756" s="279" t="str">
        <f>IF(AG756="","",AG756)</f>
        <v>NA</v>
      </c>
      <c r="M756" s="279" t="str">
        <f>IF(AH756="","",AH756)</f>
        <v>NA</v>
      </c>
      <c r="N756" s="279" t="str">
        <f>IF(AI756="","",AI756)</f>
        <v>NA</v>
      </c>
      <c r="U756" s="384" t="s">
        <v>5478</v>
      </c>
      <c r="V756" s="385" t="s">
        <v>5388</v>
      </c>
      <c r="W756" s="389" t="str">
        <f t="shared" ref="W756:W766" si="14">Period</f>
        <v>2014Y</v>
      </c>
      <c r="X756" s="386" t="str">
        <f>[1]!SNLLabel(287,324685,,"&lt;&gt;360")</f>
        <v>AR: Analysis of Operations All Lines</v>
      </c>
      <c r="Y756" s="387" t="s">
        <v>29</v>
      </c>
      <c r="Z756" s="387" t="s">
        <v>29</v>
      </c>
      <c r="AA756" s="387" t="s">
        <v>29</v>
      </c>
      <c r="AB756" s="387" t="s">
        <v>29</v>
      </c>
      <c r="AC756" s="387" t="s">
        <v>29</v>
      </c>
      <c r="AD756" s="387" t="s">
        <v>29</v>
      </c>
      <c r="AE756" s="387" t="s">
        <v>29</v>
      </c>
      <c r="AF756" s="387" t="s">
        <v>29</v>
      </c>
      <c r="AG756" s="387" t="s">
        <v>29</v>
      </c>
      <c r="AH756" s="387" t="s">
        <v>29</v>
      </c>
      <c r="AI756" s="387" t="s">
        <v>29</v>
      </c>
    </row>
    <row r="757" spans="2:35" ht="11.25" hidden="1" customHeight="1" outlineLevel="1" x14ac:dyDescent="0.35">
      <c r="B757" s="244" t="s">
        <v>5366</v>
      </c>
      <c r="C757" s="245"/>
      <c r="D757" s="279" t="str">
        <f>IF(Y757="","",Y757)</f>
        <v>NA</v>
      </c>
      <c r="E757" s="279" t="str">
        <f>IF(Z757="","",Z757)</f>
        <v>NA</v>
      </c>
      <c r="F757" s="279" t="str">
        <f>IF(AA757="","",AA757)</f>
        <v>NA</v>
      </c>
      <c r="G757" s="279" t="str">
        <f>IF(AB757="","",AB757)</f>
        <v>NA</v>
      </c>
      <c r="H757" s="279" t="str">
        <f>IF(AC757="","",AC757)</f>
        <v>NA</v>
      </c>
      <c r="I757" s="279" t="str">
        <f>IF(AD757="","",AD757)</f>
        <v>NA</v>
      </c>
      <c r="J757" s="279" t="str">
        <f>IF(AE757="","",AE757)</f>
        <v>NA</v>
      </c>
      <c r="K757" s="279" t="str">
        <f>IF(AF757="","",AF757)</f>
        <v>NA</v>
      </c>
      <c r="L757" s="279" t="str">
        <f>IF(AG757="","",AG757)</f>
        <v>NA</v>
      </c>
      <c r="M757" s="279" t="str">
        <f>IF(AH757="","",AH757)</f>
        <v>NA</v>
      </c>
      <c r="N757" s="279" t="str">
        <f>IF(AI757="","",AI757)</f>
        <v>NA</v>
      </c>
      <c r="U757" s="388" t="s">
        <v>5478</v>
      </c>
      <c r="V757" s="389" t="s">
        <v>5388</v>
      </c>
      <c r="W757" s="389" t="str">
        <f t="shared" si="14"/>
        <v>2014Y</v>
      </c>
      <c r="X757" s="390" t="str">
        <f>[1]!SNLLabel(287,324685,,"&lt;&gt;361")</f>
        <v>AR: Individual Life</v>
      </c>
      <c r="Y757" s="391" t="s">
        <v>29</v>
      </c>
      <c r="Z757" s="391" t="s">
        <v>29</v>
      </c>
      <c r="AA757" s="391" t="s">
        <v>29</v>
      </c>
      <c r="AB757" s="391" t="s">
        <v>29</v>
      </c>
      <c r="AC757" s="391" t="s">
        <v>29</v>
      </c>
      <c r="AD757" s="391" t="s">
        <v>29</v>
      </c>
      <c r="AE757" s="391" t="s">
        <v>29</v>
      </c>
      <c r="AF757" s="391" t="s">
        <v>29</v>
      </c>
      <c r="AG757" s="391" t="s">
        <v>29</v>
      </c>
      <c r="AH757" s="391" t="s">
        <v>29</v>
      </c>
      <c r="AI757" s="391" t="s">
        <v>29</v>
      </c>
    </row>
    <row r="758" spans="2:35" ht="11.25" hidden="1" customHeight="1" outlineLevel="1" x14ac:dyDescent="0.35">
      <c r="B758" s="244" t="s">
        <v>5122</v>
      </c>
      <c r="C758" s="245"/>
      <c r="D758" s="279" t="str">
        <f>IF(Y758="","",Y758)</f>
        <v>NA</v>
      </c>
      <c r="E758" s="279" t="str">
        <f>IF(Z758="","",Z758)</f>
        <v>NA</v>
      </c>
      <c r="F758" s="279" t="str">
        <f>IF(AA758="","",AA758)</f>
        <v>NA</v>
      </c>
      <c r="G758" s="279" t="str">
        <f>IF(AB758="","",AB758)</f>
        <v>NA</v>
      </c>
      <c r="H758" s="279" t="str">
        <f>IF(AC758="","",AC758)</f>
        <v>NA</v>
      </c>
      <c r="I758" s="279" t="str">
        <f>IF(AD758="","",AD758)</f>
        <v>NA</v>
      </c>
      <c r="J758" s="279" t="str">
        <f>IF(AE758="","",AE758)</f>
        <v>NA</v>
      </c>
      <c r="K758" s="279" t="str">
        <f>IF(AF758="","",AF758)</f>
        <v>NA</v>
      </c>
      <c r="L758" s="279" t="str">
        <f>IF(AG758="","",AG758)</f>
        <v>NA</v>
      </c>
      <c r="M758" s="279" t="str">
        <f>IF(AH758="","",AH758)</f>
        <v>NA</v>
      </c>
      <c r="N758" s="279" t="str">
        <f>IF(AI758="","",AI758)</f>
        <v>NA</v>
      </c>
      <c r="U758" s="388" t="s">
        <v>5478</v>
      </c>
      <c r="V758" s="389" t="s">
        <v>5388</v>
      </c>
      <c r="W758" s="389" t="str">
        <f t="shared" si="14"/>
        <v>2014Y</v>
      </c>
      <c r="X758" s="390" t="str">
        <f>[1]!SNLLabel(287,324685,,"&lt;&gt;362")</f>
        <v>AR: Group Life</v>
      </c>
      <c r="Y758" s="391" t="s">
        <v>29</v>
      </c>
      <c r="Z758" s="391" t="s">
        <v>29</v>
      </c>
      <c r="AA758" s="391" t="s">
        <v>29</v>
      </c>
      <c r="AB758" s="391" t="s">
        <v>29</v>
      </c>
      <c r="AC758" s="391" t="s">
        <v>29</v>
      </c>
      <c r="AD758" s="391" t="s">
        <v>29</v>
      </c>
      <c r="AE758" s="391" t="s">
        <v>29</v>
      </c>
      <c r="AF758" s="391" t="s">
        <v>29</v>
      </c>
      <c r="AG758" s="391" t="s">
        <v>29</v>
      </c>
      <c r="AH758" s="391" t="s">
        <v>29</v>
      </c>
      <c r="AI758" s="391" t="s">
        <v>29</v>
      </c>
    </row>
    <row r="759" spans="2:35" ht="11.25" hidden="1" customHeight="1" outlineLevel="1" x14ac:dyDescent="0.35">
      <c r="B759" s="244" t="s">
        <v>5124</v>
      </c>
      <c r="C759" s="245"/>
      <c r="D759" s="279" t="str">
        <f>IF(Y759="","",Y759)</f>
        <v>NA</v>
      </c>
      <c r="E759" s="279" t="str">
        <f>IF(Z759="","",Z759)</f>
        <v>NA</v>
      </c>
      <c r="F759" s="279" t="str">
        <f>IF(AA759="","",AA759)</f>
        <v>NA</v>
      </c>
      <c r="G759" s="279" t="str">
        <f>IF(AB759="","",AB759)</f>
        <v>NA</v>
      </c>
      <c r="H759" s="279" t="str">
        <f>IF(AC759="","",AC759)</f>
        <v>NA</v>
      </c>
      <c r="I759" s="279" t="str">
        <f>IF(AD759="","",AD759)</f>
        <v>NA</v>
      </c>
      <c r="J759" s="279" t="str">
        <f>IF(AE759="","",AE759)</f>
        <v>NA</v>
      </c>
      <c r="K759" s="279" t="str">
        <f>IF(AF759="","",AF759)</f>
        <v>NA</v>
      </c>
      <c r="L759" s="279" t="str">
        <f>IF(AG759="","",AG759)</f>
        <v>NA</v>
      </c>
      <c r="M759" s="279" t="str">
        <f>IF(AH759="","",AH759)</f>
        <v>NA</v>
      </c>
      <c r="N759" s="279" t="str">
        <f>IF(AI759="","",AI759)</f>
        <v>NA</v>
      </c>
      <c r="U759" s="388" t="s">
        <v>5478</v>
      </c>
      <c r="V759" s="389" t="s">
        <v>5388</v>
      </c>
      <c r="W759" s="389" t="str">
        <f t="shared" si="14"/>
        <v>2014Y</v>
      </c>
      <c r="X759" s="390" t="str">
        <f>[1]!SNLLabel(287,324685,,"&lt;&gt;363")</f>
        <v>AR: Individual Annuities</v>
      </c>
      <c r="Y759" s="391" t="s">
        <v>29</v>
      </c>
      <c r="Z759" s="391" t="s">
        <v>29</v>
      </c>
      <c r="AA759" s="391" t="s">
        <v>29</v>
      </c>
      <c r="AB759" s="391" t="s">
        <v>29</v>
      </c>
      <c r="AC759" s="391" t="s">
        <v>29</v>
      </c>
      <c r="AD759" s="391" t="s">
        <v>29</v>
      </c>
      <c r="AE759" s="391" t="s">
        <v>29</v>
      </c>
      <c r="AF759" s="391" t="s">
        <v>29</v>
      </c>
      <c r="AG759" s="391" t="s">
        <v>29</v>
      </c>
      <c r="AH759" s="391" t="s">
        <v>29</v>
      </c>
      <c r="AI759" s="391" t="s">
        <v>29</v>
      </c>
    </row>
    <row r="760" spans="2:35" ht="11.25" hidden="1" customHeight="1" outlineLevel="1" x14ac:dyDescent="0.35">
      <c r="B760" s="244" t="s">
        <v>5121</v>
      </c>
      <c r="C760" s="245"/>
      <c r="D760" s="279" t="str">
        <f>IF(Y760="","",Y760)</f>
        <v>NA</v>
      </c>
      <c r="E760" s="279" t="str">
        <f>IF(Z760="","",Z760)</f>
        <v>NA</v>
      </c>
      <c r="F760" s="279" t="str">
        <f>IF(AA760="","",AA760)</f>
        <v>NA</v>
      </c>
      <c r="G760" s="279" t="str">
        <f>IF(AB760="","",AB760)</f>
        <v>NA</v>
      </c>
      <c r="H760" s="279" t="str">
        <f>IF(AC760="","",AC760)</f>
        <v>NA</v>
      </c>
      <c r="I760" s="279" t="str">
        <f>IF(AD760="","",AD760)</f>
        <v>NA</v>
      </c>
      <c r="J760" s="279" t="str">
        <f>IF(AE760="","",AE760)</f>
        <v>NA</v>
      </c>
      <c r="K760" s="279" t="str">
        <f>IF(AF760="","",AF760)</f>
        <v>NA</v>
      </c>
      <c r="L760" s="279" t="str">
        <f>IF(AG760="","",AG760)</f>
        <v>NA</v>
      </c>
      <c r="M760" s="279" t="str">
        <f>IF(AH760="","",AH760)</f>
        <v>NA</v>
      </c>
      <c r="N760" s="279" t="str">
        <f>IF(AI760="","",AI760)</f>
        <v>NA</v>
      </c>
      <c r="U760" s="388" t="s">
        <v>5478</v>
      </c>
      <c r="V760" s="389" t="s">
        <v>5388</v>
      </c>
      <c r="W760" s="389" t="str">
        <f t="shared" si="14"/>
        <v>2014Y</v>
      </c>
      <c r="X760" s="390" t="str">
        <f>[1]!SNLLabel(287,324685,,"&lt;&gt;364")</f>
        <v>AR: Group Annuities</v>
      </c>
      <c r="Y760" s="391" t="s">
        <v>29</v>
      </c>
      <c r="Z760" s="391" t="s">
        <v>29</v>
      </c>
      <c r="AA760" s="391" t="s">
        <v>29</v>
      </c>
      <c r="AB760" s="391" t="s">
        <v>29</v>
      </c>
      <c r="AC760" s="391" t="s">
        <v>29</v>
      </c>
      <c r="AD760" s="391" t="s">
        <v>29</v>
      </c>
      <c r="AE760" s="391" t="s">
        <v>29</v>
      </c>
      <c r="AF760" s="391" t="s">
        <v>29</v>
      </c>
      <c r="AG760" s="391" t="s">
        <v>29</v>
      </c>
      <c r="AH760" s="391" t="s">
        <v>29</v>
      </c>
      <c r="AI760" s="391" t="s">
        <v>29</v>
      </c>
    </row>
    <row r="761" spans="2:35" ht="11.25" hidden="1" customHeight="1" outlineLevel="1" x14ac:dyDescent="0.35">
      <c r="B761" s="244" t="s">
        <v>5367</v>
      </c>
      <c r="C761" s="245"/>
      <c r="D761" s="279" t="str">
        <f>IF(Y761="","",Y761)</f>
        <v>NA</v>
      </c>
      <c r="E761" s="279" t="str">
        <f>IF(Z761="","",Z761)</f>
        <v>NA</v>
      </c>
      <c r="F761" s="279" t="str">
        <f>IF(AA761="","",AA761)</f>
        <v>NA</v>
      </c>
      <c r="G761" s="279" t="str">
        <f>IF(AB761="","",AB761)</f>
        <v>NA</v>
      </c>
      <c r="H761" s="279" t="str">
        <f>IF(AC761="","",AC761)</f>
        <v>NA</v>
      </c>
      <c r="I761" s="279" t="str">
        <f>IF(AD761="","",AD761)</f>
        <v>NA</v>
      </c>
      <c r="J761" s="279" t="str">
        <f>IF(AE761="","",AE761)</f>
        <v>NA</v>
      </c>
      <c r="K761" s="279" t="str">
        <f>IF(AF761="","",AF761)</f>
        <v>NA</v>
      </c>
      <c r="L761" s="279" t="str">
        <f>IF(AG761="","",AG761)</f>
        <v>NA</v>
      </c>
      <c r="M761" s="279" t="str">
        <f>IF(AH761="","",AH761)</f>
        <v>NA</v>
      </c>
      <c r="N761" s="279" t="str">
        <f>IF(AI761="","",AI761)</f>
        <v>NA</v>
      </c>
      <c r="U761" s="388" t="s">
        <v>5478</v>
      </c>
      <c r="V761" s="389" t="s">
        <v>5388</v>
      </c>
      <c r="W761" s="389" t="str">
        <f t="shared" si="14"/>
        <v>2014Y</v>
      </c>
      <c r="X761" s="390" t="str">
        <f>[1]!SNLLabel(287,324685,,"&lt;&gt;365")</f>
        <v>AR: Accident and Health</v>
      </c>
      <c r="Y761" s="391" t="s">
        <v>29</v>
      </c>
      <c r="Z761" s="391" t="s">
        <v>29</v>
      </c>
      <c r="AA761" s="391" t="s">
        <v>29</v>
      </c>
      <c r="AB761" s="391" t="s">
        <v>29</v>
      </c>
      <c r="AC761" s="391" t="s">
        <v>29</v>
      </c>
      <c r="AD761" s="391" t="s">
        <v>29</v>
      </c>
      <c r="AE761" s="391" t="s">
        <v>29</v>
      </c>
      <c r="AF761" s="391" t="s">
        <v>29</v>
      </c>
      <c r="AG761" s="391" t="s">
        <v>29</v>
      </c>
      <c r="AH761" s="391" t="s">
        <v>29</v>
      </c>
      <c r="AI761" s="391" t="s">
        <v>29</v>
      </c>
    </row>
    <row r="762" spans="2:35" ht="11.25" hidden="1" customHeight="1" outlineLevel="1" x14ac:dyDescent="0.35">
      <c r="B762" s="244" t="s">
        <v>5368</v>
      </c>
      <c r="C762" s="245"/>
      <c r="D762" s="279" t="str">
        <f>IF(Y762="","",Y762)</f>
        <v>NA</v>
      </c>
      <c r="E762" s="279" t="str">
        <f>IF(Z762="","",Z762)</f>
        <v>NA</v>
      </c>
      <c r="F762" s="279" t="str">
        <f>IF(AA762="","",AA762)</f>
        <v>NA</v>
      </c>
      <c r="G762" s="279" t="str">
        <f>IF(AB762="","",AB762)</f>
        <v>NA</v>
      </c>
      <c r="H762" s="279" t="str">
        <f>IF(AC762="","",AC762)</f>
        <v>NA</v>
      </c>
      <c r="I762" s="279" t="str">
        <f>IF(AD762="","",AD762)</f>
        <v>NA</v>
      </c>
      <c r="J762" s="279" t="str">
        <f>IF(AE762="","",AE762)</f>
        <v>NA</v>
      </c>
      <c r="K762" s="279" t="str">
        <f>IF(AF762="","",AF762)</f>
        <v>NA</v>
      </c>
      <c r="L762" s="279" t="str">
        <f>IF(AG762="","",AG762)</f>
        <v>NA</v>
      </c>
      <c r="M762" s="279" t="str">
        <f>IF(AH762="","",AH762)</f>
        <v>NA</v>
      </c>
      <c r="N762" s="279" t="str">
        <f>IF(AI762="","",AI762)</f>
        <v>NA</v>
      </c>
      <c r="U762" s="388" t="s">
        <v>5478</v>
      </c>
      <c r="V762" s="389" t="s">
        <v>5388</v>
      </c>
      <c r="W762" s="389" t="str">
        <f t="shared" si="14"/>
        <v>2014Y</v>
      </c>
      <c r="X762" s="390" t="str">
        <f>[1]!SNLLabel(287,324685,,"&lt;&gt;366")</f>
        <v>AR: Fraternal</v>
      </c>
      <c r="Y762" s="391" t="s">
        <v>29</v>
      </c>
      <c r="Z762" s="391" t="s">
        <v>29</v>
      </c>
      <c r="AA762" s="391" t="s">
        <v>29</v>
      </c>
      <c r="AB762" s="391" t="s">
        <v>29</v>
      </c>
      <c r="AC762" s="391" t="s">
        <v>29</v>
      </c>
      <c r="AD762" s="391" t="s">
        <v>29</v>
      </c>
      <c r="AE762" s="391" t="s">
        <v>29</v>
      </c>
      <c r="AF762" s="391" t="s">
        <v>29</v>
      </c>
      <c r="AG762" s="391" t="s">
        <v>29</v>
      </c>
      <c r="AH762" s="391" t="s">
        <v>29</v>
      </c>
      <c r="AI762" s="391" t="s">
        <v>29</v>
      </c>
    </row>
    <row r="763" spans="2:35" ht="11.25" hidden="1" customHeight="1" outlineLevel="1" x14ac:dyDescent="0.35">
      <c r="B763" s="244" t="s">
        <v>5369</v>
      </c>
      <c r="C763" s="245"/>
      <c r="D763" s="279" t="str">
        <f>IF(Y763="","",Y763)</f>
        <v>NA</v>
      </c>
      <c r="E763" s="279" t="str">
        <f>IF(Z763="","",Z763)</f>
        <v>NA</v>
      </c>
      <c r="F763" s="279" t="str">
        <f>IF(AA763="","",AA763)</f>
        <v>NA</v>
      </c>
      <c r="G763" s="279" t="str">
        <f>IF(AB763="","",AB763)</f>
        <v>NA</v>
      </c>
      <c r="H763" s="279" t="str">
        <f>IF(AC763="","",AC763)</f>
        <v>NA</v>
      </c>
      <c r="I763" s="279" t="str">
        <f>IF(AD763="","",AD763)</f>
        <v>NA</v>
      </c>
      <c r="J763" s="279" t="str">
        <f>IF(AE763="","",AE763)</f>
        <v>NA</v>
      </c>
      <c r="K763" s="279" t="str">
        <f>IF(AF763="","",AF763)</f>
        <v>NA</v>
      </c>
      <c r="L763" s="279" t="str">
        <f>IF(AG763="","",AG763)</f>
        <v>NA</v>
      </c>
      <c r="M763" s="279" t="str">
        <f>IF(AH763="","",AH763)</f>
        <v>NA</v>
      </c>
      <c r="N763" s="279" t="str">
        <f>IF(AI763="","",AI763)</f>
        <v>NA</v>
      </c>
      <c r="U763" s="388" t="s">
        <v>5478</v>
      </c>
      <c r="V763" s="389" t="s">
        <v>5388</v>
      </c>
      <c r="W763" s="389" t="str">
        <f t="shared" si="14"/>
        <v>2014Y</v>
      </c>
      <c r="X763" s="390" t="str">
        <f>[1]!SNLLabel(287,324685,,"&lt;&gt;367")</f>
        <v>AR: Other Lines of Business</v>
      </c>
      <c r="Y763" s="391" t="s">
        <v>29</v>
      </c>
      <c r="Z763" s="391" t="s">
        <v>29</v>
      </c>
      <c r="AA763" s="391" t="s">
        <v>29</v>
      </c>
      <c r="AB763" s="391" t="s">
        <v>29</v>
      </c>
      <c r="AC763" s="391" t="s">
        <v>29</v>
      </c>
      <c r="AD763" s="391" t="s">
        <v>29</v>
      </c>
      <c r="AE763" s="391" t="s">
        <v>29</v>
      </c>
      <c r="AF763" s="391" t="s">
        <v>29</v>
      </c>
      <c r="AG763" s="391" t="s">
        <v>29</v>
      </c>
      <c r="AH763" s="391" t="s">
        <v>29</v>
      </c>
      <c r="AI763" s="391" t="s">
        <v>29</v>
      </c>
    </row>
    <row r="764" spans="2:35" ht="11.25" hidden="1" customHeight="1" outlineLevel="1" x14ac:dyDescent="0.35">
      <c r="B764" s="244" t="s">
        <v>5370</v>
      </c>
      <c r="C764" s="245"/>
      <c r="D764" s="279" t="str">
        <f>IF(Y764="","",Y764)</f>
        <v>NA</v>
      </c>
      <c r="E764" s="279" t="str">
        <f>IF(Z764="","",Z764)</f>
        <v>NA</v>
      </c>
      <c r="F764" s="279" t="str">
        <f>IF(AA764="","",AA764)</f>
        <v>NA</v>
      </c>
      <c r="G764" s="279" t="str">
        <f>IF(AB764="","",AB764)</f>
        <v>NA</v>
      </c>
      <c r="H764" s="279" t="str">
        <f>IF(AC764="","",AC764)</f>
        <v>NA</v>
      </c>
      <c r="I764" s="279" t="str">
        <f>IF(AD764="","",AD764)</f>
        <v>NA</v>
      </c>
      <c r="J764" s="279" t="str">
        <f>IF(AE764="","",AE764)</f>
        <v>NA</v>
      </c>
      <c r="K764" s="279" t="str">
        <f>IF(AF764="","",AF764)</f>
        <v>NA</v>
      </c>
      <c r="L764" s="279" t="str">
        <f>IF(AG764="","",AG764)</f>
        <v>NA</v>
      </c>
      <c r="M764" s="279" t="str">
        <f>IF(AH764="","",AH764)</f>
        <v>NA</v>
      </c>
      <c r="N764" s="279" t="str">
        <f>IF(AI764="","",AI764)</f>
        <v>NA</v>
      </c>
      <c r="U764" s="388" t="s">
        <v>5478</v>
      </c>
      <c r="V764" s="389" t="s">
        <v>5388</v>
      </c>
      <c r="W764" s="389" t="str">
        <f t="shared" si="14"/>
        <v>2014Y</v>
      </c>
      <c r="X764" s="390" t="str">
        <f>[1]!SNLLabel(287,324685,,"&lt;&gt;368")</f>
        <v>AR: YRT Mortality Risk Only</v>
      </c>
      <c r="Y764" s="391" t="s">
        <v>29</v>
      </c>
      <c r="Z764" s="391" t="s">
        <v>29</v>
      </c>
      <c r="AA764" s="391" t="s">
        <v>29</v>
      </c>
      <c r="AB764" s="391" t="s">
        <v>29</v>
      </c>
      <c r="AC764" s="391" t="s">
        <v>29</v>
      </c>
      <c r="AD764" s="391" t="s">
        <v>29</v>
      </c>
      <c r="AE764" s="391" t="s">
        <v>29</v>
      </c>
      <c r="AF764" s="391" t="s">
        <v>29</v>
      </c>
      <c r="AG764" s="391" t="s">
        <v>29</v>
      </c>
      <c r="AH764" s="391" t="s">
        <v>29</v>
      </c>
      <c r="AI764" s="391" t="s">
        <v>29</v>
      </c>
    </row>
    <row r="765" spans="2:35" ht="11.25" hidden="1" customHeight="1" outlineLevel="1" x14ac:dyDescent="0.35">
      <c r="B765" s="244" t="s">
        <v>5371</v>
      </c>
      <c r="C765" s="245"/>
      <c r="D765" s="279" t="str">
        <f>IF(Y765="","",Y765)</f>
        <v>NA</v>
      </c>
      <c r="E765" s="279" t="str">
        <f>IF(Z765="","",Z765)</f>
        <v>NA</v>
      </c>
      <c r="F765" s="279" t="str">
        <f>IF(AA765="","",AA765)</f>
        <v>NA</v>
      </c>
      <c r="G765" s="279" t="str">
        <f>IF(AB765="","",AB765)</f>
        <v>NA</v>
      </c>
      <c r="H765" s="279" t="str">
        <f>IF(AC765="","",AC765)</f>
        <v>NA</v>
      </c>
      <c r="I765" s="279" t="str">
        <f>IF(AD765="","",AD765)</f>
        <v>NA</v>
      </c>
      <c r="J765" s="279" t="str">
        <f>IF(AE765="","",AE765)</f>
        <v>NA</v>
      </c>
      <c r="K765" s="279" t="str">
        <f>IF(AF765="","",AF765)</f>
        <v>NA</v>
      </c>
      <c r="L765" s="279" t="str">
        <f>IF(AG765="","",AG765)</f>
        <v>NA</v>
      </c>
      <c r="M765" s="279" t="str">
        <f>IF(AH765="","",AH765)</f>
        <v>NA</v>
      </c>
      <c r="N765" s="279" t="str">
        <f>IF(AI765="","",AI765)</f>
        <v>NA</v>
      </c>
      <c r="U765" s="388" t="s">
        <v>5478</v>
      </c>
      <c r="V765" s="389" t="s">
        <v>5388</v>
      </c>
      <c r="W765" s="389" t="str">
        <f t="shared" si="14"/>
        <v>2014Y</v>
      </c>
      <c r="X765" s="390" t="str">
        <f>[1]!SNLLabel(287,324685,,"&lt;&gt;369")</f>
        <v>AR: Individual and Group Life</v>
      </c>
      <c r="Y765" s="391" t="s">
        <v>29</v>
      </c>
      <c r="Z765" s="391" t="s">
        <v>29</v>
      </c>
      <c r="AA765" s="391" t="s">
        <v>29</v>
      </c>
      <c r="AB765" s="391" t="s">
        <v>29</v>
      </c>
      <c r="AC765" s="391" t="s">
        <v>29</v>
      </c>
      <c r="AD765" s="391" t="s">
        <v>29</v>
      </c>
      <c r="AE765" s="391" t="s">
        <v>29</v>
      </c>
      <c r="AF765" s="391" t="s">
        <v>29</v>
      </c>
      <c r="AG765" s="391" t="s">
        <v>29</v>
      </c>
      <c r="AH765" s="391" t="s">
        <v>29</v>
      </c>
      <c r="AI765" s="391" t="s">
        <v>29</v>
      </c>
    </row>
    <row r="766" spans="2:35" ht="11.25" hidden="1" customHeight="1" outlineLevel="1" x14ac:dyDescent="0.35">
      <c r="B766" s="244" t="s">
        <v>5372</v>
      </c>
      <c r="C766" s="245"/>
      <c r="D766" s="279" t="str">
        <f>IF(Y766="","",Y766)</f>
        <v>NA</v>
      </c>
      <c r="E766" s="279" t="str">
        <f>IF(Z766="","",Z766)</f>
        <v>NA</v>
      </c>
      <c r="F766" s="279" t="str">
        <f>IF(AA766="","",AA766)</f>
        <v>NA</v>
      </c>
      <c r="G766" s="279" t="str">
        <f>IF(AB766="","",AB766)</f>
        <v>NA</v>
      </c>
      <c r="H766" s="279" t="str">
        <f>IF(AC766="","",AC766)</f>
        <v>NA</v>
      </c>
      <c r="I766" s="279" t="str">
        <f>IF(AD766="","",AD766)</f>
        <v>NA</v>
      </c>
      <c r="J766" s="279" t="str">
        <f>IF(AE766="","",AE766)</f>
        <v>NA</v>
      </c>
      <c r="K766" s="279" t="str">
        <f>IF(AF766="","",AF766)</f>
        <v>NA</v>
      </c>
      <c r="L766" s="279" t="str">
        <f>IF(AG766="","",AG766)</f>
        <v>NA</v>
      </c>
      <c r="M766" s="279" t="str">
        <f>IF(AH766="","",AH766)</f>
        <v>NA</v>
      </c>
      <c r="N766" s="279" t="str">
        <f>IF(AI766="","",AI766)</f>
        <v>NA</v>
      </c>
      <c r="U766" s="367" t="s">
        <v>5478</v>
      </c>
      <c r="V766" s="368" t="s">
        <v>5388</v>
      </c>
      <c r="W766" s="389" t="str">
        <f t="shared" si="14"/>
        <v>2014Y</v>
      </c>
      <c r="X766" s="369" t="str">
        <f>[1]!SNLLabel(287,324685,,"&lt;&gt;370")</f>
        <v>AR: Individual and Group Annuities</v>
      </c>
      <c r="Y766" s="371" t="s">
        <v>29</v>
      </c>
      <c r="Z766" s="371" t="s">
        <v>29</v>
      </c>
      <c r="AA766" s="371" t="s">
        <v>29</v>
      </c>
      <c r="AB766" s="371" t="s">
        <v>29</v>
      </c>
      <c r="AC766" s="371" t="s">
        <v>29</v>
      </c>
      <c r="AD766" s="371" t="s">
        <v>29</v>
      </c>
      <c r="AE766" s="371" t="s">
        <v>29</v>
      </c>
      <c r="AF766" s="371" t="s">
        <v>29</v>
      </c>
      <c r="AG766" s="371" t="s">
        <v>29</v>
      </c>
      <c r="AH766" s="371" t="s">
        <v>29</v>
      </c>
      <c r="AI766" s="371" t="s">
        <v>29</v>
      </c>
    </row>
    <row r="767" spans="2:35" ht="11.25" hidden="1" customHeight="1" outlineLevel="1" x14ac:dyDescent="0.35">
      <c r="B767" s="294"/>
      <c r="C767" s="329"/>
      <c r="D767" s="322"/>
      <c r="E767" s="322"/>
      <c r="F767" s="322"/>
      <c r="G767" s="322"/>
      <c r="H767" s="322"/>
      <c r="I767" s="322"/>
      <c r="J767" s="322"/>
      <c r="K767" s="322"/>
      <c r="L767" s="322"/>
      <c r="M767" s="322"/>
      <c r="N767" s="322"/>
      <c r="U767" s="407"/>
      <c r="V767" s="401"/>
      <c r="W767" s="401"/>
      <c r="X767" s="408"/>
    </row>
    <row r="768" spans="2:35" ht="11.25" hidden="1" customHeight="1" outlineLevel="1" x14ac:dyDescent="0.35">
      <c r="B768" s="246" t="s">
        <v>5458</v>
      </c>
      <c r="C768" s="245"/>
      <c r="D768" s="278"/>
      <c r="E768" s="307"/>
      <c r="F768" s="307"/>
      <c r="G768" s="307"/>
      <c r="H768" s="307"/>
      <c r="I768" s="307"/>
      <c r="J768" s="307"/>
      <c r="K768" s="307"/>
      <c r="L768" s="307"/>
      <c r="M768" s="307"/>
      <c r="N768" s="307"/>
      <c r="U768" s="453"/>
      <c r="V768" s="394"/>
      <c r="W768" s="394"/>
      <c r="X768" s="454"/>
    </row>
    <row r="769" spans="2:35" ht="11.25" hidden="1" customHeight="1" outlineLevel="1" x14ac:dyDescent="0.35">
      <c r="B769" s="244" t="s">
        <v>5365</v>
      </c>
      <c r="C769" s="245"/>
      <c r="D769" s="279" t="str">
        <f>IF(Y77="","",Y77)</f>
        <v>NA</v>
      </c>
      <c r="E769" s="279" t="str">
        <f>IF(Z77="","",Z77)</f>
        <v>NA</v>
      </c>
      <c r="F769" s="279" t="str">
        <f>IF(AA77="","",AA77)</f>
        <v>NA</v>
      </c>
      <c r="G769" s="279" t="str">
        <f>IF(AB77="","",AB77)</f>
        <v>NA</v>
      </c>
      <c r="H769" s="279" t="str">
        <f>IF(AC77="","",AC77)</f>
        <v>NA</v>
      </c>
      <c r="I769" s="279" t="str">
        <f>IF(AD77="","",AD77)</f>
        <v>NA</v>
      </c>
      <c r="J769" s="279" t="str">
        <f>IF(AE77="","",AE77)</f>
        <v>NA</v>
      </c>
      <c r="K769" s="279" t="str">
        <f>IF(AF77="","",AF77)</f>
        <v>NA</v>
      </c>
      <c r="L769" s="279" t="str">
        <f>IF(AG77="","",AG77)</f>
        <v>NA</v>
      </c>
      <c r="M769" s="279" t="str">
        <f>IF(AH77="","",AH77)</f>
        <v>NA</v>
      </c>
      <c r="N769" s="279" t="str">
        <f>IF(AI77="","",AI77)</f>
        <v>NA</v>
      </c>
      <c r="U769" s="258"/>
      <c r="V769" s="394"/>
      <c r="W769" s="394"/>
      <c r="X769" s="392"/>
      <c r="Y769" s="395"/>
      <c r="Z769" s="395"/>
      <c r="AA769" s="395"/>
      <c r="AB769" s="395"/>
      <c r="AC769" s="395"/>
      <c r="AD769" s="395"/>
      <c r="AE769" s="395"/>
      <c r="AF769" s="395"/>
      <c r="AG769" s="395"/>
      <c r="AH769" s="395"/>
      <c r="AI769" s="395"/>
    </row>
    <row r="770" spans="2:35" ht="11.25" hidden="1" customHeight="1" outlineLevel="1" x14ac:dyDescent="0.35">
      <c r="B770" s="244" t="s">
        <v>5366</v>
      </c>
      <c r="C770" s="245"/>
      <c r="D770" s="279" t="str">
        <f>IF(Y78="","",Y78)</f>
        <v>NA</v>
      </c>
      <c r="E770" s="279" t="str">
        <f>IF(Z78="","",Z78)</f>
        <v>NA</v>
      </c>
      <c r="F770" s="279" t="str">
        <f>IF(AA78="","",AA78)</f>
        <v>NA</v>
      </c>
      <c r="G770" s="279" t="str">
        <f>IF(AB78="","",AB78)</f>
        <v>NA</v>
      </c>
      <c r="H770" s="279" t="str">
        <f>IF(AC78="","",AC78)</f>
        <v>NA</v>
      </c>
      <c r="I770" s="279" t="str">
        <f>IF(AD78="","",AD78)</f>
        <v>NA</v>
      </c>
      <c r="J770" s="279" t="str">
        <f>IF(AE78="","",AE78)</f>
        <v>NA</v>
      </c>
      <c r="K770" s="279" t="str">
        <f>IF(AF78="","",AF78)</f>
        <v>NA</v>
      </c>
      <c r="L770" s="279" t="str">
        <f>IF(AG78="","",AG78)</f>
        <v>NA</v>
      </c>
      <c r="M770" s="279" t="str">
        <f>IF(AH78="","",AH78)</f>
        <v>NA</v>
      </c>
      <c r="N770" s="279" t="str">
        <f>IF(AI78="","",AI78)</f>
        <v>NA</v>
      </c>
      <c r="U770" s="258"/>
      <c r="V770" s="394"/>
      <c r="W770" s="394"/>
      <c r="X770" s="392"/>
      <c r="Y770" s="395"/>
      <c r="Z770" s="395"/>
      <c r="AA770" s="395"/>
      <c r="AB770" s="395"/>
      <c r="AC770" s="395"/>
      <c r="AD770" s="395"/>
      <c r="AE770" s="395"/>
      <c r="AF770" s="395"/>
      <c r="AG770" s="395"/>
      <c r="AH770" s="395"/>
      <c r="AI770" s="395"/>
    </row>
    <row r="771" spans="2:35" ht="11.25" hidden="1" customHeight="1" outlineLevel="1" x14ac:dyDescent="0.35">
      <c r="B771" s="244" t="s">
        <v>5122</v>
      </c>
      <c r="C771" s="245"/>
      <c r="D771" s="279" t="str">
        <f>IF(Y79="","",Y79)</f>
        <v>NA</v>
      </c>
      <c r="E771" s="279" t="str">
        <f>IF(Z79="","",Z79)</f>
        <v>NA</v>
      </c>
      <c r="F771" s="279" t="str">
        <f>IF(AA79="","",AA79)</f>
        <v>NA</v>
      </c>
      <c r="G771" s="279" t="str">
        <f>IF(AB79="","",AB79)</f>
        <v>NA</v>
      </c>
      <c r="H771" s="279" t="str">
        <f>IF(AC79="","",AC79)</f>
        <v>NA</v>
      </c>
      <c r="I771" s="279" t="str">
        <f>IF(AD79="","",AD79)</f>
        <v>NA</v>
      </c>
      <c r="J771" s="279" t="str">
        <f>IF(AE79="","",AE79)</f>
        <v>NA</v>
      </c>
      <c r="K771" s="279" t="str">
        <f>IF(AF79="","",AF79)</f>
        <v>NA</v>
      </c>
      <c r="L771" s="279" t="str">
        <f>IF(AG79="","",AG79)</f>
        <v>NA</v>
      </c>
      <c r="M771" s="279" t="str">
        <f>IF(AH79="","",AH79)</f>
        <v>NA</v>
      </c>
      <c r="N771" s="279" t="str">
        <f>IF(AI79="","",AI79)</f>
        <v>NA</v>
      </c>
      <c r="U771" s="258"/>
      <c r="V771" s="394"/>
      <c r="W771" s="394"/>
      <c r="X771" s="392"/>
      <c r="Y771" s="395"/>
      <c r="Z771" s="395"/>
      <c r="AA771" s="395"/>
      <c r="AB771" s="395"/>
      <c r="AC771" s="395"/>
      <c r="AD771" s="395"/>
      <c r="AE771" s="395"/>
      <c r="AF771" s="395"/>
      <c r="AG771" s="395"/>
      <c r="AH771" s="395"/>
      <c r="AI771" s="395"/>
    </row>
    <row r="772" spans="2:35" ht="11.25" hidden="1" customHeight="1" outlineLevel="1" x14ac:dyDescent="0.35">
      <c r="B772" s="244" t="s">
        <v>5124</v>
      </c>
      <c r="C772" s="245"/>
      <c r="D772" s="279" t="str">
        <f>IF(Y80="","",Y80)</f>
        <v>NA</v>
      </c>
      <c r="E772" s="279" t="str">
        <f>IF(Z80="","",Z80)</f>
        <v>NA</v>
      </c>
      <c r="F772" s="279" t="str">
        <f>IF(AA80="","",AA80)</f>
        <v>NA</v>
      </c>
      <c r="G772" s="279" t="str">
        <f>IF(AB80="","",AB80)</f>
        <v>NA</v>
      </c>
      <c r="H772" s="279" t="str">
        <f>IF(AC80="","",AC80)</f>
        <v>NA</v>
      </c>
      <c r="I772" s="279" t="str">
        <f>IF(AD80="","",AD80)</f>
        <v>NA</v>
      </c>
      <c r="J772" s="279" t="str">
        <f>IF(AE80="","",AE80)</f>
        <v>NA</v>
      </c>
      <c r="K772" s="279" t="str">
        <f>IF(AF80="","",AF80)</f>
        <v>NA</v>
      </c>
      <c r="L772" s="279" t="str">
        <f>IF(AG80="","",AG80)</f>
        <v>NA</v>
      </c>
      <c r="M772" s="279" t="str">
        <f>IF(AH80="","",AH80)</f>
        <v>NA</v>
      </c>
      <c r="N772" s="279" t="str">
        <f>IF(AI80="","",AI80)</f>
        <v>NA</v>
      </c>
      <c r="U772" s="258"/>
      <c r="V772" s="394"/>
      <c r="W772" s="394"/>
      <c r="X772" s="392"/>
      <c r="Y772" s="395"/>
      <c r="Z772" s="395"/>
      <c r="AA772" s="395"/>
      <c r="AB772" s="395"/>
      <c r="AC772" s="395"/>
      <c r="AD772" s="395"/>
      <c r="AE772" s="395"/>
      <c r="AF772" s="395"/>
      <c r="AG772" s="395"/>
      <c r="AH772" s="395"/>
      <c r="AI772" s="395"/>
    </row>
    <row r="773" spans="2:35" ht="11.25" hidden="1" customHeight="1" outlineLevel="1" x14ac:dyDescent="0.35">
      <c r="B773" s="244" t="s">
        <v>5121</v>
      </c>
      <c r="C773" s="245"/>
      <c r="D773" s="279" t="str">
        <f>IF(Y81="","",Y81)</f>
        <v>NA</v>
      </c>
      <c r="E773" s="279" t="str">
        <f>IF(Z81="","",Z81)</f>
        <v>NA</v>
      </c>
      <c r="F773" s="279" t="str">
        <f>IF(AA81="","",AA81)</f>
        <v>NA</v>
      </c>
      <c r="G773" s="279" t="str">
        <f>IF(AB81="","",AB81)</f>
        <v>NA</v>
      </c>
      <c r="H773" s="279" t="str">
        <f>IF(AC81="","",AC81)</f>
        <v>NA</v>
      </c>
      <c r="I773" s="279" t="str">
        <f>IF(AD81="","",AD81)</f>
        <v>NA</v>
      </c>
      <c r="J773" s="279" t="str">
        <f>IF(AE81="","",AE81)</f>
        <v>NA</v>
      </c>
      <c r="K773" s="279" t="str">
        <f>IF(AF81="","",AF81)</f>
        <v>NA</v>
      </c>
      <c r="L773" s="279" t="str">
        <f>IF(AG81="","",AG81)</f>
        <v>NA</v>
      </c>
      <c r="M773" s="279" t="str">
        <f>IF(AH81="","",AH81)</f>
        <v>NA</v>
      </c>
      <c r="N773" s="279" t="str">
        <f>IF(AI81="","",AI81)</f>
        <v>NA</v>
      </c>
      <c r="U773" s="258"/>
      <c r="V773" s="394"/>
      <c r="W773" s="394"/>
      <c r="X773" s="392"/>
      <c r="Y773" s="395"/>
      <c r="Z773" s="395"/>
      <c r="AA773" s="395"/>
      <c r="AB773" s="395"/>
      <c r="AC773" s="395"/>
      <c r="AD773" s="395"/>
      <c r="AE773" s="395"/>
      <c r="AF773" s="395"/>
      <c r="AG773" s="395"/>
      <c r="AH773" s="395"/>
      <c r="AI773" s="395"/>
    </row>
    <row r="774" spans="2:35" ht="11.25" hidden="1" customHeight="1" outlineLevel="1" x14ac:dyDescent="0.35">
      <c r="B774" s="244" t="s">
        <v>5367</v>
      </c>
      <c r="C774" s="245"/>
      <c r="D774" s="279" t="str">
        <f>IF(Y82="","",Y82)</f>
        <v>NA</v>
      </c>
      <c r="E774" s="279" t="str">
        <f>IF(Z82="","",Z82)</f>
        <v>NA</v>
      </c>
      <c r="F774" s="279" t="str">
        <f>IF(AA82="","",AA82)</f>
        <v>NA</v>
      </c>
      <c r="G774" s="279" t="str">
        <f>IF(AB82="","",AB82)</f>
        <v>NA</v>
      </c>
      <c r="H774" s="279" t="str">
        <f>IF(AC82="","",AC82)</f>
        <v>NA</v>
      </c>
      <c r="I774" s="279" t="str">
        <f>IF(AD82="","",AD82)</f>
        <v>NA</v>
      </c>
      <c r="J774" s="279" t="str">
        <f>IF(AE82="","",AE82)</f>
        <v>NA</v>
      </c>
      <c r="K774" s="279" t="str">
        <f>IF(AF82="","",AF82)</f>
        <v>NA</v>
      </c>
      <c r="L774" s="279" t="str">
        <f>IF(AG82="","",AG82)</f>
        <v>NA</v>
      </c>
      <c r="M774" s="279" t="str">
        <f>IF(AH82="","",AH82)</f>
        <v>NA</v>
      </c>
      <c r="N774" s="279" t="str">
        <f>IF(AI82="","",AI82)</f>
        <v>NA</v>
      </c>
      <c r="U774" s="258"/>
      <c r="V774" s="394"/>
      <c r="W774" s="394"/>
      <c r="X774" s="392"/>
      <c r="Y774" s="395"/>
      <c r="Z774" s="395"/>
      <c r="AA774" s="395"/>
      <c r="AB774" s="395"/>
      <c r="AC774" s="395"/>
      <c r="AD774" s="395"/>
      <c r="AE774" s="395"/>
      <c r="AF774" s="395"/>
      <c r="AG774" s="395"/>
      <c r="AH774" s="395"/>
      <c r="AI774" s="395"/>
    </row>
    <row r="775" spans="2:35" ht="11.25" hidden="1" customHeight="1" outlineLevel="1" x14ac:dyDescent="0.35">
      <c r="B775" s="244" t="s">
        <v>5368</v>
      </c>
      <c r="C775" s="245"/>
      <c r="D775" s="279" t="str">
        <f>IF(Y83="","",Y83)</f>
        <v>NA</v>
      </c>
      <c r="E775" s="279" t="str">
        <f>IF(Z83="","",Z83)</f>
        <v>NA</v>
      </c>
      <c r="F775" s="279" t="str">
        <f>IF(AA83="","",AA83)</f>
        <v>NA</v>
      </c>
      <c r="G775" s="279" t="str">
        <f>IF(AB83="","",AB83)</f>
        <v>NA</v>
      </c>
      <c r="H775" s="279" t="str">
        <f>IF(AC83="","",AC83)</f>
        <v>NA</v>
      </c>
      <c r="I775" s="279" t="str">
        <f>IF(AD83="","",AD83)</f>
        <v>NA</v>
      </c>
      <c r="J775" s="279" t="str">
        <f>IF(AE83="","",AE83)</f>
        <v>NA</v>
      </c>
      <c r="K775" s="279" t="str">
        <f>IF(AF83="","",AF83)</f>
        <v>NA</v>
      </c>
      <c r="L775" s="279" t="str">
        <f>IF(AG83="","",AG83)</f>
        <v>NA</v>
      </c>
      <c r="M775" s="279" t="str">
        <f>IF(AH83="","",AH83)</f>
        <v>NA</v>
      </c>
      <c r="N775" s="279" t="str">
        <f>IF(AI83="","",AI83)</f>
        <v>NA</v>
      </c>
      <c r="U775" s="258"/>
      <c r="V775" s="394"/>
      <c r="W775" s="394"/>
      <c r="X775" s="392"/>
      <c r="Y775" s="395"/>
      <c r="Z775" s="395"/>
      <c r="AA775" s="395"/>
      <c r="AB775" s="395"/>
      <c r="AC775" s="395"/>
      <c r="AD775" s="395"/>
      <c r="AE775" s="395"/>
      <c r="AF775" s="395"/>
      <c r="AG775" s="395"/>
      <c r="AH775" s="395"/>
      <c r="AI775" s="395"/>
    </row>
    <row r="776" spans="2:35" ht="11.25" hidden="1" customHeight="1" outlineLevel="1" x14ac:dyDescent="0.35">
      <c r="B776" s="244" t="s">
        <v>5369</v>
      </c>
      <c r="C776" s="245"/>
      <c r="D776" s="279" t="str">
        <f>IF(Y84="","",Y84)</f>
        <v>NA</v>
      </c>
      <c r="E776" s="279" t="str">
        <f>IF(Z84="","",Z84)</f>
        <v>NA</v>
      </c>
      <c r="F776" s="279" t="str">
        <f>IF(AA84="","",AA84)</f>
        <v>NA</v>
      </c>
      <c r="G776" s="279" t="str">
        <f>IF(AB84="","",AB84)</f>
        <v>NA</v>
      </c>
      <c r="H776" s="279" t="str">
        <f>IF(AC84="","",AC84)</f>
        <v>NA</v>
      </c>
      <c r="I776" s="279" t="str">
        <f>IF(AD84="","",AD84)</f>
        <v>NA</v>
      </c>
      <c r="J776" s="279" t="str">
        <f>IF(AE84="","",AE84)</f>
        <v>NA</v>
      </c>
      <c r="K776" s="279" t="str">
        <f>IF(AF84="","",AF84)</f>
        <v>NA</v>
      </c>
      <c r="L776" s="279" t="str">
        <f>IF(AG84="","",AG84)</f>
        <v>NA</v>
      </c>
      <c r="M776" s="279" t="str">
        <f>IF(AH84="","",AH84)</f>
        <v>NA</v>
      </c>
      <c r="N776" s="279" t="str">
        <f>IF(AI84="","",AI84)</f>
        <v>NA</v>
      </c>
      <c r="U776" s="258"/>
      <c r="V776" s="394"/>
      <c r="W776" s="394"/>
      <c r="X776" s="392"/>
      <c r="Y776" s="395"/>
      <c r="Z776" s="395"/>
      <c r="AA776" s="395"/>
      <c r="AB776" s="395"/>
      <c r="AC776" s="395"/>
      <c r="AD776" s="395"/>
      <c r="AE776" s="395"/>
      <c r="AF776" s="395"/>
      <c r="AG776" s="395"/>
      <c r="AH776" s="395"/>
      <c r="AI776" s="395"/>
    </row>
    <row r="777" spans="2:35" ht="11.25" hidden="1" customHeight="1" outlineLevel="1" x14ac:dyDescent="0.35">
      <c r="B777" s="244" t="s">
        <v>5370</v>
      </c>
      <c r="C777" s="247"/>
      <c r="D777" s="279" t="str">
        <f>IF(Y85="","",Y85)</f>
        <v>NA</v>
      </c>
      <c r="E777" s="279" t="str">
        <f>IF(Z85="","",Z85)</f>
        <v>NA</v>
      </c>
      <c r="F777" s="279" t="str">
        <f>IF(AA85="","",AA85)</f>
        <v>NA</v>
      </c>
      <c r="G777" s="279" t="str">
        <f>IF(AB85="","",AB85)</f>
        <v>NA</v>
      </c>
      <c r="H777" s="279" t="str">
        <f>IF(AC85="","",AC85)</f>
        <v>NA</v>
      </c>
      <c r="I777" s="279" t="str">
        <f>IF(AD85="","",AD85)</f>
        <v>NA</v>
      </c>
      <c r="J777" s="279" t="str">
        <f>IF(AE85="","",AE85)</f>
        <v>NA</v>
      </c>
      <c r="K777" s="279" t="str">
        <f>IF(AF85="","",AF85)</f>
        <v>NA</v>
      </c>
      <c r="L777" s="279" t="str">
        <f>IF(AG85="","",AG85)</f>
        <v>NA</v>
      </c>
      <c r="M777" s="279" t="str">
        <f>IF(AH85="","",AH85)</f>
        <v>NA</v>
      </c>
      <c r="N777" s="279" t="str">
        <f>IF(AI85="","",AI85)</f>
        <v>NA</v>
      </c>
      <c r="U777" s="258"/>
      <c r="V777" s="394"/>
      <c r="W777" s="394"/>
      <c r="X777" s="392"/>
      <c r="Y777" s="395"/>
      <c r="Z777" s="395"/>
      <c r="AA777" s="395"/>
      <c r="AB777" s="395"/>
      <c r="AC777" s="395"/>
      <c r="AD777" s="395"/>
      <c r="AE777" s="395"/>
      <c r="AF777" s="395"/>
      <c r="AG777" s="395"/>
      <c r="AH777" s="395"/>
      <c r="AI777" s="395"/>
    </row>
    <row r="778" spans="2:35" ht="11.25" hidden="1" customHeight="1" outlineLevel="1" x14ac:dyDescent="0.35">
      <c r="B778" s="244" t="s">
        <v>5371</v>
      </c>
      <c r="C778" s="245"/>
      <c r="D778" s="279" t="str">
        <f>IF(Y86="","",Y86)</f>
        <v>NA</v>
      </c>
      <c r="E778" s="279" t="str">
        <f>IF(Z86="","",Z86)</f>
        <v>NA</v>
      </c>
      <c r="F778" s="279" t="str">
        <f>IF(AA86="","",AA86)</f>
        <v>NA</v>
      </c>
      <c r="G778" s="279" t="str">
        <f>IF(AB86="","",AB86)</f>
        <v>NA</v>
      </c>
      <c r="H778" s="279" t="str">
        <f>IF(AC86="","",AC86)</f>
        <v>NA</v>
      </c>
      <c r="I778" s="279" t="str">
        <f>IF(AD86="","",AD86)</f>
        <v>NA</v>
      </c>
      <c r="J778" s="279" t="str">
        <f>IF(AE86="","",AE86)</f>
        <v>NA</v>
      </c>
      <c r="K778" s="279" t="str">
        <f>IF(AF86="","",AF86)</f>
        <v>NA</v>
      </c>
      <c r="L778" s="279" t="str">
        <f>IF(AG86="","",AG86)</f>
        <v>NA</v>
      </c>
      <c r="M778" s="279" t="str">
        <f>IF(AH86="","",AH86)</f>
        <v>NA</v>
      </c>
      <c r="N778" s="279" t="str">
        <f>IF(AI86="","",AI86)</f>
        <v>NA</v>
      </c>
      <c r="U778" s="258"/>
      <c r="V778" s="394"/>
      <c r="W778" s="394"/>
      <c r="X778" s="392"/>
      <c r="Y778" s="395"/>
      <c r="Z778" s="395"/>
      <c r="AA778" s="395"/>
      <c r="AB778" s="395"/>
      <c r="AC778" s="395"/>
      <c r="AD778" s="395"/>
      <c r="AE778" s="395"/>
      <c r="AF778" s="395"/>
      <c r="AG778" s="395"/>
      <c r="AH778" s="395"/>
      <c r="AI778" s="395"/>
    </row>
    <row r="779" spans="2:35" ht="11.25" hidden="1" customHeight="1" outlineLevel="1" x14ac:dyDescent="0.35">
      <c r="B779" s="244" t="s">
        <v>5372</v>
      </c>
      <c r="C779" s="245"/>
      <c r="D779" s="279" t="str">
        <f>IF(Y87="","",Y87)</f>
        <v>NA</v>
      </c>
      <c r="E779" s="279" t="str">
        <f>IF(Z87="","",Z87)</f>
        <v>NA</v>
      </c>
      <c r="F779" s="279" t="str">
        <f>IF(AA87="","",AA87)</f>
        <v>NA</v>
      </c>
      <c r="G779" s="279" t="str">
        <f>IF(AB87="","",AB87)</f>
        <v>NA</v>
      </c>
      <c r="H779" s="279" t="str">
        <f>IF(AC87="","",AC87)</f>
        <v>NA</v>
      </c>
      <c r="I779" s="279" t="str">
        <f>IF(AD87="","",AD87)</f>
        <v>NA</v>
      </c>
      <c r="J779" s="279" t="str">
        <f>IF(AE87="","",AE87)</f>
        <v>NA</v>
      </c>
      <c r="K779" s="279" t="str">
        <f>IF(AF87="","",AF87)</f>
        <v>NA</v>
      </c>
      <c r="L779" s="279" t="str">
        <f>IF(AG87="","",AG87)</f>
        <v>NA</v>
      </c>
      <c r="M779" s="279" t="str">
        <f>IF(AH87="","",AH87)</f>
        <v>NA</v>
      </c>
      <c r="N779" s="279" t="str">
        <f>IF(AI87="","",AI87)</f>
        <v>NA</v>
      </c>
      <c r="U779" s="258"/>
      <c r="V779" s="394"/>
      <c r="W779" s="394"/>
      <c r="X779" s="392"/>
      <c r="Y779" s="395"/>
      <c r="Z779" s="395"/>
      <c r="AA779" s="395"/>
      <c r="AB779" s="395"/>
      <c r="AC779" s="395"/>
      <c r="AD779" s="395"/>
      <c r="AE779" s="395"/>
      <c r="AF779" s="395"/>
      <c r="AG779" s="395"/>
      <c r="AH779" s="395"/>
      <c r="AI779" s="395"/>
    </row>
    <row r="780" spans="2:35" ht="11.25" hidden="1" customHeight="1" outlineLevel="1" x14ac:dyDescent="0.35">
      <c r="B780" s="244"/>
      <c r="C780" s="245"/>
      <c r="D780" s="278"/>
      <c r="E780" s="307"/>
      <c r="F780" s="307"/>
      <c r="G780" s="307"/>
      <c r="H780" s="307"/>
      <c r="I780" s="307"/>
      <c r="J780" s="307"/>
      <c r="K780" s="307"/>
      <c r="L780" s="307"/>
      <c r="M780" s="307"/>
      <c r="N780" s="307"/>
      <c r="U780" s="258"/>
      <c r="V780" s="394"/>
      <c r="W780" s="394"/>
      <c r="X780" s="454"/>
      <c r="Y780" s="318"/>
      <c r="Z780" s="318"/>
      <c r="AA780" s="318"/>
      <c r="AB780" s="318"/>
      <c r="AC780" s="318"/>
      <c r="AD780" s="318"/>
      <c r="AE780" s="318"/>
      <c r="AF780" s="318"/>
      <c r="AG780" s="318"/>
      <c r="AH780" s="318"/>
      <c r="AI780" s="318"/>
    </row>
    <row r="781" spans="2:35" ht="11.25" hidden="1" customHeight="1" outlineLevel="1" x14ac:dyDescent="0.35">
      <c r="B781" s="246" t="s">
        <v>5461</v>
      </c>
      <c r="C781" s="245"/>
      <c r="D781" s="278"/>
      <c r="E781" s="307"/>
      <c r="F781" s="307"/>
      <c r="G781" s="307"/>
      <c r="H781" s="307"/>
      <c r="I781" s="307"/>
      <c r="J781" s="307"/>
      <c r="K781" s="307"/>
      <c r="L781" s="307"/>
      <c r="M781" s="307"/>
      <c r="N781" s="307"/>
      <c r="U781" s="453"/>
      <c r="V781" s="394"/>
      <c r="W781" s="394"/>
      <c r="X781" s="454"/>
      <c r="Y781" s="318"/>
      <c r="Z781" s="318"/>
      <c r="AA781" s="318"/>
      <c r="AB781" s="318"/>
      <c r="AC781" s="318"/>
      <c r="AD781" s="318"/>
      <c r="AE781" s="318"/>
      <c r="AF781" s="318"/>
      <c r="AG781" s="318"/>
      <c r="AH781" s="318"/>
      <c r="AI781" s="318"/>
    </row>
    <row r="782" spans="2:35" ht="11.25" hidden="1" customHeight="1" outlineLevel="1" x14ac:dyDescent="0.35">
      <c r="B782" s="244" t="s">
        <v>5365</v>
      </c>
      <c r="C782" s="245"/>
      <c r="D782" s="279" t="str">
        <f>IF(Y90="","",Y90)</f>
        <v>NA</v>
      </c>
      <c r="E782" s="279" t="str">
        <f>IF(Z90="","",Z90)</f>
        <v>NA</v>
      </c>
      <c r="F782" s="279" t="str">
        <f>IF(AA90="","",AA90)</f>
        <v>NA</v>
      </c>
      <c r="G782" s="279" t="str">
        <f>IF(AB90="","",AB90)</f>
        <v>NA</v>
      </c>
      <c r="H782" s="279" t="str">
        <f>IF(AC90="","",AC90)</f>
        <v>NA</v>
      </c>
      <c r="I782" s="279" t="str">
        <f>IF(AD90="","",AD90)</f>
        <v>NA</v>
      </c>
      <c r="J782" s="279" t="str">
        <f>IF(AE90="","",AE90)</f>
        <v>NA</v>
      </c>
      <c r="K782" s="279" t="str">
        <f>IF(AF90="","",AF90)</f>
        <v>NA</v>
      </c>
      <c r="L782" s="279" t="str">
        <f>IF(AG90="","",AG90)</f>
        <v>NA</v>
      </c>
      <c r="M782" s="279" t="str">
        <f>IF(AH90="","",AH90)</f>
        <v>NA</v>
      </c>
      <c r="N782" s="279" t="str">
        <f>IF(AI90="","",AI90)</f>
        <v>NA</v>
      </c>
      <c r="U782" s="258"/>
      <c r="V782" s="394"/>
      <c r="W782" s="394"/>
      <c r="X782" s="392"/>
      <c r="Y782" s="395"/>
      <c r="Z782" s="395"/>
      <c r="AA782" s="395"/>
      <c r="AB782" s="395"/>
      <c r="AC782" s="395"/>
      <c r="AD782" s="395"/>
      <c r="AE782" s="395"/>
      <c r="AF782" s="395"/>
      <c r="AG782" s="395"/>
      <c r="AH782" s="395"/>
      <c r="AI782" s="395"/>
    </row>
    <row r="783" spans="2:35" ht="11.25" hidden="1" customHeight="1" outlineLevel="1" x14ac:dyDescent="0.35">
      <c r="B783" s="244" t="s">
        <v>5366</v>
      </c>
      <c r="C783" s="245"/>
      <c r="D783" s="279" t="str">
        <f>IF(Y91="","",Y91)</f>
        <v>NA</v>
      </c>
      <c r="E783" s="279" t="str">
        <f>IF(Z91="","",Z91)</f>
        <v>NA</v>
      </c>
      <c r="F783" s="279" t="str">
        <f>IF(AA91="","",AA91)</f>
        <v>NA</v>
      </c>
      <c r="G783" s="279" t="str">
        <f>IF(AB91="","",AB91)</f>
        <v>NA</v>
      </c>
      <c r="H783" s="279" t="str">
        <f>IF(AC91="","",AC91)</f>
        <v>NA</v>
      </c>
      <c r="I783" s="279" t="str">
        <f>IF(AD91="","",AD91)</f>
        <v>NA</v>
      </c>
      <c r="J783" s="279" t="str">
        <f>IF(AE91="","",AE91)</f>
        <v>NA</v>
      </c>
      <c r="K783" s="279" t="str">
        <f>IF(AF91="","",AF91)</f>
        <v>NA</v>
      </c>
      <c r="L783" s="279" t="str">
        <f>IF(AG91="","",AG91)</f>
        <v>NA</v>
      </c>
      <c r="M783" s="279" t="str">
        <f>IF(AH91="","",AH91)</f>
        <v>NA</v>
      </c>
      <c r="N783" s="279" t="str">
        <f>IF(AI91="","",AI91)</f>
        <v>NA</v>
      </c>
      <c r="U783" s="258"/>
      <c r="V783" s="394"/>
      <c r="W783" s="394"/>
      <c r="X783" s="392"/>
      <c r="Y783" s="395"/>
      <c r="Z783" s="395"/>
      <c r="AA783" s="395"/>
      <c r="AB783" s="395"/>
      <c r="AC783" s="395"/>
      <c r="AD783" s="395"/>
      <c r="AE783" s="395"/>
      <c r="AF783" s="395"/>
      <c r="AG783" s="395"/>
      <c r="AH783" s="395"/>
      <c r="AI783" s="395"/>
    </row>
    <row r="784" spans="2:35" ht="11.25" hidden="1" customHeight="1" outlineLevel="1" x14ac:dyDescent="0.35">
      <c r="B784" s="244" t="s">
        <v>5122</v>
      </c>
      <c r="C784" s="245"/>
      <c r="D784" s="279" t="str">
        <f>IF(Y92="","",Y92)</f>
        <v>NA</v>
      </c>
      <c r="E784" s="279" t="str">
        <f>IF(Z92="","",Z92)</f>
        <v>NA</v>
      </c>
      <c r="F784" s="279" t="str">
        <f>IF(AA92="","",AA92)</f>
        <v>NA</v>
      </c>
      <c r="G784" s="279" t="str">
        <f>IF(AB92="","",AB92)</f>
        <v>NA</v>
      </c>
      <c r="H784" s="279" t="str">
        <f>IF(AC92="","",AC92)</f>
        <v>NA</v>
      </c>
      <c r="I784" s="279" t="str">
        <f>IF(AD92="","",AD92)</f>
        <v>NA</v>
      </c>
      <c r="J784" s="279" t="str">
        <f>IF(AE92="","",AE92)</f>
        <v>NA</v>
      </c>
      <c r="K784" s="279" t="str">
        <f>IF(AF92="","",AF92)</f>
        <v>NA</v>
      </c>
      <c r="L784" s="279" t="str">
        <f>IF(AG92="","",AG92)</f>
        <v>NA</v>
      </c>
      <c r="M784" s="279" t="str">
        <f>IF(AH92="","",AH92)</f>
        <v>NA</v>
      </c>
      <c r="N784" s="279" t="str">
        <f>IF(AI92="","",AI92)</f>
        <v>NA</v>
      </c>
      <c r="U784" s="258"/>
      <c r="V784" s="394"/>
      <c r="W784" s="394"/>
      <c r="X784" s="392"/>
      <c r="Y784" s="395"/>
      <c r="Z784" s="395"/>
      <c r="AA784" s="395"/>
      <c r="AB784" s="395"/>
      <c r="AC784" s="395"/>
      <c r="AD784" s="395"/>
      <c r="AE784" s="395"/>
      <c r="AF784" s="395"/>
      <c r="AG784" s="395"/>
      <c r="AH784" s="395"/>
      <c r="AI784" s="395"/>
    </row>
    <row r="785" spans="2:35" ht="11.25" hidden="1" customHeight="1" outlineLevel="1" x14ac:dyDescent="0.35">
      <c r="B785" s="244" t="s">
        <v>5124</v>
      </c>
      <c r="C785" s="245"/>
      <c r="D785" s="279" t="str">
        <f>IF(Y93="","",Y93)</f>
        <v>NA</v>
      </c>
      <c r="E785" s="279" t="str">
        <f>IF(Z93="","",Z93)</f>
        <v>NA</v>
      </c>
      <c r="F785" s="279" t="str">
        <f>IF(AA93="","",AA93)</f>
        <v>NA</v>
      </c>
      <c r="G785" s="279" t="str">
        <f>IF(AB93="","",AB93)</f>
        <v>NA</v>
      </c>
      <c r="H785" s="279" t="str">
        <f>IF(AC93="","",AC93)</f>
        <v>NA</v>
      </c>
      <c r="I785" s="279" t="str">
        <f>IF(AD93="","",AD93)</f>
        <v>NA</v>
      </c>
      <c r="J785" s="279" t="str">
        <f>IF(AE93="","",AE93)</f>
        <v>NA</v>
      </c>
      <c r="K785" s="279" t="str">
        <f>IF(AF93="","",AF93)</f>
        <v>NA</v>
      </c>
      <c r="L785" s="279" t="str">
        <f>IF(AG93="","",AG93)</f>
        <v>NA</v>
      </c>
      <c r="M785" s="279" t="str">
        <f>IF(AH93="","",AH93)</f>
        <v>NA</v>
      </c>
      <c r="N785" s="279" t="str">
        <f>IF(AI93="","",AI93)</f>
        <v>NA</v>
      </c>
      <c r="U785" s="258"/>
      <c r="V785" s="394"/>
      <c r="W785" s="394"/>
      <c r="X785" s="392"/>
      <c r="Y785" s="395"/>
      <c r="Z785" s="395"/>
      <c r="AA785" s="395"/>
      <c r="AB785" s="395"/>
      <c r="AC785" s="395"/>
      <c r="AD785" s="395"/>
      <c r="AE785" s="395"/>
      <c r="AF785" s="395"/>
      <c r="AG785" s="395"/>
      <c r="AH785" s="395"/>
      <c r="AI785" s="395"/>
    </row>
    <row r="786" spans="2:35" ht="11.25" hidden="1" customHeight="1" outlineLevel="1" x14ac:dyDescent="0.35">
      <c r="B786" s="244" t="s">
        <v>5121</v>
      </c>
      <c r="C786" s="245"/>
      <c r="D786" s="279" t="str">
        <f>IF(Y94="","",Y94)</f>
        <v>NA</v>
      </c>
      <c r="E786" s="279" t="str">
        <f>IF(Z94="","",Z94)</f>
        <v>NA</v>
      </c>
      <c r="F786" s="279" t="str">
        <f>IF(AA94="","",AA94)</f>
        <v>NA</v>
      </c>
      <c r="G786" s="279" t="str">
        <f>IF(AB94="","",AB94)</f>
        <v>NA</v>
      </c>
      <c r="H786" s="279" t="str">
        <f>IF(AC94="","",AC94)</f>
        <v>NA</v>
      </c>
      <c r="I786" s="279" t="str">
        <f>IF(AD94="","",AD94)</f>
        <v>NA</v>
      </c>
      <c r="J786" s="279" t="str">
        <f>IF(AE94="","",AE94)</f>
        <v>NA</v>
      </c>
      <c r="K786" s="279" t="str">
        <f>IF(AF94="","",AF94)</f>
        <v>NA</v>
      </c>
      <c r="L786" s="279" t="str">
        <f>IF(AG94="","",AG94)</f>
        <v>NA</v>
      </c>
      <c r="M786" s="279" t="str">
        <f>IF(AH94="","",AH94)</f>
        <v>NA</v>
      </c>
      <c r="N786" s="279" t="str">
        <f>IF(AI94="","",AI94)</f>
        <v>NA</v>
      </c>
      <c r="U786" s="258"/>
      <c r="V786" s="394"/>
      <c r="W786" s="394"/>
      <c r="X786" s="392"/>
      <c r="Y786" s="395"/>
      <c r="Z786" s="395"/>
      <c r="AA786" s="395"/>
      <c r="AB786" s="395"/>
      <c r="AC786" s="395"/>
      <c r="AD786" s="395"/>
      <c r="AE786" s="395"/>
      <c r="AF786" s="395"/>
      <c r="AG786" s="395"/>
      <c r="AH786" s="395"/>
      <c r="AI786" s="395"/>
    </row>
    <row r="787" spans="2:35" ht="11.25" hidden="1" customHeight="1" outlineLevel="1" x14ac:dyDescent="0.35">
      <c r="B787" s="244" t="s">
        <v>5367</v>
      </c>
      <c r="C787" s="245"/>
      <c r="D787" s="279" t="str">
        <f>IF(Y95="","",Y95)</f>
        <v>NA</v>
      </c>
      <c r="E787" s="279" t="str">
        <f>IF(Z95="","",Z95)</f>
        <v>NA</v>
      </c>
      <c r="F787" s="279" t="str">
        <f>IF(AA95="","",AA95)</f>
        <v>NA</v>
      </c>
      <c r="G787" s="279" t="str">
        <f>IF(AB95="","",AB95)</f>
        <v>NA</v>
      </c>
      <c r="H787" s="279" t="str">
        <f>IF(AC95="","",AC95)</f>
        <v>NA</v>
      </c>
      <c r="I787" s="279" t="str">
        <f>IF(AD95="","",AD95)</f>
        <v>NA</v>
      </c>
      <c r="J787" s="279" t="str">
        <f>IF(AE95="","",AE95)</f>
        <v>NA</v>
      </c>
      <c r="K787" s="279" t="str">
        <f>IF(AF95="","",AF95)</f>
        <v>NA</v>
      </c>
      <c r="L787" s="279" t="str">
        <f>IF(AG95="","",AG95)</f>
        <v>NA</v>
      </c>
      <c r="M787" s="279" t="str">
        <f>IF(AH95="","",AH95)</f>
        <v>NA</v>
      </c>
      <c r="N787" s="279" t="str">
        <f>IF(AI95="","",AI95)</f>
        <v>NA</v>
      </c>
      <c r="U787" s="258"/>
      <c r="V787" s="394"/>
      <c r="W787" s="394"/>
      <c r="X787" s="392"/>
      <c r="Y787" s="395"/>
      <c r="Z787" s="395"/>
      <c r="AA787" s="395"/>
      <c r="AB787" s="395"/>
      <c r="AC787" s="395"/>
      <c r="AD787" s="395"/>
      <c r="AE787" s="395"/>
      <c r="AF787" s="395"/>
      <c r="AG787" s="395"/>
      <c r="AH787" s="395"/>
      <c r="AI787" s="395"/>
    </row>
    <row r="788" spans="2:35" ht="11.25" hidden="1" customHeight="1" outlineLevel="1" x14ac:dyDescent="0.35">
      <c r="B788" s="244" t="s">
        <v>5368</v>
      </c>
      <c r="C788" s="247"/>
      <c r="D788" s="279" t="str">
        <f>IF(Y96="","",Y96)</f>
        <v>NA</v>
      </c>
      <c r="E788" s="279" t="str">
        <f>IF(Z96="","",Z96)</f>
        <v>NA</v>
      </c>
      <c r="F788" s="279" t="str">
        <f>IF(AA96="","",AA96)</f>
        <v>NA</v>
      </c>
      <c r="G788" s="279" t="str">
        <f>IF(AB96="","",AB96)</f>
        <v>NA</v>
      </c>
      <c r="H788" s="279" t="str">
        <f>IF(AC96="","",AC96)</f>
        <v>NA</v>
      </c>
      <c r="I788" s="279" t="str">
        <f>IF(AD96="","",AD96)</f>
        <v>NA</v>
      </c>
      <c r="J788" s="279" t="str">
        <f>IF(AE96="","",AE96)</f>
        <v>NA</v>
      </c>
      <c r="K788" s="279" t="str">
        <f>IF(AF96="","",AF96)</f>
        <v>NA</v>
      </c>
      <c r="L788" s="279" t="str">
        <f>IF(AG96="","",AG96)</f>
        <v>NA</v>
      </c>
      <c r="M788" s="279" t="str">
        <f>IF(AH96="","",AH96)</f>
        <v>NA</v>
      </c>
      <c r="N788" s="279" t="str">
        <f>IF(AI96="","",AI96)</f>
        <v>NA</v>
      </c>
      <c r="U788" s="258"/>
      <c r="V788" s="394"/>
      <c r="W788" s="394"/>
      <c r="X788" s="392"/>
      <c r="Y788" s="395"/>
      <c r="Z788" s="395"/>
      <c r="AA788" s="395"/>
      <c r="AB788" s="395"/>
      <c r="AC788" s="395"/>
      <c r="AD788" s="395"/>
      <c r="AE788" s="395"/>
      <c r="AF788" s="395"/>
      <c r="AG788" s="395"/>
      <c r="AH788" s="395"/>
      <c r="AI788" s="395"/>
    </row>
    <row r="789" spans="2:35" ht="11.25" hidden="1" customHeight="1" outlineLevel="1" x14ac:dyDescent="0.35">
      <c r="B789" s="244" t="s">
        <v>5369</v>
      </c>
      <c r="C789" s="247"/>
      <c r="D789" s="279" t="str">
        <f>IF(Y97="","",Y97)</f>
        <v>NA</v>
      </c>
      <c r="E789" s="279" t="str">
        <f>IF(Z97="","",Z97)</f>
        <v>NA</v>
      </c>
      <c r="F789" s="279" t="str">
        <f>IF(AA97="","",AA97)</f>
        <v>NA</v>
      </c>
      <c r="G789" s="279" t="str">
        <f>IF(AB97="","",AB97)</f>
        <v>NA</v>
      </c>
      <c r="H789" s="279" t="str">
        <f>IF(AC97="","",AC97)</f>
        <v>NA</v>
      </c>
      <c r="I789" s="279" t="str">
        <f>IF(AD97="","",AD97)</f>
        <v>NA</v>
      </c>
      <c r="J789" s="279" t="str">
        <f>IF(AE97="","",AE97)</f>
        <v>NA</v>
      </c>
      <c r="K789" s="279" t="str">
        <f>IF(AF97="","",AF97)</f>
        <v>NA</v>
      </c>
      <c r="L789" s="279" t="str">
        <f>IF(AG97="","",AG97)</f>
        <v>NA</v>
      </c>
      <c r="M789" s="279" t="str">
        <f>IF(AH97="","",AH97)</f>
        <v>NA</v>
      </c>
      <c r="N789" s="279" t="str">
        <f>IF(AI97="","",AI97)</f>
        <v>NA</v>
      </c>
      <c r="U789" s="258"/>
      <c r="V789" s="394"/>
      <c r="W789" s="394"/>
      <c r="X789" s="392"/>
      <c r="Y789" s="395"/>
      <c r="Z789" s="395"/>
      <c r="AA789" s="395"/>
      <c r="AB789" s="395"/>
      <c r="AC789" s="395"/>
      <c r="AD789" s="395"/>
      <c r="AE789" s="395"/>
      <c r="AF789" s="395"/>
      <c r="AG789" s="395"/>
      <c r="AH789" s="395"/>
      <c r="AI789" s="395"/>
    </row>
    <row r="790" spans="2:35" ht="11.25" hidden="1" customHeight="1" outlineLevel="1" x14ac:dyDescent="0.35">
      <c r="B790" s="244" t="s">
        <v>5370</v>
      </c>
      <c r="C790" s="245"/>
      <c r="D790" s="279" t="str">
        <f>IF(Y98="","",Y98)</f>
        <v>NA</v>
      </c>
      <c r="E790" s="279" t="str">
        <f>IF(Z98="","",Z98)</f>
        <v>NA</v>
      </c>
      <c r="F790" s="279" t="str">
        <f>IF(AA98="","",AA98)</f>
        <v>NA</v>
      </c>
      <c r="G790" s="279" t="str">
        <f>IF(AB98="","",AB98)</f>
        <v>NA</v>
      </c>
      <c r="H790" s="279" t="str">
        <f>IF(AC98="","",AC98)</f>
        <v>NA</v>
      </c>
      <c r="I790" s="279" t="str">
        <f>IF(AD98="","",AD98)</f>
        <v>NA</v>
      </c>
      <c r="J790" s="279" t="str">
        <f>IF(AE98="","",AE98)</f>
        <v>NA</v>
      </c>
      <c r="K790" s="279" t="str">
        <f>IF(AF98="","",AF98)</f>
        <v>NA</v>
      </c>
      <c r="L790" s="279" t="str">
        <f>IF(AG98="","",AG98)</f>
        <v>NA</v>
      </c>
      <c r="M790" s="279" t="str">
        <f>IF(AH98="","",AH98)</f>
        <v>NA</v>
      </c>
      <c r="N790" s="279" t="str">
        <f>IF(AI98="","",AI98)</f>
        <v>NA</v>
      </c>
      <c r="U790" s="258"/>
      <c r="V790" s="394"/>
      <c r="W790" s="394"/>
      <c r="X790" s="392"/>
      <c r="Y790" s="395"/>
      <c r="Z790" s="395"/>
      <c r="AA790" s="395"/>
      <c r="AB790" s="395"/>
      <c r="AC790" s="395"/>
      <c r="AD790" s="395"/>
      <c r="AE790" s="395"/>
      <c r="AF790" s="395"/>
      <c r="AG790" s="395"/>
      <c r="AH790" s="395"/>
      <c r="AI790" s="395"/>
    </row>
    <row r="791" spans="2:35" ht="11.25" hidden="1" customHeight="1" outlineLevel="1" x14ac:dyDescent="0.35">
      <c r="B791" s="244" t="s">
        <v>5371</v>
      </c>
      <c r="C791" s="245"/>
      <c r="D791" s="279" t="str">
        <f>IF(Y99="","",Y99)</f>
        <v>NA</v>
      </c>
      <c r="E791" s="279" t="str">
        <f>IF(Z99="","",Z99)</f>
        <v>NA</v>
      </c>
      <c r="F791" s="279" t="str">
        <f>IF(AA99="","",AA99)</f>
        <v>NA</v>
      </c>
      <c r="G791" s="279" t="str">
        <f>IF(AB99="","",AB99)</f>
        <v>NA</v>
      </c>
      <c r="H791" s="279" t="str">
        <f>IF(AC99="","",AC99)</f>
        <v>NA</v>
      </c>
      <c r="I791" s="279" t="str">
        <f>IF(AD99="","",AD99)</f>
        <v>NA</v>
      </c>
      <c r="J791" s="279" t="str">
        <f>IF(AE99="","",AE99)</f>
        <v>NA</v>
      </c>
      <c r="K791" s="279" t="str">
        <f>IF(AF99="","",AF99)</f>
        <v>NA</v>
      </c>
      <c r="L791" s="279" t="str">
        <f>IF(AG99="","",AG99)</f>
        <v>NA</v>
      </c>
      <c r="M791" s="279" t="str">
        <f>IF(AH99="","",AH99)</f>
        <v>NA</v>
      </c>
      <c r="N791" s="279" t="str">
        <f>IF(AI99="","",AI99)</f>
        <v>NA</v>
      </c>
      <c r="U791" s="258"/>
      <c r="V791" s="394"/>
      <c r="W791" s="394"/>
      <c r="X791" s="392"/>
      <c r="Y791" s="395"/>
      <c r="Z791" s="395"/>
      <c r="AA791" s="395"/>
      <c r="AB791" s="395"/>
      <c r="AC791" s="395"/>
      <c r="AD791" s="395"/>
      <c r="AE791" s="395"/>
      <c r="AF791" s="395"/>
      <c r="AG791" s="395"/>
      <c r="AH791" s="395"/>
      <c r="AI791" s="395"/>
    </row>
    <row r="792" spans="2:35" ht="11.25" hidden="1" customHeight="1" outlineLevel="1" x14ac:dyDescent="0.35">
      <c r="B792" s="244" t="s">
        <v>5372</v>
      </c>
      <c r="C792" s="245"/>
      <c r="D792" s="279" t="str">
        <f>IF(Y100="","",Y100)</f>
        <v>NA</v>
      </c>
      <c r="E792" s="279" t="str">
        <f>IF(Z100="","",Z100)</f>
        <v>NA</v>
      </c>
      <c r="F792" s="279" t="str">
        <f>IF(AA100="","",AA100)</f>
        <v>NA</v>
      </c>
      <c r="G792" s="279" t="str">
        <f>IF(AB100="","",AB100)</f>
        <v>NA</v>
      </c>
      <c r="H792" s="279" t="str">
        <f>IF(AC100="","",AC100)</f>
        <v>NA</v>
      </c>
      <c r="I792" s="279" t="str">
        <f>IF(AD100="","",AD100)</f>
        <v>NA</v>
      </c>
      <c r="J792" s="279" t="str">
        <f>IF(AE100="","",AE100)</f>
        <v>NA</v>
      </c>
      <c r="K792" s="279" t="str">
        <f>IF(AF100="","",AF100)</f>
        <v>NA</v>
      </c>
      <c r="L792" s="279" t="str">
        <f>IF(AG100="","",AG100)</f>
        <v>NA</v>
      </c>
      <c r="M792" s="279" t="str">
        <f>IF(AH100="","",AH100)</f>
        <v>NA</v>
      </c>
      <c r="N792" s="279" t="str">
        <f>IF(AI100="","",AI100)</f>
        <v>NA</v>
      </c>
      <c r="U792" s="258"/>
      <c r="V792" s="394"/>
      <c r="W792" s="394"/>
      <c r="X792" s="392"/>
      <c r="Y792" s="395"/>
      <c r="Z792" s="395"/>
      <c r="AA792" s="395"/>
      <c r="AB792" s="395"/>
      <c r="AC792" s="395"/>
      <c r="AD792" s="395"/>
      <c r="AE792" s="395"/>
      <c r="AF792" s="395"/>
      <c r="AG792" s="395"/>
      <c r="AH792" s="395"/>
      <c r="AI792" s="395"/>
    </row>
    <row r="793" spans="2:35" ht="11.25" hidden="1" customHeight="1" outlineLevel="1" x14ac:dyDescent="0.35">
      <c r="B793" s="244"/>
      <c r="C793" s="245"/>
      <c r="D793" s="278"/>
      <c r="E793" s="278"/>
      <c r="F793" s="278"/>
      <c r="G793" s="278"/>
      <c r="H793" s="278"/>
      <c r="I793" s="278"/>
      <c r="J793" s="278"/>
      <c r="K793" s="278"/>
      <c r="L793" s="278"/>
      <c r="M793" s="278"/>
      <c r="N793" s="278"/>
    </row>
    <row r="794" spans="2:35" ht="11.25" customHeight="1" collapsed="1" x14ac:dyDescent="0.35">
      <c r="B794" s="246" t="s">
        <v>5510</v>
      </c>
      <c r="C794" s="245"/>
      <c r="D794" s="278"/>
      <c r="E794" s="278"/>
      <c r="F794" s="278"/>
      <c r="G794" s="278"/>
      <c r="H794" s="278"/>
      <c r="I794" s="278"/>
      <c r="J794" s="278"/>
      <c r="K794" s="278"/>
      <c r="L794" s="278"/>
      <c r="M794" s="278"/>
      <c r="N794" s="278"/>
    </row>
    <row r="795" spans="2:35" ht="11.25" customHeight="1" x14ac:dyDescent="0.35">
      <c r="B795" s="244" t="s">
        <v>5126</v>
      </c>
      <c r="C795" s="245">
        <v>123628</v>
      </c>
      <c r="D795" s="278">
        <v>21.5615734</v>
      </c>
      <c r="E795" s="278" t="s">
        <v>29</v>
      </c>
      <c r="F795" s="278" t="s">
        <v>29</v>
      </c>
      <c r="G795" s="278" t="s">
        <v>29</v>
      </c>
      <c r="H795" s="278" t="s">
        <v>29</v>
      </c>
      <c r="I795" s="278" t="s">
        <v>29</v>
      </c>
      <c r="J795" s="278" t="s">
        <v>29</v>
      </c>
      <c r="K795" s="278" t="s">
        <v>29</v>
      </c>
      <c r="L795" s="278" t="s">
        <v>29</v>
      </c>
      <c r="M795" s="278" t="s">
        <v>2107</v>
      </c>
      <c r="N795" s="278" t="s">
        <v>29</v>
      </c>
    </row>
    <row r="796" spans="2:35" ht="11.25" customHeight="1" x14ac:dyDescent="0.35">
      <c r="B796" s="244" t="s">
        <v>5125</v>
      </c>
      <c r="C796" s="247">
        <v>123632</v>
      </c>
      <c r="D796" s="278">
        <v>18.127698899999999</v>
      </c>
      <c r="E796" s="307">
        <v>1.2645526</v>
      </c>
      <c r="F796" s="307">
        <v>6.8849231</v>
      </c>
      <c r="G796" s="307">
        <v>3.9141515999999998</v>
      </c>
      <c r="H796" s="307" t="s">
        <v>29</v>
      </c>
      <c r="I796" s="307">
        <v>18.087211799999999</v>
      </c>
      <c r="J796" s="307">
        <v>14.195476299999999</v>
      </c>
      <c r="K796" s="307">
        <v>37.606949399999998</v>
      </c>
      <c r="L796" s="307">
        <v>23.924295399999998</v>
      </c>
      <c r="M796" s="307">
        <v>27.303793899999999</v>
      </c>
      <c r="N796" s="307">
        <v>15.644952999999999</v>
      </c>
    </row>
    <row r="797" spans="2:35" ht="11.25" customHeight="1" x14ac:dyDescent="0.35">
      <c r="B797" s="244" t="s">
        <v>5124</v>
      </c>
      <c r="C797" s="245">
        <v>123636</v>
      </c>
      <c r="D797" s="278">
        <v>4.1976355999999999</v>
      </c>
      <c r="E797" s="307">
        <v>142.96066089999999</v>
      </c>
      <c r="F797" s="307">
        <v>521.37733809999997</v>
      </c>
      <c r="G797" s="307">
        <v>2.7600433</v>
      </c>
      <c r="H797" s="307" t="s">
        <v>29</v>
      </c>
      <c r="I797" s="307" t="s">
        <v>29</v>
      </c>
      <c r="J797" s="307">
        <v>4.8860044</v>
      </c>
      <c r="K797" s="307">
        <v>284.02363009999999</v>
      </c>
      <c r="L797" s="307">
        <v>76.326882600000005</v>
      </c>
      <c r="M797" s="307" t="s">
        <v>29</v>
      </c>
      <c r="N797" s="307" t="s">
        <v>29</v>
      </c>
    </row>
    <row r="798" spans="2:35" ht="11.25" customHeight="1" x14ac:dyDescent="0.35">
      <c r="B798" s="244" t="s">
        <v>5123</v>
      </c>
      <c r="C798" s="245">
        <v>123644</v>
      </c>
      <c r="D798" s="278">
        <v>31.5740345</v>
      </c>
      <c r="E798" s="307" t="s">
        <v>2107</v>
      </c>
      <c r="F798" s="307" t="s">
        <v>29</v>
      </c>
      <c r="G798" s="307" t="s">
        <v>29</v>
      </c>
      <c r="H798" s="307" t="s">
        <v>29</v>
      </c>
      <c r="I798" s="307">
        <v>0</v>
      </c>
      <c r="J798" s="307" t="s">
        <v>29</v>
      </c>
      <c r="K798" s="307" t="s">
        <v>29</v>
      </c>
      <c r="L798" s="307" t="s">
        <v>29</v>
      </c>
      <c r="M798" s="307" t="s">
        <v>29</v>
      </c>
      <c r="N798" s="307" t="s">
        <v>29</v>
      </c>
    </row>
    <row r="799" spans="2:35" ht="11.25" customHeight="1" x14ac:dyDescent="0.35">
      <c r="B799" s="244" t="s">
        <v>5122</v>
      </c>
      <c r="C799" s="245">
        <v>123648</v>
      </c>
      <c r="D799" s="278">
        <v>13.0187949</v>
      </c>
      <c r="E799" s="307">
        <v>1.0052004999999999</v>
      </c>
      <c r="F799" s="307" t="s">
        <v>2107</v>
      </c>
      <c r="G799" s="307">
        <v>26.465049700000002</v>
      </c>
      <c r="H799" s="307" t="s">
        <v>29</v>
      </c>
      <c r="I799" s="307">
        <v>18.231909099999999</v>
      </c>
      <c r="J799" s="307" t="s">
        <v>2107</v>
      </c>
      <c r="K799" s="307">
        <v>0</v>
      </c>
      <c r="L799" s="307" t="s">
        <v>29</v>
      </c>
      <c r="M799" s="307" t="s">
        <v>29</v>
      </c>
      <c r="N799" s="307">
        <v>15.318938899999999</v>
      </c>
    </row>
    <row r="800" spans="2:35" ht="11.25" customHeight="1" x14ac:dyDescent="0.35">
      <c r="B800" s="244" t="s">
        <v>5121</v>
      </c>
      <c r="C800" s="245">
        <v>123652</v>
      </c>
      <c r="D800" s="278">
        <v>4.7472060000000003</v>
      </c>
      <c r="E800" s="307" t="s">
        <v>2107</v>
      </c>
      <c r="F800" s="307" t="s">
        <v>29</v>
      </c>
      <c r="G800" s="307" t="s">
        <v>29</v>
      </c>
      <c r="H800" s="307" t="s">
        <v>29</v>
      </c>
      <c r="I800" s="307" t="s">
        <v>2107</v>
      </c>
      <c r="J800" s="307">
        <v>21.391057400000001</v>
      </c>
      <c r="K800" s="307">
        <v>11.595349199999999</v>
      </c>
      <c r="L800" s="307" t="s">
        <v>29</v>
      </c>
      <c r="M800" s="307" t="s">
        <v>29</v>
      </c>
      <c r="N800" s="307" t="s">
        <v>29</v>
      </c>
    </row>
    <row r="801" spans="2:14" ht="11.25" customHeight="1" x14ac:dyDescent="0.35">
      <c r="B801" s="244" t="s">
        <v>5120</v>
      </c>
      <c r="C801" s="245">
        <v>123656</v>
      </c>
      <c r="D801" s="278">
        <v>10.5313357</v>
      </c>
      <c r="E801" s="307">
        <v>1.5227162000000001</v>
      </c>
      <c r="F801" s="307" t="s">
        <v>29</v>
      </c>
      <c r="G801" s="307">
        <v>21.9781938</v>
      </c>
      <c r="H801" s="307">
        <v>16.913451500000001</v>
      </c>
      <c r="I801" s="307">
        <v>19.654847199999999</v>
      </c>
      <c r="J801" s="307">
        <v>10.834832499999999</v>
      </c>
      <c r="K801" s="307">
        <v>13.448672200000001</v>
      </c>
      <c r="L801" s="307" t="s">
        <v>29</v>
      </c>
      <c r="M801" s="307" t="s">
        <v>29</v>
      </c>
      <c r="N801" s="307">
        <v>15.8366974</v>
      </c>
    </row>
    <row r="802" spans="2:14" ht="11.25" customHeight="1" x14ac:dyDescent="0.35">
      <c r="B802" s="244" t="s">
        <v>5119</v>
      </c>
      <c r="C802" s="247">
        <v>123660</v>
      </c>
      <c r="D802" s="278">
        <v>35.846037699999997</v>
      </c>
      <c r="E802" s="307" t="s">
        <v>2107</v>
      </c>
      <c r="F802" s="307" t="s">
        <v>29</v>
      </c>
      <c r="G802" s="307" t="s">
        <v>29</v>
      </c>
      <c r="H802" s="307" t="s">
        <v>29</v>
      </c>
      <c r="I802" s="307" t="s">
        <v>29</v>
      </c>
      <c r="J802" s="307" t="s">
        <v>29</v>
      </c>
      <c r="K802" s="307" t="s">
        <v>29</v>
      </c>
      <c r="L802" s="307" t="s">
        <v>29</v>
      </c>
      <c r="M802" s="307" t="s">
        <v>29</v>
      </c>
      <c r="N802" s="307" t="s">
        <v>29</v>
      </c>
    </row>
    <row r="803" spans="2:14" ht="11.25" customHeight="1" x14ac:dyDescent="0.35">
      <c r="B803" s="244" t="s">
        <v>5107</v>
      </c>
      <c r="C803" s="245">
        <v>123664</v>
      </c>
      <c r="D803" s="278">
        <v>14.273306699999999</v>
      </c>
      <c r="E803" s="307">
        <v>7.1059368000000003</v>
      </c>
      <c r="F803" s="307">
        <v>0</v>
      </c>
      <c r="G803" s="307">
        <v>17.453368600000001</v>
      </c>
      <c r="H803" s="307">
        <v>6.1487474999999998</v>
      </c>
      <c r="I803" s="307">
        <v>25.272315899999999</v>
      </c>
      <c r="J803" s="307">
        <v>12.810862699999999</v>
      </c>
      <c r="K803" s="307">
        <v>20.146497400000001</v>
      </c>
      <c r="L803" s="307">
        <v>35.224603799999997</v>
      </c>
      <c r="M803" s="307">
        <v>103.3675327</v>
      </c>
      <c r="N803" s="307">
        <v>15.948064499999999</v>
      </c>
    </row>
    <row r="804" spans="2:14" ht="11.25" customHeight="1" x14ac:dyDescent="0.35">
      <c r="B804" s="244" t="s">
        <v>4946</v>
      </c>
      <c r="C804" s="245"/>
      <c r="D804" s="278"/>
      <c r="E804" s="307"/>
      <c r="F804" s="307"/>
      <c r="G804" s="307"/>
      <c r="H804" s="307"/>
      <c r="I804" s="307"/>
      <c r="J804" s="307"/>
      <c r="K804" s="307"/>
      <c r="L804" s="307"/>
      <c r="M804" s="307"/>
      <c r="N804" s="307"/>
    </row>
    <row r="805" spans="2:14" ht="11.25" customHeight="1" x14ac:dyDescent="0.35">
      <c r="B805" s="246" t="s">
        <v>5131</v>
      </c>
      <c r="C805" s="245"/>
      <c r="D805" s="278"/>
      <c r="E805" s="307"/>
      <c r="F805" s="307"/>
      <c r="G805" s="307"/>
      <c r="H805" s="307"/>
      <c r="I805" s="307"/>
      <c r="J805" s="307"/>
      <c r="K805" s="307"/>
      <c r="L805" s="307"/>
      <c r="M805" s="307"/>
      <c r="N805" s="307"/>
    </row>
    <row r="806" spans="2:14" ht="11.25" customHeight="1" x14ac:dyDescent="0.35">
      <c r="B806" s="244" t="s">
        <v>5130</v>
      </c>
      <c r="C806" s="245"/>
      <c r="D806" s="278">
        <f>IF(LEFT(D$6,4)&gt;"2018",IFERROR(100*SUM(D828,D841)/SUM(D854,D867),"NA"),D812)</f>
        <v>14.2887868</v>
      </c>
      <c r="E806" s="278">
        <f>IF(LEFT(E$6,4)&gt;"2018",IFERROR(100*SUM(E828,E841)/SUM(E854,E867),"NA"),E812)</f>
        <v>4.5186140000000004</v>
      </c>
      <c r="F806" s="278">
        <f>IF(LEFT(F$6,4)&gt;"2018",IFERROR(100*SUM(F828,F841)/SUM(F854,F867),"NA"),F812)</f>
        <v>1.2905104000000001</v>
      </c>
      <c r="G806" s="278">
        <f>IF(LEFT(G$6,4)&gt;"2018",IFERROR(100*SUM(G828,G841)/SUM(G854,G867),"NA"),G812)</f>
        <v>5.6155273000000001</v>
      </c>
      <c r="H806" s="278" t="str">
        <f>IF(LEFT(H$6,4)&gt;"2018",IFERROR(100*SUM(H828,H841)/SUM(H854,H867),"NA"),H812)</f>
        <v>NA</v>
      </c>
      <c r="I806" s="278">
        <f>IF(LEFT(I$6,4)&gt;"2018",IFERROR(100*SUM(I828,I841)/SUM(I854,I867),"NA"),I812)</f>
        <v>18.324708000000001</v>
      </c>
      <c r="J806" s="278">
        <f>IF(LEFT(J$6,4)&gt;"2018",IFERROR(100*SUM(J828,J841)/SUM(J854,J867),"NA"),J812)</f>
        <v>7.1570606999999997</v>
      </c>
      <c r="K806" s="278">
        <f>IF(LEFT(K$6,4)&gt;"2018",IFERROR(100*SUM(K828,K841)/SUM(K854,K867),"NA"),K812)</f>
        <v>18.307452099999999</v>
      </c>
      <c r="L806" s="278">
        <f>IF(LEFT(L$6,4)&gt;"2018",IFERROR(100*SUM(L828,L841)/SUM(L854,L867),"NA"),L812)</f>
        <v>13.242357200000001</v>
      </c>
      <c r="M806" s="278">
        <f>IF(LEFT(M$6,4)&gt;"2018",IFERROR(100*SUM(M828,M841)/SUM(M854,M867),"NA"),M812)</f>
        <v>10.472768200000001</v>
      </c>
      <c r="N806" s="278">
        <f>IF(LEFT(N$6,4)&gt;"2018",IFERROR(100*SUM(N828,N841)/SUM(N854,N867),"NA"),N812)</f>
        <v>17.621066899999999</v>
      </c>
    </row>
    <row r="807" spans="2:14" ht="11.25" customHeight="1" x14ac:dyDescent="0.35">
      <c r="B807" s="244" t="s">
        <v>5129</v>
      </c>
      <c r="C807" s="245"/>
      <c r="D807" s="278">
        <f>IF(LEFT(D$6,4)&gt;"2018",IFERROR(100*SUM(D829,D842)/SUM(D855,D868),"NA"),D813)</f>
        <v>5.1650662000000001</v>
      </c>
      <c r="E807" s="278">
        <f>IF(LEFT(E$6,4)&gt;"2018",IFERROR(100*SUM(E829,E842)/SUM(E855,E868),"NA"),E813)</f>
        <v>79.100771300000005</v>
      </c>
      <c r="F807" s="278">
        <f>IF(LEFT(F$6,4)&gt;"2018",IFERROR(100*SUM(F829,F842)/SUM(F855,F868),"NA"),F813)</f>
        <v>1.7075807000000001</v>
      </c>
      <c r="G807" s="278">
        <f>IF(LEFT(G$6,4)&gt;"2018",IFERROR(100*SUM(G829,G842)/SUM(G855,G868),"NA"),G813)</f>
        <v>3.1176105000000001</v>
      </c>
      <c r="H807" s="278" t="str">
        <f>IF(LEFT(H$6,4)&gt;"2018",IFERROR(100*SUM(H829,H842)/SUM(H855,H868),"NA"),H813)</f>
        <v>NA</v>
      </c>
      <c r="I807" s="278" t="str">
        <f>IF(LEFT(I$6,4)&gt;"2018",IFERROR(100*SUM(I829,I842)/SUM(I855,I868),"NA"),I813)</f>
        <v>NM</v>
      </c>
      <c r="J807" s="278">
        <f>IF(LEFT(J$6,4)&gt;"2018",IFERROR(100*SUM(J829,J842)/SUM(J855,J868),"NA"),J813)</f>
        <v>5.5355159</v>
      </c>
      <c r="K807" s="278">
        <f>IF(LEFT(K$6,4)&gt;"2018",IFERROR(100*SUM(K829,K842)/SUM(K855,K868),"NA"),K813)</f>
        <v>20.875842200000001</v>
      </c>
      <c r="L807" s="278">
        <f>IF(LEFT(L$6,4)&gt;"2018",IFERROR(100*SUM(L829,L842)/SUM(L855,L868),"NA"),L813)</f>
        <v>7.1794283999999999</v>
      </c>
      <c r="M807" s="278" t="str">
        <f>IF(LEFT(M$6,4)&gt;"2018",IFERROR(100*SUM(M829,M842)/SUM(M855,M868),"NA"),M813)</f>
        <v>NA</v>
      </c>
      <c r="N807" s="278" t="str">
        <f>IF(LEFT(N$6,4)&gt;"2018",IFERROR(100*SUM(N829,N842)/SUM(N855,N868),"NA"),N813)</f>
        <v>NA</v>
      </c>
    </row>
    <row r="808" spans="2:14" ht="11.25" customHeight="1" x14ac:dyDescent="0.35">
      <c r="B808" s="244" t="s">
        <v>5128</v>
      </c>
      <c r="C808" s="245"/>
      <c r="D808" s="278">
        <f>IF(LEFT(D$6,4)&gt;"2018",IFERROR(100*SUM(D824,D837)/SUM(D850,D863),"NA"),D814)</f>
        <v>9.0256836000000007</v>
      </c>
      <c r="E808" s="278">
        <f>IF(LEFT(E$6,4)&gt;"2018",IFERROR(100*SUM(E824,E837)/SUM(E850,E863),"NA"),E814)</f>
        <v>15.800330600000001</v>
      </c>
      <c r="F808" s="278">
        <f>IF(LEFT(F$6,4)&gt;"2018",IFERROR(100*SUM(F824,F837)/SUM(F850,F863),"NA"),F814)</f>
        <v>15.415248200000001</v>
      </c>
      <c r="G808" s="278">
        <f>IF(LEFT(G$6,4)&gt;"2018",IFERROR(100*SUM(G824,G837)/SUM(G850,G863),"NA"),G814)</f>
        <v>15.4552136</v>
      </c>
      <c r="H808" s="278">
        <f>IF(LEFT(H$6,4)&gt;"2018",IFERROR(100*SUM(H824,H837)/SUM(H850,H863),"NA"),H814)</f>
        <v>19.592348300000001</v>
      </c>
      <c r="I808" s="278">
        <f>IF(LEFT(I$6,4)&gt;"2018",IFERROR(100*SUM(I824,I837)/SUM(I850,I863),"NA"),I814)</f>
        <v>19.005147699999998</v>
      </c>
      <c r="J808" s="278">
        <f>IF(LEFT(J$6,4)&gt;"2018",IFERROR(100*SUM(J824,J837)/SUM(J850,J863),"NA"),J814)</f>
        <v>17.868846000000001</v>
      </c>
      <c r="K808" s="278">
        <f>IF(LEFT(K$6,4)&gt;"2018",IFERROR(100*SUM(K824,K837)/SUM(K850,K863),"NA"),K814)</f>
        <v>20.658185100000001</v>
      </c>
      <c r="L808" s="278">
        <f>IF(LEFT(L$6,4)&gt;"2018",IFERROR(100*SUM(L824,L837)/SUM(L850,L863),"NA"),L814)</f>
        <v>35.771179400000001</v>
      </c>
      <c r="M808" s="278">
        <f>IF(LEFT(M$6,4)&gt;"2018",IFERROR(100*SUM(M824,M837)/SUM(M850,M863),"NA"),M814)</f>
        <v>114.57737950000001</v>
      </c>
      <c r="N808" s="278">
        <f>IF(LEFT(N$6,4)&gt;"2018",IFERROR(100*SUM(N824,N837)/SUM(N850,N863),"NA"),N814)</f>
        <v>20.699656999999998</v>
      </c>
    </row>
    <row r="809" spans="2:14" ht="11.25" customHeight="1" x14ac:dyDescent="0.35">
      <c r="B809" s="244" t="s">
        <v>5387</v>
      </c>
      <c r="C809" s="245"/>
      <c r="D809" s="278">
        <f>IF(LEFT(D$6,4)&gt;"2018","NA",D815)</f>
        <v>40.000452600000003</v>
      </c>
      <c r="E809" s="278">
        <f>IF(LEFT(E$6,4)&gt;"2018","NA",E815)</f>
        <v>0</v>
      </c>
      <c r="F809" s="278" t="str">
        <f>IF(LEFT(F$6,4)&gt;"2018","NA",F815)</f>
        <v>NA</v>
      </c>
      <c r="G809" s="278" t="str">
        <f>IF(LEFT(G$6,4)&gt;"2018","NA",G815)</f>
        <v>NA</v>
      </c>
      <c r="H809" s="278" t="str">
        <f>IF(LEFT(H$6,4)&gt;"2018","NA",H815)</f>
        <v>NA</v>
      </c>
      <c r="I809" s="278">
        <f>IF(LEFT(I$6,4)&gt;"2018","NA",I815)</f>
        <v>0</v>
      </c>
      <c r="J809" s="278" t="str">
        <f>IF(LEFT(J$6,4)&gt;"2018","NA",J815)</f>
        <v>NA</v>
      </c>
      <c r="K809" s="278" t="str">
        <f>IF(LEFT(K$6,4)&gt;"2018","NA",K815)</f>
        <v>NA</v>
      </c>
      <c r="L809" s="278" t="str">
        <f>IF(LEFT(L$6,4)&gt;"2018","NA",L815)</f>
        <v>NA</v>
      </c>
      <c r="M809" s="278" t="str">
        <f>IF(LEFT(M$6,4)&gt;"2018","NA",M815)</f>
        <v>NA</v>
      </c>
      <c r="N809" s="278" t="str">
        <f>IF(LEFT(N$6,4)&gt;"2018","NA",N815)</f>
        <v>NA</v>
      </c>
    </row>
    <row r="810" spans="2:14" ht="11.25" customHeight="1" x14ac:dyDescent="0.35">
      <c r="B810" s="244" t="s">
        <v>5127</v>
      </c>
      <c r="C810" s="245"/>
      <c r="D810" s="278">
        <f>IF(LEFT(D$6,4)&gt;"2018",IFERROR(100*SUM(D825:D827,D838:D840)/SUM(D851:D853,D864:D866),"NA"),D816)</f>
        <v>0.85780670000000003</v>
      </c>
      <c r="E810" s="278" t="str">
        <f>IF(LEFT(E$6,4)&gt;"2018",IFERROR(100*SUM(E825:E827,E838:E840)/SUM(E851:E853,E864:E866),"NA"),E816)</f>
        <v>NA</v>
      </c>
      <c r="F810" s="278">
        <f>IF(LEFT(F$6,4)&gt;"2018",IFERROR(100*SUM(F825:F827,F838:F840)/SUM(F851:F853,F864:F866),"NA"),F816)</f>
        <v>0</v>
      </c>
      <c r="G810" s="278" t="str">
        <f>IF(LEFT(G$6,4)&gt;"2018",IFERROR(100*SUM(G825:G827,G838:G840)/SUM(G851:G853,G864:G866),"NA"),G816)</f>
        <v>NA</v>
      </c>
      <c r="H810" s="278" t="str">
        <f>IF(LEFT(H$6,4)&gt;"2018",IFERROR(100*SUM(H825:H827,H838:H840)/SUM(H851:H853,H864:H866),"NA"),H816)</f>
        <v>NA</v>
      </c>
      <c r="I810" s="278" t="str">
        <f>IF(LEFT(I$6,4)&gt;"2018",IFERROR(100*SUM(I825:I827,I838:I840)/SUM(I851:I853,I864:I866),"NA"),I816)</f>
        <v>NA</v>
      </c>
      <c r="J810" s="278">
        <f>IF(LEFT(J$6,4)&gt;"2018",IFERROR(100*SUM(J825:J827,J838:J840)/SUM(J851:J853,J864:J866),"NA"),J816)</f>
        <v>0</v>
      </c>
      <c r="K810" s="278">
        <f>IF(LEFT(K$6,4)&gt;"2018",IFERROR(100*SUM(K825:K827,K838:K840)/SUM(K851:K853,K864:K866),"NA"),K816)</f>
        <v>0</v>
      </c>
      <c r="L810" s="278" t="str">
        <f>IF(LEFT(L$6,4)&gt;"2018",IFERROR(100*SUM(L825:L827,L838:L840)/SUM(L851:L853,L864:L866),"NA"),L816)</f>
        <v>NA</v>
      </c>
      <c r="M810" s="278" t="str">
        <f>IF(LEFT(M$6,4)&gt;"2018",IFERROR(100*SUM(M825:M827,M838:M840)/SUM(M851:M853,M864:M866),"NA"),M816)</f>
        <v>NA</v>
      </c>
      <c r="N810" s="278" t="str">
        <f>IF(LEFT(N$6,4)&gt;"2018",IFERROR(100*SUM(N825:N827,N838:N840)/SUM(N851:N853,N864:N866),"NA"),N816)</f>
        <v>NA</v>
      </c>
    </row>
    <row r="811" spans="2:14" ht="11.25" customHeight="1" x14ac:dyDescent="0.35">
      <c r="B811" s="244" t="s">
        <v>4946</v>
      </c>
      <c r="C811" s="245"/>
      <c r="D811" s="278"/>
      <c r="E811" s="307"/>
      <c r="F811" s="307"/>
      <c r="G811" s="307"/>
      <c r="H811" s="307"/>
      <c r="I811" s="307"/>
      <c r="J811" s="307"/>
      <c r="K811" s="307"/>
      <c r="L811" s="307"/>
      <c r="M811" s="307"/>
      <c r="N811" s="307"/>
    </row>
    <row r="812" spans="2:14" ht="11.25" hidden="1" customHeight="1" outlineLevel="1" x14ac:dyDescent="0.35">
      <c r="B812" s="244" t="s">
        <v>5130</v>
      </c>
      <c r="C812" s="245">
        <v>123609</v>
      </c>
      <c r="D812" s="278">
        <v>14.2887868</v>
      </c>
      <c r="E812" s="307">
        <v>4.5186140000000004</v>
      </c>
      <c r="F812" s="307">
        <v>1.2905104000000001</v>
      </c>
      <c r="G812" s="307">
        <v>5.6155273000000001</v>
      </c>
      <c r="H812" s="307" t="s">
        <v>29</v>
      </c>
      <c r="I812" s="307">
        <v>18.324708000000001</v>
      </c>
      <c r="J812" s="307">
        <v>7.1570606999999997</v>
      </c>
      <c r="K812" s="307">
        <v>18.307452099999999</v>
      </c>
      <c r="L812" s="307">
        <v>13.242357200000001</v>
      </c>
      <c r="M812" s="307">
        <v>10.472768200000001</v>
      </c>
      <c r="N812" s="307">
        <v>17.621066899999999</v>
      </c>
    </row>
    <row r="813" spans="2:14" ht="11.25" hidden="1" customHeight="1" outlineLevel="1" x14ac:dyDescent="0.35">
      <c r="B813" s="244" t="s">
        <v>5129</v>
      </c>
      <c r="C813" s="245">
        <v>123613</v>
      </c>
      <c r="D813" s="278">
        <v>5.1650662000000001</v>
      </c>
      <c r="E813" s="307">
        <v>79.100771300000005</v>
      </c>
      <c r="F813" s="307">
        <v>1.7075807000000001</v>
      </c>
      <c r="G813" s="307">
        <v>3.1176105000000001</v>
      </c>
      <c r="H813" s="307" t="s">
        <v>29</v>
      </c>
      <c r="I813" s="307" t="s">
        <v>2107</v>
      </c>
      <c r="J813" s="307">
        <v>5.5355159</v>
      </c>
      <c r="K813" s="307">
        <v>20.875842200000001</v>
      </c>
      <c r="L813" s="307">
        <v>7.1794283999999999</v>
      </c>
      <c r="M813" s="307" t="s">
        <v>29</v>
      </c>
      <c r="N813" s="307" t="s">
        <v>29</v>
      </c>
    </row>
    <row r="814" spans="2:14" ht="11.25" hidden="1" customHeight="1" outlineLevel="1" x14ac:dyDescent="0.35">
      <c r="B814" s="244" t="s">
        <v>5128</v>
      </c>
      <c r="C814" s="247">
        <v>123617</v>
      </c>
      <c r="D814" s="278">
        <v>9.0256836000000007</v>
      </c>
      <c r="E814" s="307">
        <v>15.800330600000001</v>
      </c>
      <c r="F814" s="307">
        <v>15.415248200000001</v>
      </c>
      <c r="G814" s="307">
        <v>15.4552136</v>
      </c>
      <c r="H814" s="307">
        <v>19.592348300000001</v>
      </c>
      <c r="I814" s="307">
        <v>19.005147699999998</v>
      </c>
      <c r="J814" s="307">
        <v>17.868846000000001</v>
      </c>
      <c r="K814" s="307">
        <v>20.658185100000001</v>
      </c>
      <c r="L814" s="307">
        <v>35.771179400000001</v>
      </c>
      <c r="M814" s="307">
        <v>114.57737950000001</v>
      </c>
      <c r="N814" s="307">
        <v>20.699656999999998</v>
      </c>
    </row>
    <row r="815" spans="2:14" ht="11.25" hidden="1" customHeight="1" outlineLevel="1" x14ac:dyDescent="0.35">
      <c r="B815" s="244" t="s">
        <v>5387</v>
      </c>
      <c r="C815" s="245">
        <v>123621</v>
      </c>
      <c r="D815" s="278">
        <v>40.000452600000003</v>
      </c>
      <c r="E815" s="307">
        <v>0</v>
      </c>
      <c r="F815" s="307" t="s">
        <v>29</v>
      </c>
      <c r="G815" s="307" t="s">
        <v>29</v>
      </c>
      <c r="H815" s="307" t="s">
        <v>29</v>
      </c>
      <c r="I815" s="307">
        <v>0</v>
      </c>
      <c r="J815" s="307" t="s">
        <v>29</v>
      </c>
      <c r="K815" s="307" t="s">
        <v>29</v>
      </c>
      <c r="L815" s="307" t="s">
        <v>29</v>
      </c>
      <c r="M815" s="307" t="s">
        <v>29</v>
      </c>
      <c r="N815" s="307" t="s">
        <v>29</v>
      </c>
    </row>
    <row r="816" spans="2:14" ht="11.25" hidden="1" customHeight="1" outlineLevel="1" x14ac:dyDescent="0.35">
      <c r="B816" s="244" t="s">
        <v>5127</v>
      </c>
      <c r="C816" s="245">
        <v>123625</v>
      </c>
      <c r="D816" s="278">
        <v>0.85780670000000003</v>
      </c>
      <c r="E816" s="307" t="s">
        <v>29</v>
      </c>
      <c r="F816" s="307">
        <v>0</v>
      </c>
      <c r="G816" s="307" t="s">
        <v>29</v>
      </c>
      <c r="H816" s="307" t="s">
        <v>29</v>
      </c>
      <c r="I816" s="307" t="s">
        <v>29</v>
      </c>
      <c r="J816" s="307">
        <v>0</v>
      </c>
      <c r="K816" s="307">
        <v>0</v>
      </c>
      <c r="L816" s="307" t="s">
        <v>29</v>
      </c>
      <c r="M816" s="307" t="s">
        <v>29</v>
      </c>
      <c r="N816" s="307" t="s">
        <v>29</v>
      </c>
    </row>
    <row r="817" spans="2:35" ht="11.25" hidden="1" customHeight="1" outlineLevel="1" x14ac:dyDescent="0.55000000000000004">
      <c r="B817" s="244" t="s">
        <v>4946</v>
      </c>
      <c r="C817" s="245"/>
      <c r="D817" s="278"/>
      <c r="E817" s="307"/>
      <c r="F817" s="307"/>
      <c r="G817" s="307"/>
      <c r="H817" s="307"/>
      <c r="I817" s="307"/>
      <c r="J817" s="307"/>
      <c r="K817" s="307"/>
      <c r="L817" s="307"/>
      <c r="M817" s="307"/>
      <c r="N817" s="307"/>
      <c r="U817" s="396" t="str">
        <f ca="1">[1]!snltable(287,$Y$817:$AI$817,$V$819:$V$842,$W$819:$W$842,,"Options:Curr=USD, Mag=Thousands, ConvMethod=SNLrecommended")</f>
        <v>SNLTable</v>
      </c>
      <c r="V817" s="397"/>
      <c r="W817" s="397"/>
      <c r="X817" s="397"/>
      <c r="Y817" s="298" t="str">
        <f ca="1">IF(Entity_Code="","",Entity_Code)</f>
        <v>I36</v>
      </c>
      <c r="Z817" s="298" t="str">
        <f ca="1">IF(Entity_C1="","",Entity_C1)</f>
        <v>C2874</v>
      </c>
      <c r="AA817" s="298" t="str">
        <f ca="1">IF(Entity_C2="","",Entity_C2)</f>
        <v>C5004</v>
      </c>
      <c r="AB817" s="298" t="str">
        <f ca="1">IF(Entity_C3="","",Entity_C3)</f>
        <v>C2093</v>
      </c>
      <c r="AC817" s="298" t="str">
        <f ca="1">IF(Entity_C4="","",Entity_C4)</f>
        <v>C2623</v>
      </c>
      <c r="AD817" s="298" t="str">
        <f ca="1">IF(Entity_C5="","",Entity_C5)</f>
        <v>C3048</v>
      </c>
      <c r="AE817" s="298" t="str">
        <f ca="1">IF(Entity_C6="","",Entity_C6)</f>
        <v>C2409</v>
      </c>
      <c r="AF817" s="298" t="str">
        <f ca="1">IF(Entity_C7="","",Entity_C7)</f>
        <v>C2921</v>
      </c>
      <c r="AG817" s="298" t="str">
        <f ca="1">IF(Entity_C8="","",Entity_C8)</f>
        <v>C2284</v>
      </c>
      <c r="AH817" s="298" t="str">
        <f ca="1">IF(Entity_C9="","",Entity_C9)</f>
        <v>C3613</v>
      </c>
      <c r="AI817" s="298" t="str">
        <f ca="1">IF(Entity_C10="","",Entity_C10)</f>
        <v>C2253</v>
      </c>
    </row>
    <row r="818" spans="2:35" ht="11.25" hidden="1" customHeight="1" outlineLevel="1" x14ac:dyDescent="0.55000000000000004">
      <c r="B818" s="246" t="s">
        <v>5479</v>
      </c>
      <c r="C818" s="245"/>
      <c r="D818" s="334"/>
      <c r="E818" s="334"/>
      <c r="F818" s="334"/>
      <c r="G818" s="334"/>
      <c r="H818" s="334"/>
      <c r="I818" s="334"/>
      <c r="J818" s="334"/>
      <c r="K818" s="334"/>
      <c r="L818" s="334"/>
      <c r="M818" s="334"/>
      <c r="N818" s="334"/>
      <c r="U818" s="403"/>
      <c r="V818" s="400"/>
      <c r="W818" s="400"/>
      <c r="X818" s="400"/>
      <c r="Y818" s="402"/>
      <c r="Z818" s="402"/>
      <c r="AA818" s="402"/>
      <c r="AB818" s="402"/>
      <c r="AC818" s="402"/>
      <c r="AD818" s="402"/>
      <c r="AE818" s="402"/>
      <c r="AF818" s="402"/>
      <c r="AG818" s="402"/>
      <c r="AH818" s="402"/>
      <c r="AI818" s="402"/>
    </row>
    <row r="819" spans="2:35" ht="11.25" hidden="1" customHeight="1" outlineLevel="1" x14ac:dyDescent="0.35">
      <c r="B819" s="244" t="s">
        <v>5365</v>
      </c>
      <c r="C819" s="245"/>
      <c r="D819" s="279" t="str">
        <f>IF(Y819="","",Y819)</f>
        <v>NA</v>
      </c>
      <c r="E819" s="279" t="str">
        <f>IF(Z819="","",Z819)</f>
        <v>NA</v>
      </c>
      <c r="F819" s="279" t="str">
        <f>IF(AA819="","",AA819)</f>
        <v>NA</v>
      </c>
      <c r="G819" s="279" t="str">
        <f>IF(AB819="","",AB819)</f>
        <v>NA</v>
      </c>
      <c r="H819" s="279" t="str">
        <f>IF(AC819="","",AC819)</f>
        <v>NA</v>
      </c>
      <c r="I819" s="279" t="str">
        <f>IF(AD819="","",AD819)</f>
        <v>NA</v>
      </c>
      <c r="J819" s="279" t="str">
        <f>IF(AE819="","",AE819)</f>
        <v>NA</v>
      </c>
      <c r="K819" s="279" t="str">
        <f>IF(AF819="","",AF819)</f>
        <v>NA</v>
      </c>
      <c r="L819" s="279" t="str">
        <f>IF(AG819="","",AG819)</f>
        <v>NA</v>
      </c>
      <c r="M819" s="279" t="str">
        <f>IF(AH819="","",AH819)</f>
        <v>NA</v>
      </c>
      <c r="N819" s="279" t="str">
        <f>IF(AI819="","",AI819)</f>
        <v>NA</v>
      </c>
      <c r="U819" s="384" t="s">
        <v>5479</v>
      </c>
      <c r="V819" s="385" t="s">
        <v>5389</v>
      </c>
      <c r="W819" s="385" t="str">
        <f t="shared" ref="W819:W829" si="15">Period</f>
        <v>2014Y</v>
      </c>
      <c r="X819" s="386" t="str">
        <f>[1]!SNLLabel(287,324683,,"&lt;&gt;360")</f>
        <v>AR: Analysis of Operations All Lines</v>
      </c>
      <c r="Y819" s="387" t="s">
        <v>29</v>
      </c>
      <c r="Z819" s="387" t="s">
        <v>29</v>
      </c>
      <c r="AA819" s="387" t="s">
        <v>29</v>
      </c>
      <c r="AB819" s="387" t="s">
        <v>29</v>
      </c>
      <c r="AC819" s="387" t="s">
        <v>29</v>
      </c>
      <c r="AD819" s="387" t="s">
        <v>29</v>
      </c>
      <c r="AE819" s="387" t="s">
        <v>29</v>
      </c>
      <c r="AF819" s="387" t="s">
        <v>29</v>
      </c>
      <c r="AG819" s="387" t="s">
        <v>29</v>
      </c>
      <c r="AH819" s="387" t="s">
        <v>29</v>
      </c>
      <c r="AI819" s="387" t="s">
        <v>29</v>
      </c>
    </row>
    <row r="820" spans="2:35" ht="11.25" hidden="1" customHeight="1" outlineLevel="1" x14ac:dyDescent="0.35">
      <c r="B820" s="244" t="s">
        <v>5366</v>
      </c>
      <c r="C820" s="245"/>
      <c r="D820" s="279" t="str">
        <f>IF(Y820="","",Y820)</f>
        <v>NA</v>
      </c>
      <c r="E820" s="279" t="str">
        <f>IF(Z820="","",Z820)</f>
        <v>NA</v>
      </c>
      <c r="F820" s="279" t="str">
        <f>IF(AA820="","",AA820)</f>
        <v>NA</v>
      </c>
      <c r="G820" s="279" t="str">
        <f>IF(AB820="","",AB820)</f>
        <v>NA</v>
      </c>
      <c r="H820" s="279" t="str">
        <f>IF(AC820="","",AC820)</f>
        <v>NA</v>
      </c>
      <c r="I820" s="279" t="str">
        <f>IF(AD820="","",AD820)</f>
        <v>NA</v>
      </c>
      <c r="J820" s="279" t="str">
        <f>IF(AE820="","",AE820)</f>
        <v>NA</v>
      </c>
      <c r="K820" s="279" t="str">
        <f>IF(AF820="","",AF820)</f>
        <v>NA</v>
      </c>
      <c r="L820" s="279" t="str">
        <f>IF(AG820="","",AG820)</f>
        <v>NA</v>
      </c>
      <c r="M820" s="279" t="str">
        <f>IF(AH820="","",AH820)</f>
        <v>NA</v>
      </c>
      <c r="N820" s="279" t="str">
        <f>IF(AI820="","",AI820)</f>
        <v>NA</v>
      </c>
      <c r="U820" s="388" t="s">
        <v>5479</v>
      </c>
      <c r="V820" s="389" t="s">
        <v>5389</v>
      </c>
      <c r="W820" s="389" t="str">
        <f t="shared" si="15"/>
        <v>2014Y</v>
      </c>
      <c r="X820" s="390" t="str">
        <f>[1]!SNLLabel(287,324683,,"&lt;&gt;361")</f>
        <v>AR: Individual Life</v>
      </c>
      <c r="Y820" s="391" t="s">
        <v>29</v>
      </c>
      <c r="Z820" s="391" t="s">
        <v>29</v>
      </c>
      <c r="AA820" s="391" t="s">
        <v>29</v>
      </c>
      <c r="AB820" s="391" t="s">
        <v>29</v>
      </c>
      <c r="AC820" s="391" t="s">
        <v>29</v>
      </c>
      <c r="AD820" s="391" t="s">
        <v>29</v>
      </c>
      <c r="AE820" s="391" t="s">
        <v>29</v>
      </c>
      <c r="AF820" s="391" t="s">
        <v>29</v>
      </c>
      <c r="AG820" s="391" t="s">
        <v>29</v>
      </c>
      <c r="AH820" s="391" t="s">
        <v>29</v>
      </c>
      <c r="AI820" s="391" t="s">
        <v>29</v>
      </c>
    </row>
    <row r="821" spans="2:35" ht="11.25" hidden="1" customHeight="1" outlineLevel="1" x14ac:dyDescent="0.35">
      <c r="B821" s="244" t="s">
        <v>5122</v>
      </c>
      <c r="C821" s="245"/>
      <c r="D821" s="279" t="str">
        <f>IF(Y821="","",Y821)</f>
        <v>NA</v>
      </c>
      <c r="E821" s="279" t="str">
        <f>IF(Z821="","",Z821)</f>
        <v>NA</v>
      </c>
      <c r="F821" s="279" t="str">
        <f>IF(AA821="","",AA821)</f>
        <v>NA</v>
      </c>
      <c r="G821" s="279" t="str">
        <f>IF(AB821="","",AB821)</f>
        <v>NA</v>
      </c>
      <c r="H821" s="279" t="str">
        <f>IF(AC821="","",AC821)</f>
        <v>NA</v>
      </c>
      <c r="I821" s="279" t="str">
        <f>IF(AD821="","",AD821)</f>
        <v>NA</v>
      </c>
      <c r="J821" s="279" t="str">
        <f>IF(AE821="","",AE821)</f>
        <v>NA</v>
      </c>
      <c r="K821" s="279" t="str">
        <f>IF(AF821="","",AF821)</f>
        <v>NA</v>
      </c>
      <c r="L821" s="279" t="str">
        <f>IF(AG821="","",AG821)</f>
        <v>NA</v>
      </c>
      <c r="M821" s="279" t="str">
        <f>IF(AH821="","",AH821)</f>
        <v>NA</v>
      </c>
      <c r="N821" s="279" t="str">
        <f>IF(AI821="","",AI821)</f>
        <v>NA</v>
      </c>
      <c r="U821" s="388" t="s">
        <v>5479</v>
      </c>
      <c r="V821" s="389" t="s">
        <v>5389</v>
      </c>
      <c r="W821" s="389" t="str">
        <f t="shared" si="15"/>
        <v>2014Y</v>
      </c>
      <c r="X821" s="390" t="str">
        <f>[1]!SNLLabel(287,324683,,"&lt;&gt;362")</f>
        <v>AR: Group Life</v>
      </c>
      <c r="Y821" s="391" t="s">
        <v>29</v>
      </c>
      <c r="Z821" s="391" t="s">
        <v>29</v>
      </c>
      <c r="AA821" s="391" t="s">
        <v>29</v>
      </c>
      <c r="AB821" s="391" t="s">
        <v>29</v>
      </c>
      <c r="AC821" s="391" t="s">
        <v>29</v>
      </c>
      <c r="AD821" s="391" t="s">
        <v>29</v>
      </c>
      <c r="AE821" s="391" t="s">
        <v>29</v>
      </c>
      <c r="AF821" s="391" t="s">
        <v>29</v>
      </c>
      <c r="AG821" s="391" t="s">
        <v>29</v>
      </c>
      <c r="AH821" s="391" t="s">
        <v>29</v>
      </c>
      <c r="AI821" s="391" t="s">
        <v>29</v>
      </c>
    </row>
    <row r="822" spans="2:35" ht="11.25" hidden="1" customHeight="1" outlineLevel="1" x14ac:dyDescent="0.35">
      <c r="B822" s="244" t="s">
        <v>5124</v>
      </c>
      <c r="C822" s="245"/>
      <c r="D822" s="279" t="str">
        <f>IF(Y822="","",Y822)</f>
        <v>NA</v>
      </c>
      <c r="E822" s="279" t="str">
        <f>IF(Z822="","",Z822)</f>
        <v>NA</v>
      </c>
      <c r="F822" s="279" t="str">
        <f>IF(AA822="","",AA822)</f>
        <v>NA</v>
      </c>
      <c r="G822" s="279" t="str">
        <f>IF(AB822="","",AB822)</f>
        <v>NA</v>
      </c>
      <c r="H822" s="279" t="str">
        <f>IF(AC822="","",AC822)</f>
        <v>NA</v>
      </c>
      <c r="I822" s="279" t="str">
        <f>IF(AD822="","",AD822)</f>
        <v>NA</v>
      </c>
      <c r="J822" s="279" t="str">
        <f>IF(AE822="","",AE822)</f>
        <v>NA</v>
      </c>
      <c r="K822" s="279" t="str">
        <f>IF(AF822="","",AF822)</f>
        <v>NA</v>
      </c>
      <c r="L822" s="279" t="str">
        <f>IF(AG822="","",AG822)</f>
        <v>NA</v>
      </c>
      <c r="M822" s="279" t="str">
        <f>IF(AH822="","",AH822)</f>
        <v>NA</v>
      </c>
      <c r="N822" s="279" t="str">
        <f>IF(AI822="","",AI822)</f>
        <v>NA</v>
      </c>
      <c r="U822" s="388" t="s">
        <v>5479</v>
      </c>
      <c r="V822" s="389" t="s">
        <v>5389</v>
      </c>
      <c r="W822" s="389" t="str">
        <f t="shared" si="15"/>
        <v>2014Y</v>
      </c>
      <c r="X822" s="390" t="str">
        <f>[1]!SNLLabel(287,324683,,"&lt;&gt;363")</f>
        <v>AR: Individual Annuities</v>
      </c>
      <c r="Y822" s="391" t="s">
        <v>29</v>
      </c>
      <c r="Z822" s="391" t="s">
        <v>29</v>
      </c>
      <c r="AA822" s="391" t="s">
        <v>29</v>
      </c>
      <c r="AB822" s="391" t="s">
        <v>29</v>
      </c>
      <c r="AC822" s="391" t="s">
        <v>29</v>
      </c>
      <c r="AD822" s="391" t="s">
        <v>29</v>
      </c>
      <c r="AE822" s="391" t="s">
        <v>29</v>
      </c>
      <c r="AF822" s="391" t="s">
        <v>29</v>
      </c>
      <c r="AG822" s="391" t="s">
        <v>29</v>
      </c>
      <c r="AH822" s="391" t="s">
        <v>29</v>
      </c>
      <c r="AI822" s="391" t="s">
        <v>29</v>
      </c>
    </row>
    <row r="823" spans="2:35" ht="11.25" hidden="1" customHeight="1" outlineLevel="1" x14ac:dyDescent="0.35">
      <c r="B823" s="244" t="s">
        <v>5121</v>
      </c>
      <c r="C823" s="245"/>
      <c r="D823" s="279" t="str">
        <f>IF(Y823="","",Y823)</f>
        <v>NA</v>
      </c>
      <c r="E823" s="279" t="str">
        <f>IF(Z823="","",Z823)</f>
        <v>NA</v>
      </c>
      <c r="F823" s="279" t="str">
        <f>IF(AA823="","",AA823)</f>
        <v>NA</v>
      </c>
      <c r="G823" s="279" t="str">
        <f>IF(AB823="","",AB823)</f>
        <v>NA</v>
      </c>
      <c r="H823" s="279" t="str">
        <f>IF(AC823="","",AC823)</f>
        <v>NA</v>
      </c>
      <c r="I823" s="279" t="str">
        <f>IF(AD823="","",AD823)</f>
        <v>NA</v>
      </c>
      <c r="J823" s="279" t="str">
        <f>IF(AE823="","",AE823)</f>
        <v>NA</v>
      </c>
      <c r="K823" s="279" t="str">
        <f>IF(AF823="","",AF823)</f>
        <v>NA</v>
      </c>
      <c r="L823" s="279" t="str">
        <f>IF(AG823="","",AG823)</f>
        <v>NA</v>
      </c>
      <c r="M823" s="279" t="str">
        <f>IF(AH823="","",AH823)</f>
        <v>NA</v>
      </c>
      <c r="N823" s="279" t="str">
        <f>IF(AI823="","",AI823)</f>
        <v>NA</v>
      </c>
      <c r="U823" s="388" t="s">
        <v>5479</v>
      </c>
      <c r="V823" s="389" t="s">
        <v>5389</v>
      </c>
      <c r="W823" s="389" t="str">
        <f t="shared" si="15"/>
        <v>2014Y</v>
      </c>
      <c r="X823" s="390" t="str">
        <f>[1]!SNLLabel(287,324683,,"&lt;&gt;364")</f>
        <v>AR: Group Annuities</v>
      </c>
      <c r="Y823" s="391" t="s">
        <v>29</v>
      </c>
      <c r="Z823" s="391" t="s">
        <v>29</v>
      </c>
      <c r="AA823" s="391" t="s">
        <v>29</v>
      </c>
      <c r="AB823" s="391" t="s">
        <v>29</v>
      </c>
      <c r="AC823" s="391" t="s">
        <v>29</v>
      </c>
      <c r="AD823" s="391" t="s">
        <v>29</v>
      </c>
      <c r="AE823" s="391" t="s">
        <v>29</v>
      </c>
      <c r="AF823" s="391" t="s">
        <v>29</v>
      </c>
      <c r="AG823" s="391" t="s">
        <v>29</v>
      </c>
      <c r="AH823" s="391" t="s">
        <v>29</v>
      </c>
      <c r="AI823" s="391" t="s">
        <v>29</v>
      </c>
    </row>
    <row r="824" spans="2:35" ht="11.25" hidden="1" customHeight="1" outlineLevel="1" x14ac:dyDescent="0.35">
      <c r="B824" s="244" t="s">
        <v>5367</v>
      </c>
      <c r="C824" s="245"/>
      <c r="D824" s="279" t="str">
        <f>IF(Y824="","",Y824)</f>
        <v>NA</v>
      </c>
      <c r="E824" s="279" t="str">
        <f>IF(Z824="","",Z824)</f>
        <v>NA</v>
      </c>
      <c r="F824" s="279" t="str">
        <f>IF(AA824="","",AA824)</f>
        <v>NA</v>
      </c>
      <c r="G824" s="279" t="str">
        <f>IF(AB824="","",AB824)</f>
        <v>NA</v>
      </c>
      <c r="H824" s="279" t="str">
        <f>IF(AC824="","",AC824)</f>
        <v>NA</v>
      </c>
      <c r="I824" s="279" t="str">
        <f>IF(AD824="","",AD824)</f>
        <v>NA</v>
      </c>
      <c r="J824" s="279" t="str">
        <f>IF(AE824="","",AE824)</f>
        <v>NA</v>
      </c>
      <c r="K824" s="279" t="str">
        <f>IF(AF824="","",AF824)</f>
        <v>NA</v>
      </c>
      <c r="L824" s="279" t="str">
        <f>IF(AG824="","",AG824)</f>
        <v>NA</v>
      </c>
      <c r="M824" s="279" t="str">
        <f>IF(AH824="","",AH824)</f>
        <v>NA</v>
      </c>
      <c r="N824" s="279" t="str">
        <f>IF(AI824="","",AI824)</f>
        <v>NA</v>
      </c>
      <c r="U824" s="388" t="s">
        <v>5479</v>
      </c>
      <c r="V824" s="389" t="s">
        <v>5389</v>
      </c>
      <c r="W824" s="389" t="str">
        <f t="shared" si="15"/>
        <v>2014Y</v>
      </c>
      <c r="X824" s="390" t="str">
        <f>[1]!SNLLabel(287,324683,,"&lt;&gt;365")</f>
        <v>AR: Accident and Health</v>
      </c>
      <c r="Y824" s="391" t="s">
        <v>29</v>
      </c>
      <c r="Z824" s="391" t="s">
        <v>29</v>
      </c>
      <c r="AA824" s="391" t="s">
        <v>29</v>
      </c>
      <c r="AB824" s="391" t="s">
        <v>29</v>
      </c>
      <c r="AC824" s="391" t="s">
        <v>29</v>
      </c>
      <c r="AD824" s="391" t="s">
        <v>29</v>
      </c>
      <c r="AE824" s="391" t="s">
        <v>29</v>
      </c>
      <c r="AF824" s="391" t="s">
        <v>29</v>
      </c>
      <c r="AG824" s="391" t="s">
        <v>29</v>
      </c>
      <c r="AH824" s="391" t="s">
        <v>29</v>
      </c>
      <c r="AI824" s="391" t="s">
        <v>29</v>
      </c>
    </row>
    <row r="825" spans="2:35" ht="11.25" hidden="1" customHeight="1" outlineLevel="1" x14ac:dyDescent="0.35">
      <c r="B825" s="244" t="s">
        <v>5368</v>
      </c>
      <c r="C825" s="247"/>
      <c r="D825" s="279" t="str">
        <f>IF(Y825="","",Y825)</f>
        <v>NA</v>
      </c>
      <c r="E825" s="279" t="str">
        <f>IF(Z825="","",Z825)</f>
        <v>NA</v>
      </c>
      <c r="F825" s="279" t="str">
        <f>IF(AA825="","",AA825)</f>
        <v>NA</v>
      </c>
      <c r="G825" s="279" t="str">
        <f>IF(AB825="","",AB825)</f>
        <v>NA</v>
      </c>
      <c r="H825" s="279" t="str">
        <f>IF(AC825="","",AC825)</f>
        <v>NA</v>
      </c>
      <c r="I825" s="279" t="str">
        <f>IF(AD825="","",AD825)</f>
        <v>NA</v>
      </c>
      <c r="J825" s="279" t="str">
        <f>IF(AE825="","",AE825)</f>
        <v>NA</v>
      </c>
      <c r="K825" s="279" t="str">
        <f>IF(AF825="","",AF825)</f>
        <v>NA</v>
      </c>
      <c r="L825" s="279" t="str">
        <f>IF(AG825="","",AG825)</f>
        <v>NA</v>
      </c>
      <c r="M825" s="279" t="str">
        <f>IF(AH825="","",AH825)</f>
        <v>NA</v>
      </c>
      <c r="N825" s="279" t="str">
        <f>IF(AI825="","",AI825)</f>
        <v>NA</v>
      </c>
      <c r="U825" s="388" t="s">
        <v>5479</v>
      </c>
      <c r="V825" s="389" t="s">
        <v>5389</v>
      </c>
      <c r="W825" s="389" t="str">
        <f t="shared" si="15"/>
        <v>2014Y</v>
      </c>
      <c r="X825" s="390" t="str">
        <f>[1]!SNLLabel(287,324683,,"&lt;&gt;366")</f>
        <v>AR: Fraternal</v>
      </c>
      <c r="Y825" s="391" t="s">
        <v>29</v>
      </c>
      <c r="Z825" s="391" t="s">
        <v>29</v>
      </c>
      <c r="AA825" s="391" t="s">
        <v>29</v>
      </c>
      <c r="AB825" s="391" t="s">
        <v>29</v>
      </c>
      <c r="AC825" s="391" t="s">
        <v>29</v>
      </c>
      <c r="AD825" s="391" t="s">
        <v>29</v>
      </c>
      <c r="AE825" s="391" t="s">
        <v>29</v>
      </c>
      <c r="AF825" s="391" t="s">
        <v>29</v>
      </c>
      <c r="AG825" s="391" t="s">
        <v>29</v>
      </c>
      <c r="AH825" s="391" t="s">
        <v>29</v>
      </c>
      <c r="AI825" s="391" t="s">
        <v>29</v>
      </c>
    </row>
    <row r="826" spans="2:35" ht="11.25" hidden="1" customHeight="1" outlineLevel="1" x14ac:dyDescent="0.35">
      <c r="B826" s="244" t="s">
        <v>5369</v>
      </c>
      <c r="C826" s="245"/>
      <c r="D826" s="279" t="str">
        <f>IF(Y826="","",Y826)</f>
        <v>NA</v>
      </c>
      <c r="E826" s="279" t="str">
        <f>IF(Z826="","",Z826)</f>
        <v>NA</v>
      </c>
      <c r="F826" s="279" t="str">
        <f>IF(AA826="","",AA826)</f>
        <v>NA</v>
      </c>
      <c r="G826" s="279" t="str">
        <f>IF(AB826="","",AB826)</f>
        <v>NA</v>
      </c>
      <c r="H826" s="279" t="str">
        <f>IF(AC826="","",AC826)</f>
        <v>NA</v>
      </c>
      <c r="I826" s="279" t="str">
        <f>IF(AD826="","",AD826)</f>
        <v>NA</v>
      </c>
      <c r="J826" s="279" t="str">
        <f>IF(AE826="","",AE826)</f>
        <v>NA</v>
      </c>
      <c r="K826" s="279" t="str">
        <f>IF(AF826="","",AF826)</f>
        <v>NA</v>
      </c>
      <c r="L826" s="279" t="str">
        <f>IF(AG826="","",AG826)</f>
        <v>NA</v>
      </c>
      <c r="M826" s="279" t="str">
        <f>IF(AH826="","",AH826)</f>
        <v>NA</v>
      </c>
      <c r="N826" s="279" t="str">
        <f>IF(AI826="","",AI826)</f>
        <v>NA</v>
      </c>
      <c r="U826" s="388" t="s">
        <v>5479</v>
      </c>
      <c r="V826" s="389" t="s">
        <v>5389</v>
      </c>
      <c r="W826" s="389" t="str">
        <f t="shared" si="15"/>
        <v>2014Y</v>
      </c>
      <c r="X826" s="390" t="str">
        <f>[1]!SNLLabel(287,324683,,"&lt;&gt;367")</f>
        <v>AR: Other Lines of Business</v>
      </c>
      <c r="Y826" s="391" t="s">
        <v>29</v>
      </c>
      <c r="Z826" s="391" t="s">
        <v>29</v>
      </c>
      <c r="AA826" s="391" t="s">
        <v>29</v>
      </c>
      <c r="AB826" s="391" t="s">
        <v>29</v>
      </c>
      <c r="AC826" s="391" t="s">
        <v>29</v>
      </c>
      <c r="AD826" s="391" t="s">
        <v>29</v>
      </c>
      <c r="AE826" s="391" t="s">
        <v>29</v>
      </c>
      <c r="AF826" s="391" t="s">
        <v>29</v>
      </c>
      <c r="AG826" s="391" t="s">
        <v>29</v>
      </c>
      <c r="AH826" s="391" t="s">
        <v>29</v>
      </c>
      <c r="AI826" s="391" t="s">
        <v>29</v>
      </c>
    </row>
    <row r="827" spans="2:35" ht="11.25" hidden="1" customHeight="1" outlineLevel="1" x14ac:dyDescent="0.35">
      <c r="B827" s="244" t="s">
        <v>5370</v>
      </c>
      <c r="C827" s="245"/>
      <c r="D827" s="279" t="str">
        <f>IF(Y827="","",Y827)</f>
        <v>NA</v>
      </c>
      <c r="E827" s="279" t="str">
        <f>IF(Z827="","",Z827)</f>
        <v>NA</v>
      </c>
      <c r="F827" s="279" t="str">
        <f>IF(AA827="","",AA827)</f>
        <v>NA</v>
      </c>
      <c r="G827" s="279" t="str">
        <f>IF(AB827="","",AB827)</f>
        <v>NA</v>
      </c>
      <c r="H827" s="279" t="str">
        <f>IF(AC827="","",AC827)</f>
        <v>NA</v>
      </c>
      <c r="I827" s="279" t="str">
        <f>IF(AD827="","",AD827)</f>
        <v>NA</v>
      </c>
      <c r="J827" s="279" t="str">
        <f>IF(AE827="","",AE827)</f>
        <v>NA</v>
      </c>
      <c r="K827" s="279" t="str">
        <f>IF(AF827="","",AF827)</f>
        <v>NA</v>
      </c>
      <c r="L827" s="279" t="str">
        <f>IF(AG827="","",AG827)</f>
        <v>NA</v>
      </c>
      <c r="M827" s="279" t="str">
        <f>IF(AH827="","",AH827)</f>
        <v>NA</v>
      </c>
      <c r="N827" s="279" t="str">
        <f>IF(AI827="","",AI827)</f>
        <v>NA</v>
      </c>
      <c r="U827" s="388" t="s">
        <v>5479</v>
      </c>
      <c r="V827" s="389" t="s">
        <v>5389</v>
      </c>
      <c r="W827" s="389" t="str">
        <f t="shared" si="15"/>
        <v>2014Y</v>
      </c>
      <c r="X827" s="390" t="str">
        <f>[1]!SNLLabel(287,324683,,"&lt;&gt;368")</f>
        <v>AR: YRT Mortality Risk Only</v>
      </c>
      <c r="Y827" s="391" t="s">
        <v>29</v>
      </c>
      <c r="Z827" s="391" t="s">
        <v>29</v>
      </c>
      <c r="AA827" s="391" t="s">
        <v>29</v>
      </c>
      <c r="AB827" s="391" t="s">
        <v>29</v>
      </c>
      <c r="AC827" s="391" t="s">
        <v>29</v>
      </c>
      <c r="AD827" s="391" t="s">
        <v>29</v>
      </c>
      <c r="AE827" s="391" t="s">
        <v>29</v>
      </c>
      <c r="AF827" s="391" t="s">
        <v>29</v>
      </c>
      <c r="AG827" s="391" t="s">
        <v>29</v>
      </c>
      <c r="AH827" s="391" t="s">
        <v>29</v>
      </c>
      <c r="AI827" s="391" t="s">
        <v>29</v>
      </c>
    </row>
    <row r="828" spans="2:35" ht="11.25" hidden="1" customHeight="1" outlineLevel="1" x14ac:dyDescent="0.35">
      <c r="B828" s="244" t="s">
        <v>5371</v>
      </c>
      <c r="C828" s="245"/>
      <c r="D828" s="279" t="str">
        <f>IF(Y828="","",Y828)</f>
        <v>NA</v>
      </c>
      <c r="E828" s="279" t="str">
        <f>IF(Z828="","",Z828)</f>
        <v>NA</v>
      </c>
      <c r="F828" s="279" t="str">
        <f>IF(AA828="","",AA828)</f>
        <v>NA</v>
      </c>
      <c r="G828" s="279" t="str">
        <f>IF(AB828="","",AB828)</f>
        <v>NA</v>
      </c>
      <c r="H828" s="279" t="str">
        <f>IF(AC828="","",AC828)</f>
        <v>NA</v>
      </c>
      <c r="I828" s="279" t="str">
        <f>IF(AD828="","",AD828)</f>
        <v>NA</v>
      </c>
      <c r="J828" s="279" t="str">
        <f>IF(AE828="","",AE828)</f>
        <v>NA</v>
      </c>
      <c r="K828" s="279" t="str">
        <f>IF(AF828="","",AF828)</f>
        <v>NA</v>
      </c>
      <c r="L828" s="279" t="str">
        <f>IF(AG828="","",AG828)</f>
        <v>NA</v>
      </c>
      <c r="M828" s="279" t="str">
        <f>IF(AH828="","",AH828)</f>
        <v>NA</v>
      </c>
      <c r="N828" s="279" t="str">
        <f>IF(AI828="","",AI828)</f>
        <v>NA</v>
      </c>
      <c r="U828" s="388" t="s">
        <v>5479</v>
      </c>
      <c r="V828" s="389" t="s">
        <v>5389</v>
      </c>
      <c r="W828" s="389" t="str">
        <f t="shared" si="15"/>
        <v>2014Y</v>
      </c>
      <c r="X828" s="390" t="str">
        <f>[1]!SNLLabel(287,324683,,"&lt;&gt;369")</f>
        <v>AR: Individual and Group Life</v>
      </c>
      <c r="Y828" s="391" t="s">
        <v>29</v>
      </c>
      <c r="Z828" s="391" t="s">
        <v>29</v>
      </c>
      <c r="AA828" s="391" t="s">
        <v>29</v>
      </c>
      <c r="AB828" s="391" t="s">
        <v>29</v>
      </c>
      <c r="AC828" s="391" t="s">
        <v>29</v>
      </c>
      <c r="AD828" s="391" t="s">
        <v>29</v>
      </c>
      <c r="AE828" s="391" t="s">
        <v>29</v>
      </c>
      <c r="AF828" s="391" t="s">
        <v>29</v>
      </c>
      <c r="AG828" s="391" t="s">
        <v>29</v>
      </c>
      <c r="AH828" s="391" t="s">
        <v>29</v>
      </c>
      <c r="AI828" s="391" t="s">
        <v>29</v>
      </c>
    </row>
    <row r="829" spans="2:35" ht="11.25" hidden="1" customHeight="1" outlineLevel="1" x14ac:dyDescent="0.35">
      <c r="B829" s="244" t="s">
        <v>5372</v>
      </c>
      <c r="C829" s="245"/>
      <c r="D829" s="279" t="str">
        <f>IF(Y829="","",Y829)</f>
        <v>NA</v>
      </c>
      <c r="E829" s="279" t="str">
        <f>IF(Z829="","",Z829)</f>
        <v>NA</v>
      </c>
      <c r="F829" s="279" t="str">
        <f>IF(AA829="","",AA829)</f>
        <v>NA</v>
      </c>
      <c r="G829" s="279" t="str">
        <f>IF(AB829="","",AB829)</f>
        <v>NA</v>
      </c>
      <c r="H829" s="279" t="str">
        <f>IF(AC829="","",AC829)</f>
        <v>NA</v>
      </c>
      <c r="I829" s="279" t="str">
        <f>IF(AD829="","",AD829)</f>
        <v>NA</v>
      </c>
      <c r="J829" s="279" t="str">
        <f>IF(AE829="","",AE829)</f>
        <v>NA</v>
      </c>
      <c r="K829" s="279" t="str">
        <f>IF(AF829="","",AF829)</f>
        <v>NA</v>
      </c>
      <c r="L829" s="279" t="str">
        <f>IF(AG829="","",AG829)</f>
        <v>NA</v>
      </c>
      <c r="M829" s="279" t="str">
        <f>IF(AH829="","",AH829)</f>
        <v>NA</v>
      </c>
      <c r="N829" s="279" t="str">
        <f>IF(AI829="","",AI829)</f>
        <v>NA</v>
      </c>
      <c r="U829" s="367" t="s">
        <v>5479</v>
      </c>
      <c r="V829" s="368" t="s">
        <v>5389</v>
      </c>
      <c r="W829" s="368" t="str">
        <f t="shared" si="15"/>
        <v>2014Y</v>
      </c>
      <c r="X829" s="369" t="str">
        <f>[1]!SNLLabel(287,324683,,"&lt;&gt;370")</f>
        <v>AR: Individual and Group Annuities</v>
      </c>
      <c r="Y829" s="371" t="s">
        <v>29</v>
      </c>
      <c r="Z829" s="371" t="s">
        <v>29</v>
      </c>
      <c r="AA829" s="371" t="s">
        <v>29</v>
      </c>
      <c r="AB829" s="371" t="s">
        <v>29</v>
      </c>
      <c r="AC829" s="371" t="s">
        <v>29</v>
      </c>
      <c r="AD829" s="371" t="s">
        <v>29</v>
      </c>
      <c r="AE829" s="371" t="s">
        <v>29</v>
      </c>
      <c r="AF829" s="371" t="s">
        <v>29</v>
      </c>
      <c r="AG829" s="371" t="s">
        <v>29</v>
      </c>
      <c r="AH829" s="371" t="s">
        <v>29</v>
      </c>
      <c r="AI829" s="371" t="s">
        <v>29</v>
      </c>
    </row>
    <row r="830" spans="2:35" ht="11.25" hidden="1" customHeight="1" outlineLevel="1" x14ac:dyDescent="0.35">
      <c r="B830" s="294"/>
      <c r="C830" s="329"/>
      <c r="D830" s="322"/>
      <c r="E830" s="322"/>
      <c r="F830" s="322"/>
      <c r="G830" s="322"/>
      <c r="H830" s="322"/>
      <c r="I830" s="322"/>
      <c r="J830" s="322"/>
      <c r="K830" s="322"/>
      <c r="L830" s="322"/>
      <c r="M830" s="322"/>
      <c r="N830" s="322"/>
    </row>
    <row r="831" spans="2:35" ht="11.25" hidden="1" customHeight="1" outlineLevel="1" x14ac:dyDescent="0.35">
      <c r="B831" s="246" t="s">
        <v>5480</v>
      </c>
      <c r="C831" s="245"/>
      <c r="D831" s="278"/>
      <c r="E831" s="307"/>
      <c r="F831" s="307"/>
      <c r="G831" s="307"/>
      <c r="H831" s="307"/>
      <c r="I831" s="307"/>
      <c r="J831" s="307"/>
      <c r="K831" s="307"/>
      <c r="L831" s="307"/>
      <c r="M831" s="307"/>
      <c r="N831" s="307"/>
    </row>
    <row r="832" spans="2:35" ht="11.25" hidden="1" customHeight="1" outlineLevel="1" x14ac:dyDescent="0.35">
      <c r="B832" s="244" t="s">
        <v>5365</v>
      </c>
      <c r="C832" s="245"/>
      <c r="D832" s="279" t="str">
        <f>IF(Y832="","",Y832)</f>
        <v>NA</v>
      </c>
      <c r="E832" s="279" t="str">
        <f>IF(Z832="","",Z832)</f>
        <v>NA</v>
      </c>
      <c r="F832" s="279" t="str">
        <f>IF(AA832="","",AA832)</f>
        <v>NA</v>
      </c>
      <c r="G832" s="279" t="str">
        <f>IF(AB832="","",AB832)</f>
        <v>NA</v>
      </c>
      <c r="H832" s="279" t="str">
        <f>IF(AC832="","",AC832)</f>
        <v>NA</v>
      </c>
      <c r="I832" s="279" t="str">
        <f>IF(AD832="","",AD832)</f>
        <v>NA</v>
      </c>
      <c r="J832" s="279" t="str">
        <f>IF(AE832="","",AE832)</f>
        <v>NA</v>
      </c>
      <c r="K832" s="279" t="str">
        <f>IF(AF832="","",AF832)</f>
        <v>NA</v>
      </c>
      <c r="L832" s="279" t="str">
        <f>IF(AG832="","",AG832)</f>
        <v>NA</v>
      </c>
      <c r="M832" s="279" t="str">
        <f>IF(AH832="","",AH832)</f>
        <v>NA</v>
      </c>
      <c r="N832" s="279" t="str">
        <f>IF(AI832="","",AI832)</f>
        <v>NA</v>
      </c>
      <c r="U832" s="384" t="s">
        <v>5480</v>
      </c>
      <c r="V832" s="385" t="s">
        <v>5390</v>
      </c>
      <c r="W832" s="385" t="str">
        <f t="shared" ref="W832:W842" si="16">Period</f>
        <v>2014Y</v>
      </c>
      <c r="X832" s="386" t="str">
        <f>[1]!SNLLabel(287,324684,,"&lt;&gt;360")</f>
        <v>AR: Analysis of Operations All Lines</v>
      </c>
      <c r="Y832" s="387" t="s">
        <v>29</v>
      </c>
      <c r="Z832" s="387" t="s">
        <v>29</v>
      </c>
      <c r="AA832" s="387" t="s">
        <v>29</v>
      </c>
      <c r="AB832" s="387" t="s">
        <v>29</v>
      </c>
      <c r="AC832" s="387" t="s">
        <v>29</v>
      </c>
      <c r="AD832" s="387" t="s">
        <v>29</v>
      </c>
      <c r="AE832" s="387" t="s">
        <v>29</v>
      </c>
      <c r="AF832" s="387" t="s">
        <v>29</v>
      </c>
      <c r="AG832" s="387" t="s">
        <v>29</v>
      </c>
      <c r="AH832" s="387" t="s">
        <v>29</v>
      </c>
      <c r="AI832" s="387" t="s">
        <v>29</v>
      </c>
    </row>
    <row r="833" spans="2:35" ht="11.25" hidden="1" customHeight="1" outlineLevel="1" x14ac:dyDescent="0.35">
      <c r="B833" s="244" t="s">
        <v>5366</v>
      </c>
      <c r="C833" s="245"/>
      <c r="D833" s="279" t="str">
        <f>IF(Y833="","",Y833)</f>
        <v>NA</v>
      </c>
      <c r="E833" s="279" t="str">
        <f>IF(Z833="","",Z833)</f>
        <v>NA</v>
      </c>
      <c r="F833" s="279" t="str">
        <f>IF(AA833="","",AA833)</f>
        <v>NA</v>
      </c>
      <c r="G833" s="279" t="str">
        <f>IF(AB833="","",AB833)</f>
        <v>NA</v>
      </c>
      <c r="H833" s="279" t="str">
        <f>IF(AC833="","",AC833)</f>
        <v>NA</v>
      </c>
      <c r="I833" s="279" t="str">
        <f>IF(AD833="","",AD833)</f>
        <v>NA</v>
      </c>
      <c r="J833" s="279" t="str">
        <f>IF(AE833="","",AE833)</f>
        <v>NA</v>
      </c>
      <c r="K833" s="279" t="str">
        <f>IF(AF833="","",AF833)</f>
        <v>NA</v>
      </c>
      <c r="L833" s="279" t="str">
        <f>IF(AG833="","",AG833)</f>
        <v>NA</v>
      </c>
      <c r="M833" s="279" t="str">
        <f>IF(AH833="","",AH833)</f>
        <v>NA</v>
      </c>
      <c r="N833" s="279" t="str">
        <f>IF(AI833="","",AI833)</f>
        <v>NA</v>
      </c>
      <c r="U833" s="388" t="s">
        <v>5480</v>
      </c>
      <c r="V833" s="389" t="s">
        <v>5390</v>
      </c>
      <c r="W833" s="389" t="str">
        <f t="shared" si="16"/>
        <v>2014Y</v>
      </c>
      <c r="X833" s="390" t="str">
        <f>[1]!SNLLabel(287,324684,,"&lt;&gt;361")</f>
        <v>AR: Individual Life</v>
      </c>
      <c r="Y833" s="391" t="s">
        <v>29</v>
      </c>
      <c r="Z833" s="391" t="s">
        <v>29</v>
      </c>
      <c r="AA833" s="391" t="s">
        <v>29</v>
      </c>
      <c r="AB833" s="391" t="s">
        <v>29</v>
      </c>
      <c r="AC833" s="391" t="s">
        <v>29</v>
      </c>
      <c r="AD833" s="391" t="s">
        <v>29</v>
      </c>
      <c r="AE833" s="391" t="s">
        <v>29</v>
      </c>
      <c r="AF833" s="391" t="s">
        <v>29</v>
      </c>
      <c r="AG833" s="391" t="s">
        <v>29</v>
      </c>
      <c r="AH833" s="391" t="s">
        <v>29</v>
      </c>
      <c r="AI833" s="391" t="s">
        <v>29</v>
      </c>
    </row>
    <row r="834" spans="2:35" ht="11.25" hidden="1" customHeight="1" outlineLevel="1" x14ac:dyDescent="0.35">
      <c r="B834" s="244" t="s">
        <v>5122</v>
      </c>
      <c r="C834" s="245"/>
      <c r="D834" s="279" t="str">
        <f>IF(Y834="","",Y834)</f>
        <v>NA</v>
      </c>
      <c r="E834" s="279" t="str">
        <f>IF(Z834="","",Z834)</f>
        <v>NA</v>
      </c>
      <c r="F834" s="279" t="str">
        <f>IF(AA834="","",AA834)</f>
        <v>NA</v>
      </c>
      <c r="G834" s="279" t="str">
        <f>IF(AB834="","",AB834)</f>
        <v>NA</v>
      </c>
      <c r="H834" s="279" t="str">
        <f>IF(AC834="","",AC834)</f>
        <v>NA</v>
      </c>
      <c r="I834" s="279" t="str">
        <f>IF(AD834="","",AD834)</f>
        <v>NA</v>
      </c>
      <c r="J834" s="279" t="str">
        <f>IF(AE834="","",AE834)</f>
        <v>NA</v>
      </c>
      <c r="K834" s="279" t="str">
        <f>IF(AF834="","",AF834)</f>
        <v>NA</v>
      </c>
      <c r="L834" s="279" t="str">
        <f>IF(AG834="","",AG834)</f>
        <v>NA</v>
      </c>
      <c r="M834" s="279" t="str">
        <f>IF(AH834="","",AH834)</f>
        <v>NA</v>
      </c>
      <c r="N834" s="279" t="str">
        <f>IF(AI834="","",AI834)</f>
        <v>NA</v>
      </c>
      <c r="U834" s="388" t="s">
        <v>5480</v>
      </c>
      <c r="V834" s="389" t="s">
        <v>5390</v>
      </c>
      <c r="W834" s="389" t="str">
        <f t="shared" si="16"/>
        <v>2014Y</v>
      </c>
      <c r="X834" s="390" t="str">
        <f>[1]!SNLLabel(287,324684,,"&lt;&gt;362")</f>
        <v>AR: Group Life</v>
      </c>
      <c r="Y834" s="391" t="s">
        <v>29</v>
      </c>
      <c r="Z834" s="391" t="s">
        <v>29</v>
      </c>
      <c r="AA834" s="391" t="s">
        <v>29</v>
      </c>
      <c r="AB834" s="391" t="s">
        <v>29</v>
      </c>
      <c r="AC834" s="391" t="s">
        <v>29</v>
      </c>
      <c r="AD834" s="391" t="s">
        <v>29</v>
      </c>
      <c r="AE834" s="391" t="s">
        <v>29</v>
      </c>
      <c r="AF834" s="391" t="s">
        <v>29</v>
      </c>
      <c r="AG834" s="391" t="s">
        <v>29</v>
      </c>
      <c r="AH834" s="391" t="s">
        <v>29</v>
      </c>
      <c r="AI834" s="391" t="s">
        <v>29</v>
      </c>
    </row>
    <row r="835" spans="2:35" ht="11.25" hidden="1" customHeight="1" outlineLevel="1" x14ac:dyDescent="0.35">
      <c r="B835" s="244" t="s">
        <v>5124</v>
      </c>
      <c r="C835" s="245"/>
      <c r="D835" s="279" t="str">
        <f>IF(Y835="","",Y835)</f>
        <v>NA</v>
      </c>
      <c r="E835" s="279" t="str">
        <f>IF(Z835="","",Z835)</f>
        <v>NA</v>
      </c>
      <c r="F835" s="279" t="str">
        <f>IF(AA835="","",AA835)</f>
        <v>NA</v>
      </c>
      <c r="G835" s="279" t="str">
        <f>IF(AB835="","",AB835)</f>
        <v>NA</v>
      </c>
      <c r="H835" s="279" t="str">
        <f>IF(AC835="","",AC835)</f>
        <v>NA</v>
      </c>
      <c r="I835" s="279" t="str">
        <f>IF(AD835="","",AD835)</f>
        <v>NA</v>
      </c>
      <c r="J835" s="279" t="str">
        <f>IF(AE835="","",AE835)</f>
        <v>NA</v>
      </c>
      <c r="K835" s="279" t="str">
        <f>IF(AF835="","",AF835)</f>
        <v>NA</v>
      </c>
      <c r="L835" s="279" t="str">
        <f>IF(AG835="","",AG835)</f>
        <v>NA</v>
      </c>
      <c r="M835" s="279" t="str">
        <f>IF(AH835="","",AH835)</f>
        <v>NA</v>
      </c>
      <c r="N835" s="279" t="str">
        <f>IF(AI835="","",AI835)</f>
        <v>NA</v>
      </c>
      <c r="U835" s="388" t="s">
        <v>5480</v>
      </c>
      <c r="V835" s="389" t="s">
        <v>5390</v>
      </c>
      <c r="W835" s="389" t="str">
        <f t="shared" si="16"/>
        <v>2014Y</v>
      </c>
      <c r="X835" s="390" t="str">
        <f>[1]!SNLLabel(287,324684,,"&lt;&gt;363")</f>
        <v>AR: Individual Annuities</v>
      </c>
      <c r="Y835" s="391" t="s">
        <v>29</v>
      </c>
      <c r="Z835" s="391" t="s">
        <v>29</v>
      </c>
      <c r="AA835" s="391" t="s">
        <v>29</v>
      </c>
      <c r="AB835" s="391" t="s">
        <v>29</v>
      </c>
      <c r="AC835" s="391" t="s">
        <v>29</v>
      </c>
      <c r="AD835" s="391" t="s">
        <v>29</v>
      </c>
      <c r="AE835" s="391" t="s">
        <v>29</v>
      </c>
      <c r="AF835" s="391" t="s">
        <v>29</v>
      </c>
      <c r="AG835" s="391" t="s">
        <v>29</v>
      </c>
      <c r="AH835" s="391" t="s">
        <v>29</v>
      </c>
      <c r="AI835" s="391" t="s">
        <v>29</v>
      </c>
    </row>
    <row r="836" spans="2:35" ht="11.25" hidden="1" customHeight="1" outlineLevel="1" x14ac:dyDescent="0.35">
      <c r="B836" s="244" t="s">
        <v>5121</v>
      </c>
      <c r="C836" s="245"/>
      <c r="D836" s="279" t="str">
        <f>IF(Y836="","",Y836)</f>
        <v>NA</v>
      </c>
      <c r="E836" s="279" t="str">
        <f>IF(Z836="","",Z836)</f>
        <v>NA</v>
      </c>
      <c r="F836" s="279" t="str">
        <f>IF(AA836="","",AA836)</f>
        <v>NA</v>
      </c>
      <c r="G836" s="279" t="str">
        <f>IF(AB836="","",AB836)</f>
        <v>NA</v>
      </c>
      <c r="H836" s="279" t="str">
        <f>IF(AC836="","",AC836)</f>
        <v>NA</v>
      </c>
      <c r="I836" s="279" t="str">
        <f>IF(AD836="","",AD836)</f>
        <v>NA</v>
      </c>
      <c r="J836" s="279" t="str">
        <f>IF(AE836="","",AE836)</f>
        <v>NA</v>
      </c>
      <c r="K836" s="279" t="str">
        <f>IF(AF836="","",AF836)</f>
        <v>NA</v>
      </c>
      <c r="L836" s="279" t="str">
        <f>IF(AG836="","",AG836)</f>
        <v>NA</v>
      </c>
      <c r="M836" s="279" t="str">
        <f>IF(AH836="","",AH836)</f>
        <v>NA</v>
      </c>
      <c r="N836" s="279" t="str">
        <f>IF(AI836="","",AI836)</f>
        <v>NA</v>
      </c>
      <c r="U836" s="388" t="s">
        <v>5480</v>
      </c>
      <c r="V836" s="389" t="s">
        <v>5390</v>
      </c>
      <c r="W836" s="389" t="str">
        <f t="shared" si="16"/>
        <v>2014Y</v>
      </c>
      <c r="X836" s="390" t="str">
        <f>[1]!SNLLabel(287,324684,,"&lt;&gt;364")</f>
        <v>AR: Group Annuities</v>
      </c>
      <c r="Y836" s="391" t="s">
        <v>29</v>
      </c>
      <c r="Z836" s="391" t="s">
        <v>29</v>
      </c>
      <c r="AA836" s="391" t="s">
        <v>29</v>
      </c>
      <c r="AB836" s="391" t="s">
        <v>29</v>
      </c>
      <c r="AC836" s="391" t="s">
        <v>29</v>
      </c>
      <c r="AD836" s="391" t="s">
        <v>29</v>
      </c>
      <c r="AE836" s="391" t="s">
        <v>29</v>
      </c>
      <c r="AF836" s="391" t="s">
        <v>29</v>
      </c>
      <c r="AG836" s="391" t="s">
        <v>29</v>
      </c>
      <c r="AH836" s="391" t="s">
        <v>29</v>
      </c>
      <c r="AI836" s="391" t="s">
        <v>29</v>
      </c>
    </row>
    <row r="837" spans="2:35" ht="11.25" hidden="1" customHeight="1" outlineLevel="1" x14ac:dyDescent="0.35">
      <c r="B837" s="244" t="s">
        <v>5367</v>
      </c>
      <c r="C837" s="245"/>
      <c r="D837" s="279" t="str">
        <f>IF(Y837="","",Y837)</f>
        <v>NA</v>
      </c>
      <c r="E837" s="279" t="str">
        <f>IF(Z837="","",Z837)</f>
        <v>NA</v>
      </c>
      <c r="F837" s="279" t="str">
        <f>IF(AA837="","",AA837)</f>
        <v>NA</v>
      </c>
      <c r="G837" s="279" t="str">
        <f>IF(AB837="","",AB837)</f>
        <v>NA</v>
      </c>
      <c r="H837" s="279" t="str">
        <f>IF(AC837="","",AC837)</f>
        <v>NA</v>
      </c>
      <c r="I837" s="279" t="str">
        <f>IF(AD837="","",AD837)</f>
        <v>NA</v>
      </c>
      <c r="J837" s="279" t="str">
        <f>IF(AE837="","",AE837)</f>
        <v>NA</v>
      </c>
      <c r="K837" s="279" t="str">
        <f>IF(AF837="","",AF837)</f>
        <v>NA</v>
      </c>
      <c r="L837" s="279" t="str">
        <f>IF(AG837="","",AG837)</f>
        <v>NA</v>
      </c>
      <c r="M837" s="279" t="str">
        <f>IF(AH837="","",AH837)</f>
        <v>NA</v>
      </c>
      <c r="N837" s="279" t="str">
        <f>IF(AI837="","",AI837)</f>
        <v>NA</v>
      </c>
      <c r="U837" s="388" t="s">
        <v>5480</v>
      </c>
      <c r="V837" s="389" t="s">
        <v>5390</v>
      </c>
      <c r="W837" s="389" t="str">
        <f t="shared" si="16"/>
        <v>2014Y</v>
      </c>
      <c r="X837" s="390" t="str">
        <f>[1]!SNLLabel(287,324684,,"&lt;&gt;365")</f>
        <v>AR: Accident and Health</v>
      </c>
      <c r="Y837" s="391" t="s">
        <v>29</v>
      </c>
      <c r="Z837" s="391" t="s">
        <v>29</v>
      </c>
      <c r="AA837" s="391" t="s">
        <v>29</v>
      </c>
      <c r="AB837" s="391" t="s">
        <v>29</v>
      </c>
      <c r="AC837" s="391" t="s">
        <v>29</v>
      </c>
      <c r="AD837" s="391" t="s">
        <v>29</v>
      </c>
      <c r="AE837" s="391" t="s">
        <v>29</v>
      </c>
      <c r="AF837" s="391" t="s">
        <v>29</v>
      </c>
      <c r="AG837" s="391" t="s">
        <v>29</v>
      </c>
      <c r="AH837" s="391" t="s">
        <v>29</v>
      </c>
      <c r="AI837" s="391" t="s">
        <v>29</v>
      </c>
    </row>
    <row r="838" spans="2:35" ht="11.25" hidden="1" customHeight="1" outlineLevel="1" x14ac:dyDescent="0.35">
      <c r="B838" s="244" t="s">
        <v>5368</v>
      </c>
      <c r="C838" s="245"/>
      <c r="D838" s="279" t="str">
        <f>IF(Y838="","",Y838)</f>
        <v>NA</v>
      </c>
      <c r="E838" s="279" t="str">
        <f>IF(Z838="","",Z838)</f>
        <v>NA</v>
      </c>
      <c r="F838" s="279" t="str">
        <f>IF(AA838="","",AA838)</f>
        <v>NA</v>
      </c>
      <c r="G838" s="279" t="str">
        <f>IF(AB838="","",AB838)</f>
        <v>NA</v>
      </c>
      <c r="H838" s="279" t="str">
        <f>IF(AC838="","",AC838)</f>
        <v>NA</v>
      </c>
      <c r="I838" s="279" t="str">
        <f>IF(AD838="","",AD838)</f>
        <v>NA</v>
      </c>
      <c r="J838" s="279" t="str">
        <f>IF(AE838="","",AE838)</f>
        <v>NA</v>
      </c>
      <c r="K838" s="279" t="str">
        <f>IF(AF838="","",AF838)</f>
        <v>NA</v>
      </c>
      <c r="L838" s="279" t="str">
        <f>IF(AG838="","",AG838)</f>
        <v>NA</v>
      </c>
      <c r="M838" s="279" t="str">
        <f>IF(AH838="","",AH838)</f>
        <v>NA</v>
      </c>
      <c r="N838" s="279" t="str">
        <f>IF(AI838="","",AI838)</f>
        <v>NA</v>
      </c>
      <c r="U838" s="388" t="s">
        <v>5480</v>
      </c>
      <c r="V838" s="389" t="s">
        <v>5390</v>
      </c>
      <c r="W838" s="389" t="str">
        <f t="shared" si="16"/>
        <v>2014Y</v>
      </c>
      <c r="X838" s="390" t="str">
        <f>[1]!SNLLabel(287,324684,,"&lt;&gt;366")</f>
        <v>AR: Fraternal</v>
      </c>
      <c r="Y838" s="391" t="s">
        <v>29</v>
      </c>
      <c r="Z838" s="391" t="s">
        <v>29</v>
      </c>
      <c r="AA838" s="391" t="s">
        <v>29</v>
      </c>
      <c r="AB838" s="391" t="s">
        <v>29</v>
      </c>
      <c r="AC838" s="391" t="s">
        <v>29</v>
      </c>
      <c r="AD838" s="391" t="s">
        <v>29</v>
      </c>
      <c r="AE838" s="391" t="s">
        <v>29</v>
      </c>
      <c r="AF838" s="391" t="s">
        <v>29</v>
      </c>
      <c r="AG838" s="391" t="s">
        <v>29</v>
      </c>
      <c r="AH838" s="391" t="s">
        <v>29</v>
      </c>
      <c r="AI838" s="391" t="s">
        <v>29</v>
      </c>
    </row>
    <row r="839" spans="2:35" ht="11.25" hidden="1" customHeight="1" outlineLevel="1" x14ac:dyDescent="0.35">
      <c r="B839" s="244" t="s">
        <v>5369</v>
      </c>
      <c r="C839" s="245"/>
      <c r="D839" s="279" t="str">
        <f>IF(Y839="","",Y839)</f>
        <v>NA</v>
      </c>
      <c r="E839" s="279" t="str">
        <f>IF(Z839="","",Z839)</f>
        <v>NA</v>
      </c>
      <c r="F839" s="279" t="str">
        <f>IF(AA839="","",AA839)</f>
        <v>NA</v>
      </c>
      <c r="G839" s="279" t="str">
        <f>IF(AB839="","",AB839)</f>
        <v>NA</v>
      </c>
      <c r="H839" s="279" t="str">
        <f>IF(AC839="","",AC839)</f>
        <v>NA</v>
      </c>
      <c r="I839" s="279" t="str">
        <f>IF(AD839="","",AD839)</f>
        <v>NA</v>
      </c>
      <c r="J839" s="279" t="str">
        <f>IF(AE839="","",AE839)</f>
        <v>NA</v>
      </c>
      <c r="K839" s="279" t="str">
        <f>IF(AF839="","",AF839)</f>
        <v>NA</v>
      </c>
      <c r="L839" s="279" t="str">
        <f>IF(AG839="","",AG839)</f>
        <v>NA</v>
      </c>
      <c r="M839" s="279" t="str">
        <f>IF(AH839="","",AH839)</f>
        <v>NA</v>
      </c>
      <c r="N839" s="279" t="str">
        <f>IF(AI839="","",AI839)</f>
        <v>NA</v>
      </c>
      <c r="U839" s="388" t="s">
        <v>5480</v>
      </c>
      <c r="V839" s="389" t="s">
        <v>5390</v>
      </c>
      <c r="W839" s="389" t="str">
        <f t="shared" si="16"/>
        <v>2014Y</v>
      </c>
      <c r="X839" s="390" t="str">
        <f>[1]!SNLLabel(287,324684,,"&lt;&gt;367")</f>
        <v>AR: Other Lines of Business</v>
      </c>
      <c r="Y839" s="391" t="s">
        <v>29</v>
      </c>
      <c r="Z839" s="391" t="s">
        <v>29</v>
      </c>
      <c r="AA839" s="391" t="s">
        <v>29</v>
      </c>
      <c r="AB839" s="391" t="s">
        <v>29</v>
      </c>
      <c r="AC839" s="391" t="s">
        <v>29</v>
      </c>
      <c r="AD839" s="391" t="s">
        <v>29</v>
      </c>
      <c r="AE839" s="391" t="s">
        <v>29</v>
      </c>
      <c r="AF839" s="391" t="s">
        <v>29</v>
      </c>
      <c r="AG839" s="391" t="s">
        <v>29</v>
      </c>
      <c r="AH839" s="391" t="s">
        <v>29</v>
      </c>
      <c r="AI839" s="391" t="s">
        <v>29</v>
      </c>
    </row>
    <row r="840" spans="2:35" ht="11.25" hidden="1" customHeight="1" outlineLevel="1" x14ac:dyDescent="0.35">
      <c r="B840" s="244" t="s">
        <v>5370</v>
      </c>
      <c r="C840" s="245"/>
      <c r="D840" s="279" t="str">
        <f>IF(Y840="","",Y840)</f>
        <v>NA</v>
      </c>
      <c r="E840" s="279" t="str">
        <f>IF(Z840="","",Z840)</f>
        <v>NA</v>
      </c>
      <c r="F840" s="279" t="str">
        <f>IF(AA840="","",AA840)</f>
        <v>NA</v>
      </c>
      <c r="G840" s="279" t="str">
        <f>IF(AB840="","",AB840)</f>
        <v>NA</v>
      </c>
      <c r="H840" s="279" t="str">
        <f>IF(AC840="","",AC840)</f>
        <v>NA</v>
      </c>
      <c r="I840" s="279" t="str">
        <f>IF(AD840="","",AD840)</f>
        <v>NA</v>
      </c>
      <c r="J840" s="279" t="str">
        <f>IF(AE840="","",AE840)</f>
        <v>NA</v>
      </c>
      <c r="K840" s="279" t="str">
        <f>IF(AF840="","",AF840)</f>
        <v>NA</v>
      </c>
      <c r="L840" s="279" t="str">
        <f>IF(AG840="","",AG840)</f>
        <v>NA</v>
      </c>
      <c r="M840" s="279" t="str">
        <f>IF(AH840="","",AH840)</f>
        <v>NA</v>
      </c>
      <c r="N840" s="279" t="str">
        <f>IF(AI840="","",AI840)</f>
        <v>NA</v>
      </c>
      <c r="U840" s="388" t="s">
        <v>5480</v>
      </c>
      <c r="V840" s="389" t="s">
        <v>5390</v>
      </c>
      <c r="W840" s="389" t="str">
        <f t="shared" si="16"/>
        <v>2014Y</v>
      </c>
      <c r="X840" s="390" t="str">
        <f>[1]!SNLLabel(287,324684,,"&lt;&gt;368")</f>
        <v>AR: YRT Mortality Risk Only</v>
      </c>
      <c r="Y840" s="391" t="s">
        <v>29</v>
      </c>
      <c r="Z840" s="391" t="s">
        <v>29</v>
      </c>
      <c r="AA840" s="391" t="s">
        <v>29</v>
      </c>
      <c r="AB840" s="391" t="s">
        <v>29</v>
      </c>
      <c r="AC840" s="391" t="s">
        <v>29</v>
      </c>
      <c r="AD840" s="391" t="s">
        <v>29</v>
      </c>
      <c r="AE840" s="391" t="s">
        <v>29</v>
      </c>
      <c r="AF840" s="391" t="s">
        <v>29</v>
      </c>
      <c r="AG840" s="391" t="s">
        <v>29</v>
      </c>
      <c r="AH840" s="391" t="s">
        <v>29</v>
      </c>
      <c r="AI840" s="391" t="s">
        <v>29</v>
      </c>
    </row>
    <row r="841" spans="2:35" ht="11.25" hidden="1" customHeight="1" outlineLevel="1" x14ac:dyDescent="0.35">
      <c r="B841" s="244" t="s">
        <v>5371</v>
      </c>
      <c r="C841" s="245"/>
      <c r="D841" s="279" t="str">
        <f>IF(Y841="","",Y841)</f>
        <v>NA</v>
      </c>
      <c r="E841" s="279" t="str">
        <f>IF(Z841="","",Z841)</f>
        <v>NA</v>
      </c>
      <c r="F841" s="279" t="str">
        <f>IF(AA841="","",AA841)</f>
        <v>NA</v>
      </c>
      <c r="G841" s="279" t="str">
        <f>IF(AB841="","",AB841)</f>
        <v>NA</v>
      </c>
      <c r="H841" s="279" t="str">
        <f>IF(AC841="","",AC841)</f>
        <v>NA</v>
      </c>
      <c r="I841" s="279" t="str">
        <f>IF(AD841="","",AD841)</f>
        <v>NA</v>
      </c>
      <c r="J841" s="279" t="str">
        <f>IF(AE841="","",AE841)</f>
        <v>NA</v>
      </c>
      <c r="K841" s="279" t="str">
        <f>IF(AF841="","",AF841)</f>
        <v>NA</v>
      </c>
      <c r="L841" s="279" t="str">
        <f>IF(AG841="","",AG841)</f>
        <v>NA</v>
      </c>
      <c r="M841" s="279" t="str">
        <f>IF(AH841="","",AH841)</f>
        <v>NA</v>
      </c>
      <c r="N841" s="279" t="str">
        <f>IF(AI841="","",AI841)</f>
        <v>NA</v>
      </c>
      <c r="U841" s="388" t="s">
        <v>5480</v>
      </c>
      <c r="V841" s="389" t="s">
        <v>5390</v>
      </c>
      <c r="W841" s="389" t="str">
        <f t="shared" si="16"/>
        <v>2014Y</v>
      </c>
      <c r="X841" s="390" t="str">
        <f>[1]!SNLLabel(287,324684,,"&lt;&gt;369")</f>
        <v>AR: Individual and Group Life</v>
      </c>
      <c r="Y841" s="391" t="s">
        <v>29</v>
      </c>
      <c r="Z841" s="391" t="s">
        <v>29</v>
      </c>
      <c r="AA841" s="391" t="s">
        <v>29</v>
      </c>
      <c r="AB841" s="391" t="s">
        <v>29</v>
      </c>
      <c r="AC841" s="391" t="s">
        <v>29</v>
      </c>
      <c r="AD841" s="391" t="s">
        <v>29</v>
      </c>
      <c r="AE841" s="391" t="s">
        <v>29</v>
      </c>
      <c r="AF841" s="391" t="s">
        <v>29</v>
      </c>
      <c r="AG841" s="391" t="s">
        <v>29</v>
      </c>
      <c r="AH841" s="391" t="s">
        <v>29</v>
      </c>
      <c r="AI841" s="391" t="s">
        <v>29</v>
      </c>
    </row>
    <row r="842" spans="2:35" ht="11.25" hidden="1" customHeight="1" outlineLevel="1" x14ac:dyDescent="0.35">
      <c r="B842" s="244" t="s">
        <v>5372</v>
      </c>
      <c r="C842" s="245"/>
      <c r="D842" s="279" t="str">
        <f>IF(Y842="","",Y842)</f>
        <v>NA</v>
      </c>
      <c r="E842" s="279" t="str">
        <f>IF(Z842="","",Z842)</f>
        <v>NA</v>
      </c>
      <c r="F842" s="279" t="str">
        <f>IF(AA842="","",AA842)</f>
        <v>NA</v>
      </c>
      <c r="G842" s="279" t="str">
        <f>IF(AB842="","",AB842)</f>
        <v>NA</v>
      </c>
      <c r="H842" s="279" t="str">
        <f>IF(AC842="","",AC842)</f>
        <v>NA</v>
      </c>
      <c r="I842" s="279" t="str">
        <f>IF(AD842="","",AD842)</f>
        <v>NA</v>
      </c>
      <c r="J842" s="279" t="str">
        <f>IF(AE842="","",AE842)</f>
        <v>NA</v>
      </c>
      <c r="K842" s="279" t="str">
        <f>IF(AF842="","",AF842)</f>
        <v>NA</v>
      </c>
      <c r="L842" s="279" t="str">
        <f>IF(AG842="","",AG842)</f>
        <v>NA</v>
      </c>
      <c r="M842" s="279" t="str">
        <f>IF(AH842="","",AH842)</f>
        <v>NA</v>
      </c>
      <c r="N842" s="279" t="str">
        <f>IF(AI842="","",AI842)</f>
        <v>NA</v>
      </c>
      <c r="U842" s="367" t="s">
        <v>5480</v>
      </c>
      <c r="V842" s="368" t="s">
        <v>5390</v>
      </c>
      <c r="W842" s="368" t="str">
        <f t="shared" si="16"/>
        <v>2014Y</v>
      </c>
      <c r="X842" s="369" t="str">
        <f>[1]!SNLLabel(287,324684,,"&lt;&gt;370")</f>
        <v>AR: Individual and Group Annuities</v>
      </c>
      <c r="Y842" s="371" t="s">
        <v>29</v>
      </c>
      <c r="Z842" s="371" t="s">
        <v>29</v>
      </c>
      <c r="AA842" s="371" t="s">
        <v>29</v>
      </c>
      <c r="AB842" s="371" t="s">
        <v>29</v>
      </c>
      <c r="AC842" s="371" t="s">
        <v>29</v>
      </c>
      <c r="AD842" s="371" t="s">
        <v>29</v>
      </c>
      <c r="AE842" s="371" t="s">
        <v>29</v>
      </c>
      <c r="AF842" s="371" t="s">
        <v>29</v>
      </c>
      <c r="AG842" s="371" t="s">
        <v>29</v>
      </c>
      <c r="AH842" s="371" t="s">
        <v>29</v>
      </c>
      <c r="AI842" s="371" t="s">
        <v>29</v>
      </c>
    </row>
    <row r="843" spans="2:35" ht="11.25" hidden="1" customHeight="1" outlineLevel="1" x14ac:dyDescent="0.35">
      <c r="B843" s="244"/>
      <c r="C843" s="245"/>
      <c r="D843" s="278"/>
      <c r="E843" s="307"/>
      <c r="F843" s="307"/>
      <c r="G843" s="307"/>
      <c r="H843" s="307"/>
      <c r="I843" s="307"/>
      <c r="J843" s="307"/>
      <c r="K843" s="307"/>
      <c r="L843" s="307"/>
      <c r="M843" s="307"/>
      <c r="N843" s="307"/>
    </row>
    <row r="844" spans="2:35" ht="11.25" hidden="1" customHeight="1" outlineLevel="1" x14ac:dyDescent="0.35">
      <c r="B844" s="246" t="s">
        <v>5458</v>
      </c>
      <c r="C844" s="245"/>
      <c r="D844" s="278"/>
      <c r="E844" s="307"/>
      <c r="F844" s="307"/>
      <c r="G844" s="307"/>
      <c r="H844" s="307"/>
      <c r="I844" s="307"/>
      <c r="J844" s="307"/>
      <c r="K844" s="307"/>
      <c r="L844" s="307"/>
      <c r="M844" s="307"/>
      <c r="N844" s="307"/>
    </row>
    <row r="845" spans="2:35" ht="11.25" hidden="1" customHeight="1" outlineLevel="1" x14ac:dyDescent="0.35">
      <c r="B845" s="244" t="s">
        <v>5365</v>
      </c>
      <c r="C845" s="245"/>
      <c r="D845" s="279" t="str">
        <f>IF(Y77="","",Y77)</f>
        <v>NA</v>
      </c>
      <c r="E845" s="279" t="str">
        <f>IF(Z77="","",Z77)</f>
        <v>NA</v>
      </c>
      <c r="F845" s="279" t="str">
        <f>IF(AA77="","",AA77)</f>
        <v>NA</v>
      </c>
      <c r="G845" s="279" t="str">
        <f>IF(AB77="","",AB77)</f>
        <v>NA</v>
      </c>
      <c r="H845" s="279" t="str">
        <f>IF(AC77="","",AC77)</f>
        <v>NA</v>
      </c>
      <c r="I845" s="279" t="str">
        <f>IF(AD77="","",AD77)</f>
        <v>NA</v>
      </c>
      <c r="J845" s="279" t="str">
        <f>IF(AE77="","",AE77)</f>
        <v>NA</v>
      </c>
      <c r="K845" s="279" t="str">
        <f>IF(AF77="","",AF77)</f>
        <v>NA</v>
      </c>
      <c r="L845" s="279" t="str">
        <f>IF(AG77="","",AG77)</f>
        <v>NA</v>
      </c>
      <c r="M845" s="279" t="str">
        <f>IF(AH77="","",AH77)</f>
        <v>NA</v>
      </c>
      <c r="N845" s="279" t="str">
        <f>IF(AI77="","",AI77)</f>
        <v>NA</v>
      </c>
    </row>
    <row r="846" spans="2:35" ht="11.25" hidden="1" customHeight="1" outlineLevel="1" x14ac:dyDescent="0.35">
      <c r="B846" s="244" t="s">
        <v>5366</v>
      </c>
      <c r="C846" s="245"/>
      <c r="D846" s="279" t="str">
        <f>IF(Y78="","",Y78)</f>
        <v>NA</v>
      </c>
      <c r="E846" s="279" t="str">
        <f>IF(Z78="","",Z78)</f>
        <v>NA</v>
      </c>
      <c r="F846" s="279" t="str">
        <f>IF(AA78="","",AA78)</f>
        <v>NA</v>
      </c>
      <c r="G846" s="279" t="str">
        <f>IF(AB78="","",AB78)</f>
        <v>NA</v>
      </c>
      <c r="H846" s="279" t="str">
        <f>IF(AC78="","",AC78)</f>
        <v>NA</v>
      </c>
      <c r="I846" s="279" t="str">
        <f>IF(AD78="","",AD78)</f>
        <v>NA</v>
      </c>
      <c r="J846" s="279" t="str">
        <f>IF(AE78="","",AE78)</f>
        <v>NA</v>
      </c>
      <c r="K846" s="279" t="str">
        <f>IF(AF78="","",AF78)</f>
        <v>NA</v>
      </c>
      <c r="L846" s="279" t="str">
        <f>IF(AG78="","",AG78)</f>
        <v>NA</v>
      </c>
      <c r="M846" s="279" t="str">
        <f>IF(AH78="","",AH78)</f>
        <v>NA</v>
      </c>
      <c r="N846" s="279" t="str">
        <f>IF(AI78="","",AI78)</f>
        <v>NA</v>
      </c>
    </row>
    <row r="847" spans="2:35" ht="11.25" hidden="1" customHeight="1" outlineLevel="1" x14ac:dyDescent="0.35">
      <c r="B847" s="244" t="s">
        <v>5122</v>
      </c>
      <c r="C847" s="245"/>
      <c r="D847" s="279" t="str">
        <f>IF(Y79="","",Y79)</f>
        <v>NA</v>
      </c>
      <c r="E847" s="279" t="str">
        <f>IF(Z79="","",Z79)</f>
        <v>NA</v>
      </c>
      <c r="F847" s="279" t="str">
        <f>IF(AA79="","",AA79)</f>
        <v>NA</v>
      </c>
      <c r="G847" s="279" t="str">
        <f>IF(AB79="","",AB79)</f>
        <v>NA</v>
      </c>
      <c r="H847" s="279" t="str">
        <f>IF(AC79="","",AC79)</f>
        <v>NA</v>
      </c>
      <c r="I847" s="279" t="str">
        <f>IF(AD79="","",AD79)</f>
        <v>NA</v>
      </c>
      <c r="J847" s="279" t="str">
        <f>IF(AE79="","",AE79)</f>
        <v>NA</v>
      </c>
      <c r="K847" s="279" t="str">
        <f>IF(AF79="","",AF79)</f>
        <v>NA</v>
      </c>
      <c r="L847" s="279" t="str">
        <f>IF(AG79="","",AG79)</f>
        <v>NA</v>
      </c>
      <c r="M847" s="279" t="str">
        <f>IF(AH79="","",AH79)</f>
        <v>NA</v>
      </c>
      <c r="N847" s="279" t="str">
        <f>IF(AI79="","",AI79)</f>
        <v>NA</v>
      </c>
    </row>
    <row r="848" spans="2:35" ht="11.25" hidden="1" customHeight="1" outlineLevel="1" x14ac:dyDescent="0.35">
      <c r="B848" s="244" t="s">
        <v>5124</v>
      </c>
      <c r="C848" s="245"/>
      <c r="D848" s="279" t="str">
        <f>IF(Y80="","",Y80)</f>
        <v>NA</v>
      </c>
      <c r="E848" s="279" t="str">
        <f>IF(Z80="","",Z80)</f>
        <v>NA</v>
      </c>
      <c r="F848" s="279" t="str">
        <f>IF(AA80="","",AA80)</f>
        <v>NA</v>
      </c>
      <c r="G848" s="279" t="str">
        <f>IF(AB80="","",AB80)</f>
        <v>NA</v>
      </c>
      <c r="H848" s="279" t="str">
        <f>IF(AC80="","",AC80)</f>
        <v>NA</v>
      </c>
      <c r="I848" s="279" t="str">
        <f>IF(AD80="","",AD80)</f>
        <v>NA</v>
      </c>
      <c r="J848" s="279" t="str">
        <f>IF(AE80="","",AE80)</f>
        <v>NA</v>
      </c>
      <c r="K848" s="279" t="str">
        <f>IF(AF80="","",AF80)</f>
        <v>NA</v>
      </c>
      <c r="L848" s="279" t="str">
        <f>IF(AG80="","",AG80)</f>
        <v>NA</v>
      </c>
      <c r="M848" s="279" t="str">
        <f>IF(AH80="","",AH80)</f>
        <v>NA</v>
      </c>
      <c r="N848" s="279" t="str">
        <f>IF(AI80="","",AI80)</f>
        <v>NA</v>
      </c>
    </row>
    <row r="849" spans="2:14" ht="11.25" hidden="1" customHeight="1" outlineLevel="1" x14ac:dyDescent="0.35">
      <c r="B849" s="244" t="s">
        <v>5121</v>
      </c>
      <c r="C849" s="245"/>
      <c r="D849" s="279" t="str">
        <f>IF(Y81="","",Y81)</f>
        <v>NA</v>
      </c>
      <c r="E849" s="279" t="str">
        <f>IF(Z81="","",Z81)</f>
        <v>NA</v>
      </c>
      <c r="F849" s="279" t="str">
        <f>IF(AA81="","",AA81)</f>
        <v>NA</v>
      </c>
      <c r="G849" s="279" t="str">
        <f>IF(AB81="","",AB81)</f>
        <v>NA</v>
      </c>
      <c r="H849" s="279" t="str">
        <f>IF(AC81="","",AC81)</f>
        <v>NA</v>
      </c>
      <c r="I849" s="279" t="str">
        <f>IF(AD81="","",AD81)</f>
        <v>NA</v>
      </c>
      <c r="J849" s="279" t="str">
        <f>IF(AE81="","",AE81)</f>
        <v>NA</v>
      </c>
      <c r="K849" s="279" t="str">
        <f>IF(AF81="","",AF81)</f>
        <v>NA</v>
      </c>
      <c r="L849" s="279" t="str">
        <f>IF(AG81="","",AG81)</f>
        <v>NA</v>
      </c>
      <c r="M849" s="279" t="str">
        <f>IF(AH81="","",AH81)</f>
        <v>NA</v>
      </c>
      <c r="N849" s="279" t="str">
        <f>IF(AI81="","",AI81)</f>
        <v>NA</v>
      </c>
    </row>
    <row r="850" spans="2:14" ht="11.25" hidden="1" customHeight="1" outlineLevel="1" x14ac:dyDescent="0.35">
      <c r="B850" s="244" t="s">
        <v>5367</v>
      </c>
      <c r="C850" s="245"/>
      <c r="D850" s="279" t="str">
        <f>IF(Y82="","",Y82)</f>
        <v>NA</v>
      </c>
      <c r="E850" s="279" t="str">
        <f>IF(Z82="","",Z82)</f>
        <v>NA</v>
      </c>
      <c r="F850" s="279" t="str">
        <f>IF(AA82="","",AA82)</f>
        <v>NA</v>
      </c>
      <c r="G850" s="279" t="str">
        <f>IF(AB82="","",AB82)</f>
        <v>NA</v>
      </c>
      <c r="H850" s="279" t="str">
        <f>IF(AC82="","",AC82)</f>
        <v>NA</v>
      </c>
      <c r="I850" s="279" t="str">
        <f>IF(AD82="","",AD82)</f>
        <v>NA</v>
      </c>
      <c r="J850" s="279" t="str">
        <f>IF(AE82="","",AE82)</f>
        <v>NA</v>
      </c>
      <c r="K850" s="279" t="str">
        <f>IF(AF82="","",AF82)</f>
        <v>NA</v>
      </c>
      <c r="L850" s="279" t="str">
        <f>IF(AG82="","",AG82)</f>
        <v>NA</v>
      </c>
      <c r="M850" s="279" t="str">
        <f>IF(AH82="","",AH82)</f>
        <v>NA</v>
      </c>
      <c r="N850" s="279" t="str">
        <f>IF(AI82="","",AI82)</f>
        <v>NA</v>
      </c>
    </row>
    <row r="851" spans="2:14" ht="11.25" hidden="1" customHeight="1" outlineLevel="1" x14ac:dyDescent="0.35">
      <c r="B851" s="244" t="s">
        <v>5368</v>
      </c>
      <c r="C851" s="247"/>
      <c r="D851" s="279" t="str">
        <f>IF(Y83="","",Y83)</f>
        <v>NA</v>
      </c>
      <c r="E851" s="279" t="str">
        <f>IF(Z83="","",Z83)</f>
        <v>NA</v>
      </c>
      <c r="F851" s="279" t="str">
        <f>IF(AA83="","",AA83)</f>
        <v>NA</v>
      </c>
      <c r="G851" s="279" t="str">
        <f>IF(AB83="","",AB83)</f>
        <v>NA</v>
      </c>
      <c r="H851" s="279" t="str">
        <f>IF(AC83="","",AC83)</f>
        <v>NA</v>
      </c>
      <c r="I851" s="279" t="str">
        <f>IF(AD83="","",AD83)</f>
        <v>NA</v>
      </c>
      <c r="J851" s="279" t="str">
        <f>IF(AE83="","",AE83)</f>
        <v>NA</v>
      </c>
      <c r="K851" s="279" t="str">
        <f>IF(AF83="","",AF83)</f>
        <v>NA</v>
      </c>
      <c r="L851" s="279" t="str">
        <f>IF(AG83="","",AG83)</f>
        <v>NA</v>
      </c>
      <c r="M851" s="279" t="str">
        <f>IF(AH83="","",AH83)</f>
        <v>NA</v>
      </c>
      <c r="N851" s="279" t="str">
        <f>IF(AI83="","",AI83)</f>
        <v>NA</v>
      </c>
    </row>
    <row r="852" spans="2:14" ht="11.25" hidden="1" customHeight="1" outlineLevel="1" x14ac:dyDescent="0.35">
      <c r="B852" s="244" t="s">
        <v>5369</v>
      </c>
      <c r="C852" s="245"/>
      <c r="D852" s="279" t="str">
        <f>IF(Y84="","",Y84)</f>
        <v>NA</v>
      </c>
      <c r="E852" s="279" t="str">
        <f>IF(Z84="","",Z84)</f>
        <v>NA</v>
      </c>
      <c r="F852" s="279" t="str">
        <f>IF(AA84="","",AA84)</f>
        <v>NA</v>
      </c>
      <c r="G852" s="279" t="str">
        <f>IF(AB84="","",AB84)</f>
        <v>NA</v>
      </c>
      <c r="H852" s="279" t="str">
        <f>IF(AC84="","",AC84)</f>
        <v>NA</v>
      </c>
      <c r="I852" s="279" t="str">
        <f>IF(AD84="","",AD84)</f>
        <v>NA</v>
      </c>
      <c r="J852" s="279" t="str">
        <f>IF(AE84="","",AE84)</f>
        <v>NA</v>
      </c>
      <c r="K852" s="279" t="str">
        <f>IF(AF84="","",AF84)</f>
        <v>NA</v>
      </c>
      <c r="L852" s="279" t="str">
        <f>IF(AG84="","",AG84)</f>
        <v>NA</v>
      </c>
      <c r="M852" s="279" t="str">
        <f>IF(AH84="","",AH84)</f>
        <v>NA</v>
      </c>
      <c r="N852" s="279" t="str">
        <f>IF(AI84="","",AI84)</f>
        <v>NA</v>
      </c>
    </row>
    <row r="853" spans="2:14" ht="11.25" hidden="1" customHeight="1" outlineLevel="1" x14ac:dyDescent="0.35">
      <c r="B853" s="244" t="s">
        <v>5370</v>
      </c>
      <c r="C853" s="245"/>
      <c r="D853" s="279" t="str">
        <f>IF(Y85="","",Y85)</f>
        <v>NA</v>
      </c>
      <c r="E853" s="279" t="str">
        <f>IF(Z85="","",Z85)</f>
        <v>NA</v>
      </c>
      <c r="F853" s="279" t="str">
        <f>IF(AA85="","",AA85)</f>
        <v>NA</v>
      </c>
      <c r="G853" s="279" t="str">
        <f>IF(AB85="","",AB85)</f>
        <v>NA</v>
      </c>
      <c r="H853" s="279" t="str">
        <f>IF(AC85="","",AC85)</f>
        <v>NA</v>
      </c>
      <c r="I853" s="279" t="str">
        <f>IF(AD85="","",AD85)</f>
        <v>NA</v>
      </c>
      <c r="J853" s="279" t="str">
        <f>IF(AE85="","",AE85)</f>
        <v>NA</v>
      </c>
      <c r="K853" s="279" t="str">
        <f>IF(AF85="","",AF85)</f>
        <v>NA</v>
      </c>
      <c r="L853" s="279" t="str">
        <f>IF(AG85="","",AG85)</f>
        <v>NA</v>
      </c>
      <c r="M853" s="279" t="str">
        <f>IF(AH85="","",AH85)</f>
        <v>NA</v>
      </c>
      <c r="N853" s="279" t="str">
        <f>IF(AI85="","",AI85)</f>
        <v>NA</v>
      </c>
    </row>
    <row r="854" spans="2:14" ht="11.25" hidden="1" customHeight="1" outlineLevel="1" x14ac:dyDescent="0.35">
      <c r="B854" s="244" t="s">
        <v>5371</v>
      </c>
      <c r="C854" s="245"/>
      <c r="D854" s="279" t="str">
        <f>IF(Y86="","",Y86)</f>
        <v>NA</v>
      </c>
      <c r="E854" s="279" t="str">
        <f>IF(Z86="","",Z86)</f>
        <v>NA</v>
      </c>
      <c r="F854" s="279" t="str">
        <f>IF(AA86="","",AA86)</f>
        <v>NA</v>
      </c>
      <c r="G854" s="279" t="str">
        <f>IF(AB86="","",AB86)</f>
        <v>NA</v>
      </c>
      <c r="H854" s="279" t="str">
        <f>IF(AC86="","",AC86)</f>
        <v>NA</v>
      </c>
      <c r="I854" s="279" t="str">
        <f>IF(AD86="","",AD86)</f>
        <v>NA</v>
      </c>
      <c r="J854" s="279" t="str">
        <f>IF(AE86="","",AE86)</f>
        <v>NA</v>
      </c>
      <c r="K854" s="279" t="str">
        <f>IF(AF86="","",AF86)</f>
        <v>NA</v>
      </c>
      <c r="L854" s="279" t="str">
        <f>IF(AG86="","",AG86)</f>
        <v>NA</v>
      </c>
      <c r="M854" s="279" t="str">
        <f>IF(AH86="","",AH86)</f>
        <v>NA</v>
      </c>
      <c r="N854" s="279" t="str">
        <f>IF(AI86="","",AI86)</f>
        <v>NA</v>
      </c>
    </row>
    <row r="855" spans="2:14" ht="11.25" hidden="1" customHeight="1" outlineLevel="1" x14ac:dyDescent="0.35">
      <c r="B855" s="244" t="s">
        <v>5372</v>
      </c>
      <c r="C855" s="245"/>
      <c r="D855" s="279" t="str">
        <f>IF(Y87="","",Y87)</f>
        <v>NA</v>
      </c>
      <c r="E855" s="279" t="str">
        <f>IF(Z87="","",Z87)</f>
        <v>NA</v>
      </c>
      <c r="F855" s="279" t="str">
        <f>IF(AA87="","",AA87)</f>
        <v>NA</v>
      </c>
      <c r="G855" s="279" t="str">
        <f>IF(AB87="","",AB87)</f>
        <v>NA</v>
      </c>
      <c r="H855" s="279" t="str">
        <f>IF(AC87="","",AC87)</f>
        <v>NA</v>
      </c>
      <c r="I855" s="279" t="str">
        <f>IF(AD87="","",AD87)</f>
        <v>NA</v>
      </c>
      <c r="J855" s="279" t="str">
        <f>IF(AE87="","",AE87)</f>
        <v>NA</v>
      </c>
      <c r="K855" s="279" t="str">
        <f>IF(AF87="","",AF87)</f>
        <v>NA</v>
      </c>
      <c r="L855" s="279" t="str">
        <f>IF(AG87="","",AG87)</f>
        <v>NA</v>
      </c>
      <c r="M855" s="279" t="str">
        <f>IF(AH87="","",AH87)</f>
        <v>NA</v>
      </c>
      <c r="N855" s="279" t="str">
        <f>IF(AI87="","",AI87)</f>
        <v>NA</v>
      </c>
    </row>
    <row r="856" spans="2:14" ht="11.25" hidden="1" customHeight="1" outlineLevel="1" x14ac:dyDescent="0.35">
      <c r="B856" s="244"/>
      <c r="C856" s="245"/>
      <c r="D856" s="278"/>
      <c r="E856" s="307"/>
      <c r="F856" s="307"/>
      <c r="G856" s="307"/>
      <c r="H856" s="307"/>
      <c r="I856" s="307"/>
      <c r="J856" s="307"/>
      <c r="K856" s="307"/>
      <c r="L856" s="307"/>
      <c r="M856" s="307"/>
      <c r="N856" s="307"/>
    </row>
    <row r="857" spans="2:14" ht="11.25" hidden="1" customHeight="1" outlineLevel="1" x14ac:dyDescent="0.35">
      <c r="B857" s="246" t="s">
        <v>5461</v>
      </c>
      <c r="C857" s="245"/>
      <c r="D857" s="278"/>
      <c r="E857" s="307"/>
      <c r="F857" s="307"/>
      <c r="G857" s="307"/>
      <c r="H857" s="307"/>
      <c r="I857" s="307"/>
      <c r="J857" s="307"/>
      <c r="K857" s="307"/>
      <c r="L857" s="307"/>
      <c r="M857" s="307"/>
      <c r="N857" s="307"/>
    </row>
    <row r="858" spans="2:14" ht="11.25" hidden="1" customHeight="1" outlineLevel="1" x14ac:dyDescent="0.35">
      <c r="B858" s="244" t="s">
        <v>5365</v>
      </c>
      <c r="C858" s="245"/>
      <c r="D858" s="279" t="str">
        <f>IF(Y90="","",Y90)</f>
        <v>NA</v>
      </c>
      <c r="E858" s="279" t="str">
        <f>IF(Z90="","",Z90)</f>
        <v>NA</v>
      </c>
      <c r="F858" s="279" t="str">
        <f>IF(AA90="","",AA90)</f>
        <v>NA</v>
      </c>
      <c r="G858" s="279" t="str">
        <f>IF(AB90="","",AB90)</f>
        <v>NA</v>
      </c>
      <c r="H858" s="279" t="str">
        <f>IF(AC90="","",AC90)</f>
        <v>NA</v>
      </c>
      <c r="I858" s="279" t="str">
        <f>IF(AD90="","",AD90)</f>
        <v>NA</v>
      </c>
      <c r="J858" s="279" t="str">
        <f>IF(AE90="","",AE90)</f>
        <v>NA</v>
      </c>
      <c r="K858" s="279" t="str">
        <f>IF(AF90="","",AF90)</f>
        <v>NA</v>
      </c>
      <c r="L858" s="279" t="str">
        <f>IF(AG90="","",AG90)</f>
        <v>NA</v>
      </c>
      <c r="M858" s="279" t="str">
        <f>IF(AH90="","",AH90)</f>
        <v>NA</v>
      </c>
      <c r="N858" s="279" t="str">
        <f>IF(AI90="","",AI90)</f>
        <v>NA</v>
      </c>
    </row>
    <row r="859" spans="2:14" ht="11.25" hidden="1" customHeight="1" outlineLevel="1" x14ac:dyDescent="0.35">
      <c r="B859" s="244" t="s">
        <v>5366</v>
      </c>
      <c r="C859" s="245"/>
      <c r="D859" s="279" t="str">
        <f>IF(Y91="","",Y91)</f>
        <v>NA</v>
      </c>
      <c r="E859" s="279" t="str">
        <f>IF(Z91="","",Z91)</f>
        <v>NA</v>
      </c>
      <c r="F859" s="279" t="str">
        <f>IF(AA91="","",AA91)</f>
        <v>NA</v>
      </c>
      <c r="G859" s="279" t="str">
        <f>IF(AB91="","",AB91)</f>
        <v>NA</v>
      </c>
      <c r="H859" s="279" t="str">
        <f>IF(AC91="","",AC91)</f>
        <v>NA</v>
      </c>
      <c r="I859" s="279" t="str">
        <f>IF(AD91="","",AD91)</f>
        <v>NA</v>
      </c>
      <c r="J859" s="279" t="str">
        <f>IF(AE91="","",AE91)</f>
        <v>NA</v>
      </c>
      <c r="K859" s="279" t="str">
        <f>IF(AF91="","",AF91)</f>
        <v>NA</v>
      </c>
      <c r="L859" s="279" t="str">
        <f>IF(AG91="","",AG91)</f>
        <v>NA</v>
      </c>
      <c r="M859" s="279" t="str">
        <f>IF(AH91="","",AH91)</f>
        <v>NA</v>
      </c>
      <c r="N859" s="279" t="str">
        <f>IF(AI91="","",AI91)</f>
        <v>NA</v>
      </c>
    </row>
    <row r="860" spans="2:14" ht="11.25" hidden="1" customHeight="1" outlineLevel="1" x14ac:dyDescent="0.35">
      <c r="B860" s="244" t="s">
        <v>5122</v>
      </c>
      <c r="C860" s="245"/>
      <c r="D860" s="279" t="str">
        <f>IF(Y92="","",Y92)</f>
        <v>NA</v>
      </c>
      <c r="E860" s="279" t="str">
        <f>IF(Z92="","",Z92)</f>
        <v>NA</v>
      </c>
      <c r="F860" s="279" t="str">
        <f>IF(AA92="","",AA92)</f>
        <v>NA</v>
      </c>
      <c r="G860" s="279" t="str">
        <f>IF(AB92="","",AB92)</f>
        <v>NA</v>
      </c>
      <c r="H860" s="279" t="str">
        <f>IF(AC92="","",AC92)</f>
        <v>NA</v>
      </c>
      <c r="I860" s="279" t="str">
        <f>IF(AD92="","",AD92)</f>
        <v>NA</v>
      </c>
      <c r="J860" s="279" t="str">
        <f>IF(AE92="","",AE92)</f>
        <v>NA</v>
      </c>
      <c r="K860" s="279" t="str">
        <f>IF(AF92="","",AF92)</f>
        <v>NA</v>
      </c>
      <c r="L860" s="279" t="str">
        <f>IF(AG92="","",AG92)</f>
        <v>NA</v>
      </c>
      <c r="M860" s="279" t="str">
        <f>IF(AH92="","",AH92)</f>
        <v>NA</v>
      </c>
      <c r="N860" s="279" t="str">
        <f>IF(AI92="","",AI92)</f>
        <v>NA</v>
      </c>
    </row>
    <row r="861" spans="2:14" ht="11.25" hidden="1" customHeight="1" outlineLevel="1" x14ac:dyDescent="0.35">
      <c r="B861" s="244" t="s">
        <v>5124</v>
      </c>
      <c r="C861" s="245"/>
      <c r="D861" s="279" t="str">
        <f>IF(Y93="","",Y93)</f>
        <v>NA</v>
      </c>
      <c r="E861" s="279" t="str">
        <f>IF(Z93="","",Z93)</f>
        <v>NA</v>
      </c>
      <c r="F861" s="279" t="str">
        <f>IF(AA93="","",AA93)</f>
        <v>NA</v>
      </c>
      <c r="G861" s="279" t="str">
        <f>IF(AB93="","",AB93)</f>
        <v>NA</v>
      </c>
      <c r="H861" s="279" t="str">
        <f>IF(AC93="","",AC93)</f>
        <v>NA</v>
      </c>
      <c r="I861" s="279" t="str">
        <f>IF(AD93="","",AD93)</f>
        <v>NA</v>
      </c>
      <c r="J861" s="279" t="str">
        <f>IF(AE93="","",AE93)</f>
        <v>NA</v>
      </c>
      <c r="K861" s="279" t="str">
        <f>IF(AF93="","",AF93)</f>
        <v>NA</v>
      </c>
      <c r="L861" s="279" t="str">
        <f>IF(AG93="","",AG93)</f>
        <v>NA</v>
      </c>
      <c r="M861" s="279" t="str">
        <f>IF(AH93="","",AH93)</f>
        <v>NA</v>
      </c>
      <c r="N861" s="279" t="str">
        <f>IF(AI93="","",AI93)</f>
        <v>NA</v>
      </c>
    </row>
    <row r="862" spans="2:14" ht="11.25" hidden="1" customHeight="1" outlineLevel="1" x14ac:dyDescent="0.35">
      <c r="B862" s="244" t="s">
        <v>5121</v>
      </c>
      <c r="C862" s="245"/>
      <c r="D862" s="279" t="str">
        <f>IF(Y94="","",Y94)</f>
        <v>NA</v>
      </c>
      <c r="E862" s="279" t="str">
        <f>IF(Z94="","",Z94)</f>
        <v>NA</v>
      </c>
      <c r="F862" s="279" t="str">
        <f>IF(AA94="","",AA94)</f>
        <v>NA</v>
      </c>
      <c r="G862" s="279" t="str">
        <f>IF(AB94="","",AB94)</f>
        <v>NA</v>
      </c>
      <c r="H862" s="279" t="str">
        <f>IF(AC94="","",AC94)</f>
        <v>NA</v>
      </c>
      <c r="I862" s="279" t="str">
        <f>IF(AD94="","",AD94)</f>
        <v>NA</v>
      </c>
      <c r="J862" s="279" t="str">
        <f>IF(AE94="","",AE94)</f>
        <v>NA</v>
      </c>
      <c r="K862" s="279" t="str">
        <f>IF(AF94="","",AF94)</f>
        <v>NA</v>
      </c>
      <c r="L862" s="279" t="str">
        <f>IF(AG94="","",AG94)</f>
        <v>NA</v>
      </c>
      <c r="M862" s="279" t="str">
        <f>IF(AH94="","",AH94)</f>
        <v>NA</v>
      </c>
      <c r="N862" s="279" t="str">
        <f>IF(AI94="","",AI94)</f>
        <v>NA</v>
      </c>
    </row>
    <row r="863" spans="2:14" ht="11.25" hidden="1" customHeight="1" outlineLevel="1" x14ac:dyDescent="0.35">
      <c r="B863" s="244" t="s">
        <v>5367</v>
      </c>
      <c r="C863" s="245"/>
      <c r="D863" s="279" t="str">
        <f>IF(Y95="","",Y95)</f>
        <v>NA</v>
      </c>
      <c r="E863" s="279" t="str">
        <f>IF(Z95="","",Z95)</f>
        <v>NA</v>
      </c>
      <c r="F863" s="279" t="str">
        <f>IF(AA95="","",AA95)</f>
        <v>NA</v>
      </c>
      <c r="G863" s="279" t="str">
        <f>IF(AB95="","",AB95)</f>
        <v>NA</v>
      </c>
      <c r="H863" s="279" t="str">
        <f>IF(AC95="","",AC95)</f>
        <v>NA</v>
      </c>
      <c r="I863" s="279" t="str">
        <f>IF(AD95="","",AD95)</f>
        <v>NA</v>
      </c>
      <c r="J863" s="279" t="str">
        <f>IF(AE95="","",AE95)</f>
        <v>NA</v>
      </c>
      <c r="K863" s="279" t="str">
        <f>IF(AF95="","",AF95)</f>
        <v>NA</v>
      </c>
      <c r="L863" s="279" t="str">
        <f>IF(AG95="","",AG95)</f>
        <v>NA</v>
      </c>
      <c r="M863" s="279" t="str">
        <f>IF(AH95="","",AH95)</f>
        <v>NA</v>
      </c>
      <c r="N863" s="279" t="str">
        <f>IF(AI95="","",AI95)</f>
        <v>NA</v>
      </c>
    </row>
    <row r="864" spans="2:14" ht="11.25" hidden="1" customHeight="1" outlineLevel="1" x14ac:dyDescent="0.35">
      <c r="B864" s="244" t="s">
        <v>5368</v>
      </c>
      <c r="C864" s="245"/>
      <c r="D864" s="279" t="str">
        <f>IF(Y96="","",Y96)</f>
        <v>NA</v>
      </c>
      <c r="E864" s="279" t="str">
        <f>IF(Z96="","",Z96)</f>
        <v>NA</v>
      </c>
      <c r="F864" s="279" t="str">
        <f>IF(AA96="","",AA96)</f>
        <v>NA</v>
      </c>
      <c r="G864" s="279" t="str">
        <f>IF(AB96="","",AB96)</f>
        <v>NA</v>
      </c>
      <c r="H864" s="279" t="str">
        <f>IF(AC96="","",AC96)</f>
        <v>NA</v>
      </c>
      <c r="I864" s="279" t="str">
        <f>IF(AD96="","",AD96)</f>
        <v>NA</v>
      </c>
      <c r="J864" s="279" t="str">
        <f>IF(AE96="","",AE96)</f>
        <v>NA</v>
      </c>
      <c r="K864" s="279" t="str">
        <f>IF(AF96="","",AF96)</f>
        <v>NA</v>
      </c>
      <c r="L864" s="279" t="str">
        <f>IF(AG96="","",AG96)</f>
        <v>NA</v>
      </c>
      <c r="M864" s="279" t="str">
        <f>IF(AH96="","",AH96)</f>
        <v>NA</v>
      </c>
      <c r="N864" s="279" t="str">
        <f>IF(AI96="","",AI96)</f>
        <v>NA</v>
      </c>
    </row>
    <row r="865" spans="2:33" ht="11.25" hidden="1" customHeight="1" outlineLevel="1" x14ac:dyDescent="0.35">
      <c r="B865" s="244" t="s">
        <v>5369</v>
      </c>
      <c r="C865" s="245"/>
      <c r="D865" s="279" t="str">
        <f>IF(Y97="","",Y97)</f>
        <v>NA</v>
      </c>
      <c r="E865" s="279" t="str">
        <f>IF(Z97="","",Z97)</f>
        <v>NA</v>
      </c>
      <c r="F865" s="279" t="str">
        <f>IF(AA97="","",AA97)</f>
        <v>NA</v>
      </c>
      <c r="G865" s="279" t="str">
        <f>IF(AB97="","",AB97)</f>
        <v>NA</v>
      </c>
      <c r="H865" s="279" t="str">
        <f>IF(AC97="","",AC97)</f>
        <v>NA</v>
      </c>
      <c r="I865" s="279" t="str">
        <f>IF(AD97="","",AD97)</f>
        <v>NA</v>
      </c>
      <c r="J865" s="279" t="str">
        <f>IF(AE97="","",AE97)</f>
        <v>NA</v>
      </c>
      <c r="K865" s="279" t="str">
        <f>IF(AF97="","",AF97)</f>
        <v>NA</v>
      </c>
      <c r="L865" s="279" t="str">
        <f>IF(AG97="","",AG97)</f>
        <v>NA</v>
      </c>
      <c r="M865" s="279" t="str">
        <f>IF(AH97="","",AH97)</f>
        <v>NA</v>
      </c>
      <c r="N865" s="279" t="str">
        <f>IF(AI97="","",AI97)</f>
        <v>NA</v>
      </c>
    </row>
    <row r="866" spans="2:33" ht="11.25" hidden="1" customHeight="1" outlineLevel="1" x14ac:dyDescent="0.35">
      <c r="B866" s="244" t="s">
        <v>5370</v>
      </c>
      <c r="C866" s="245"/>
      <c r="D866" s="279" t="str">
        <f>IF(Y98="","",Y98)</f>
        <v>NA</v>
      </c>
      <c r="E866" s="279" t="str">
        <f>IF(Z98="","",Z98)</f>
        <v>NA</v>
      </c>
      <c r="F866" s="279" t="str">
        <f>IF(AA98="","",AA98)</f>
        <v>NA</v>
      </c>
      <c r="G866" s="279" t="str">
        <f>IF(AB98="","",AB98)</f>
        <v>NA</v>
      </c>
      <c r="H866" s="279" t="str">
        <f>IF(AC98="","",AC98)</f>
        <v>NA</v>
      </c>
      <c r="I866" s="279" t="str">
        <f>IF(AD98="","",AD98)</f>
        <v>NA</v>
      </c>
      <c r="J866" s="279" t="str">
        <f>IF(AE98="","",AE98)</f>
        <v>NA</v>
      </c>
      <c r="K866" s="279" t="str">
        <f>IF(AF98="","",AF98)</f>
        <v>NA</v>
      </c>
      <c r="L866" s="279" t="str">
        <f>IF(AG98="","",AG98)</f>
        <v>NA</v>
      </c>
      <c r="M866" s="279" t="str">
        <f>IF(AH98="","",AH98)</f>
        <v>NA</v>
      </c>
      <c r="N866" s="279" t="str">
        <f>IF(AI98="","",AI98)</f>
        <v>NA</v>
      </c>
    </row>
    <row r="867" spans="2:33" ht="11.25" hidden="1" customHeight="1" outlineLevel="1" x14ac:dyDescent="0.35">
      <c r="B867" s="244" t="s">
        <v>5371</v>
      </c>
      <c r="C867" s="245"/>
      <c r="D867" s="279" t="str">
        <f>IF(Y99="","",Y99)</f>
        <v>NA</v>
      </c>
      <c r="E867" s="279" t="str">
        <f>IF(Z99="","",Z99)</f>
        <v>NA</v>
      </c>
      <c r="F867" s="279" t="str">
        <f>IF(AA99="","",AA99)</f>
        <v>NA</v>
      </c>
      <c r="G867" s="279" t="str">
        <f>IF(AB99="","",AB99)</f>
        <v>NA</v>
      </c>
      <c r="H867" s="279" t="str">
        <f>IF(AC99="","",AC99)</f>
        <v>NA</v>
      </c>
      <c r="I867" s="279" t="str">
        <f>IF(AD99="","",AD99)</f>
        <v>NA</v>
      </c>
      <c r="J867" s="279" t="str">
        <f>IF(AE99="","",AE99)</f>
        <v>NA</v>
      </c>
      <c r="K867" s="279" t="str">
        <f>IF(AF99="","",AF99)</f>
        <v>NA</v>
      </c>
      <c r="L867" s="279" t="str">
        <f>IF(AG99="","",AG99)</f>
        <v>NA</v>
      </c>
      <c r="M867" s="279" t="str">
        <f>IF(AH99="","",AH99)</f>
        <v>NA</v>
      </c>
      <c r="N867" s="279" t="str">
        <f>IF(AI99="","",AI99)</f>
        <v>NA</v>
      </c>
    </row>
    <row r="868" spans="2:33" ht="11.25" hidden="1" customHeight="1" outlineLevel="1" x14ac:dyDescent="0.35">
      <c r="B868" s="244" t="s">
        <v>5372</v>
      </c>
      <c r="C868" s="245"/>
      <c r="D868" s="279" t="str">
        <f>IF(Y100="","",Y100)</f>
        <v>NA</v>
      </c>
      <c r="E868" s="279" t="str">
        <f>IF(Z100="","",Z100)</f>
        <v>NA</v>
      </c>
      <c r="F868" s="279" t="str">
        <f>IF(AA100="","",AA100)</f>
        <v>NA</v>
      </c>
      <c r="G868" s="279" t="str">
        <f>IF(AB100="","",AB100)</f>
        <v>NA</v>
      </c>
      <c r="H868" s="279" t="str">
        <f>IF(AC100="","",AC100)</f>
        <v>NA</v>
      </c>
      <c r="I868" s="279" t="str">
        <f>IF(AD100="","",AD100)</f>
        <v>NA</v>
      </c>
      <c r="J868" s="279" t="str">
        <f>IF(AE100="","",AE100)</f>
        <v>NA</v>
      </c>
      <c r="K868" s="279" t="str">
        <f>IF(AF100="","",AF100)</f>
        <v>NA</v>
      </c>
      <c r="L868" s="279" t="str">
        <f>IF(AG100="","",AG100)</f>
        <v>NA</v>
      </c>
      <c r="M868" s="279" t="str">
        <f>IF(AH100="","",AH100)</f>
        <v>NA</v>
      </c>
      <c r="N868" s="279" t="str">
        <f>IF(AI100="","",AI100)</f>
        <v>NA</v>
      </c>
    </row>
    <row r="869" spans="2:33" ht="11.25" hidden="1" customHeight="1" outlineLevel="1" x14ac:dyDescent="0.35">
      <c r="B869" s="244"/>
      <c r="C869" s="245"/>
      <c r="D869" s="278"/>
      <c r="E869" s="307"/>
      <c r="F869" s="307"/>
      <c r="G869" s="307"/>
      <c r="H869" s="307"/>
      <c r="I869" s="307"/>
      <c r="J869" s="307"/>
      <c r="K869" s="307"/>
      <c r="L869" s="307"/>
      <c r="M869" s="307"/>
      <c r="N869" s="307"/>
    </row>
    <row r="870" spans="2:33" ht="11.25" customHeight="1" collapsed="1" x14ac:dyDescent="0.35">
      <c r="B870" s="246" t="s">
        <v>5510</v>
      </c>
      <c r="C870" s="245"/>
      <c r="D870" s="278"/>
      <c r="E870" s="307"/>
      <c r="F870" s="307"/>
      <c r="G870" s="307"/>
      <c r="H870" s="307"/>
      <c r="I870" s="307"/>
      <c r="J870" s="307"/>
      <c r="K870" s="307"/>
      <c r="L870" s="307"/>
      <c r="M870" s="307"/>
      <c r="N870" s="307"/>
    </row>
    <row r="871" spans="2:33" ht="11.25" customHeight="1" x14ac:dyDescent="0.35">
      <c r="B871" s="244" t="s">
        <v>5126</v>
      </c>
      <c r="C871" s="245">
        <v>123629</v>
      </c>
      <c r="D871" s="278">
        <v>1.2605812999999999</v>
      </c>
      <c r="E871" s="307" t="s">
        <v>29</v>
      </c>
      <c r="F871" s="307" t="s">
        <v>29</v>
      </c>
      <c r="G871" s="307" t="s">
        <v>29</v>
      </c>
      <c r="H871" s="307" t="s">
        <v>29</v>
      </c>
      <c r="I871" s="307" t="s">
        <v>29</v>
      </c>
      <c r="J871" s="307" t="s">
        <v>29</v>
      </c>
      <c r="K871" s="307" t="s">
        <v>29</v>
      </c>
      <c r="L871" s="307" t="s">
        <v>29</v>
      </c>
      <c r="M871" s="307" t="s">
        <v>29</v>
      </c>
      <c r="N871" s="307" t="s">
        <v>29</v>
      </c>
    </row>
    <row r="872" spans="2:33" ht="11.25" customHeight="1" x14ac:dyDescent="0.35">
      <c r="B872" s="244" t="s">
        <v>5125</v>
      </c>
      <c r="C872" s="245">
        <v>123633</v>
      </c>
      <c r="D872" s="278">
        <v>16.254559499999999</v>
      </c>
      <c r="E872" s="307">
        <v>2.4195045999999998</v>
      </c>
      <c r="F872" s="307">
        <v>1.2903157000000001</v>
      </c>
      <c r="G872" s="307">
        <v>5.6112118999999998</v>
      </c>
      <c r="H872" s="307" t="s">
        <v>29</v>
      </c>
      <c r="I872" s="307">
        <v>18.5805957</v>
      </c>
      <c r="J872" s="307">
        <v>7.1563907999999996</v>
      </c>
      <c r="K872" s="307">
        <v>18.447016300000001</v>
      </c>
      <c r="L872" s="307">
        <v>13.242357200000001</v>
      </c>
      <c r="M872" s="307">
        <v>10.472768200000001</v>
      </c>
      <c r="N872" s="307">
        <v>17.683316900000001</v>
      </c>
    </row>
    <row r="873" spans="2:33" ht="11.25" customHeight="1" x14ac:dyDescent="0.35">
      <c r="B873" s="244" t="s">
        <v>5124</v>
      </c>
      <c r="C873" s="245">
        <v>123637</v>
      </c>
      <c r="D873" s="278">
        <v>6.5160498000000002</v>
      </c>
      <c r="E873" s="307">
        <v>79.100771300000005</v>
      </c>
      <c r="F873" s="307">
        <v>1.7075807000000001</v>
      </c>
      <c r="G873" s="307">
        <v>3.1176105000000001</v>
      </c>
      <c r="H873" s="307" t="s">
        <v>29</v>
      </c>
      <c r="I873" s="307" t="s">
        <v>2107</v>
      </c>
      <c r="J873" s="307">
        <v>5.5382164999999999</v>
      </c>
      <c r="K873" s="307">
        <v>25.446133799999998</v>
      </c>
      <c r="L873" s="307">
        <v>7.1794283999999999</v>
      </c>
      <c r="M873" s="307" t="s">
        <v>29</v>
      </c>
      <c r="N873" s="307" t="s">
        <v>29</v>
      </c>
    </row>
    <row r="874" spans="2:33" ht="11.25" customHeight="1" x14ac:dyDescent="0.35">
      <c r="B874" s="244" t="s">
        <v>5123</v>
      </c>
      <c r="C874" s="245">
        <v>123645</v>
      </c>
      <c r="D874" s="278">
        <v>42.841901200000002</v>
      </c>
      <c r="E874" s="307">
        <v>0</v>
      </c>
      <c r="F874" s="307" t="s">
        <v>29</v>
      </c>
      <c r="G874" s="307" t="s">
        <v>29</v>
      </c>
      <c r="H874" s="307" t="s">
        <v>29</v>
      </c>
      <c r="I874" s="307">
        <v>0</v>
      </c>
      <c r="J874" s="307" t="s">
        <v>29</v>
      </c>
      <c r="K874" s="307" t="s">
        <v>29</v>
      </c>
      <c r="L874" s="307" t="s">
        <v>29</v>
      </c>
      <c r="M874" s="307" t="s">
        <v>29</v>
      </c>
      <c r="N874" s="307" t="s">
        <v>29</v>
      </c>
    </row>
    <row r="875" spans="2:33" ht="11.25" customHeight="1" x14ac:dyDescent="0.35">
      <c r="B875" s="244" t="s">
        <v>5122</v>
      </c>
      <c r="C875" s="245">
        <v>123649</v>
      </c>
      <c r="D875" s="278">
        <v>7.1619412999999996</v>
      </c>
      <c r="E875" s="307">
        <v>5.2574452000000003</v>
      </c>
      <c r="F875" s="307">
        <v>0</v>
      </c>
      <c r="G875" s="307">
        <v>16.573594400000001</v>
      </c>
      <c r="H875" s="307" t="s">
        <v>29</v>
      </c>
      <c r="I875" s="307">
        <v>6.8882063000000002</v>
      </c>
      <c r="J875" s="307">
        <v>0</v>
      </c>
      <c r="K875" s="307">
        <v>10.7317892</v>
      </c>
      <c r="L875" s="307" t="s">
        <v>29</v>
      </c>
      <c r="M875" s="307" t="s">
        <v>29</v>
      </c>
      <c r="N875" s="307">
        <v>15.920152399999999</v>
      </c>
    </row>
    <row r="876" spans="2:33" ht="11.25" customHeight="1" x14ac:dyDescent="0.35">
      <c r="B876" s="244" t="s">
        <v>5121</v>
      </c>
      <c r="C876" s="245">
        <v>123653</v>
      </c>
      <c r="D876" s="278">
        <v>2.3456442000000002</v>
      </c>
      <c r="E876" s="307" t="s">
        <v>29</v>
      </c>
      <c r="F876" s="307" t="s">
        <v>29</v>
      </c>
      <c r="G876" s="307" t="s">
        <v>29</v>
      </c>
      <c r="H876" s="307" t="s">
        <v>29</v>
      </c>
      <c r="I876" s="307" t="s">
        <v>29</v>
      </c>
      <c r="J876" s="307">
        <v>4.3487828999999998</v>
      </c>
      <c r="K876" s="307">
        <v>8.2651383999999997</v>
      </c>
      <c r="L876" s="307" t="s">
        <v>29</v>
      </c>
      <c r="M876" s="307" t="s">
        <v>29</v>
      </c>
      <c r="N876" s="307" t="s">
        <v>29</v>
      </c>
    </row>
    <row r="877" spans="2:33" ht="11.25" customHeight="1" x14ac:dyDescent="0.35">
      <c r="B877" s="244" t="s">
        <v>5120</v>
      </c>
      <c r="C877" s="245">
        <v>123657</v>
      </c>
      <c r="D877" s="278">
        <v>7.6471926000000003</v>
      </c>
      <c r="E877" s="307">
        <v>9.2609113999999995</v>
      </c>
      <c r="F877" s="307" t="s">
        <v>29</v>
      </c>
      <c r="G877" s="307">
        <v>55.101300600000002</v>
      </c>
      <c r="H877" s="307">
        <v>8.4842615000000006</v>
      </c>
      <c r="I877" s="307">
        <v>12.2109068</v>
      </c>
      <c r="J877" s="307">
        <v>9.5383627999999998</v>
      </c>
      <c r="K877" s="307">
        <v>27.713628799999999</v>
      </c>
      <c r="L877" s="307" t="s">
        <v>2107</v>
      </c>
      <c r="M877" s="307" t="s">
        <v>29</v>
      </c>
      <c r="N877" s="307">
        <v>31.494287199999999</v>
      </c>
      <c r="U877" s="392"/>
      <c r="V877" s="394"/>
      <c r="W877" s="457"/>
      <c r="X877" s="393"/>
      <c r="Y877" s="393"/>
      <c r="Z877" s="393"/>
      <c r="AA877" s="393"/>
      <c r="AB877" s="393"/>
      <c r="AC877" s="393"/>
      <c r="AD877" s="393"/>
      <c r="AE877" s="393"/>
      <c r="AF877" s="393"/>
      <c r="AG877" s="393"/>
    </row>
    <row r="878" spans="2:33" ht="11.25" customHeight="1" x14ac:dyDescent="0.35">
      <c r="B878" s="244" t="s">
        <v>5119</v>
      </c>
      <c r="C878" s="245">
        <v>123661</v>
      </c>
      <c r="D878" s="307">
        <v>37.252051100000003</v>
      </c>
      <c r="E878" s="307">
        <v>0</v>
      </c>
      <c r="F878" s="307" t="s">
        <v>29</v>
      </c>
      <c r="G878" s="307" t="s">
        <v>29</v>
      </c>
      <c r="H878" s="307" t="s">
        <v>29</v>
      </c>
      <c r="I878" s="307" t="s">
        <v>29</v>
      </c>
      <c r="J878" s="307" t="s">
        <v>29</v>
      </c>
      <c r="K878" s="307" t="s">
        <v>29</v>
      </c>
      <c r="L878" s="307" t="s">
        <v>29</v>
      </c>
      <c r="M878" s="307" t="s">
        <v>29</v>
      </c>
      <c r="N878" s="307" t="s">
        <v>29</v>
      </c>
      <c r="U878" s="258"/>
      <c r="V878" s="394"/>
      <c r="W878" s="457"/>
      <c r="X878" s="457"/>
      <c r="Y878" s="457"/>
      <c r="Z878" s="457"/>
      <c r="AA878" s="457"/>
      <c r="AB878" s="457"/>
      <c r="AC878" s="457"/>
      <c r="AD878" s="457"/>
      <c r="AE878" s="457"/>
      <c r="AF878" s="457"/>
      <c r="AG878" s="457"/>
    </row>
    <row r="879" spans="2:33" ht="11.25" customHeight="1" x14ac:dyDescent="0.35">
      <c r="B879" s="244" t="s">
        <v>5107</v>
      </c>
      <c r="C879" s="245" t="s">
        <v>5508</v>
      </c>
      <c r="D879" s="307">
        <v>10.9110873</v>
      </c>
      <c r="E879" s="307">
        <v>16.429691500000001</v>
      </c>
      <c r="F879" s="307">
        <v>15.415248200000001</v>
      </c>
      <c r="G879" s="307">
        <v>15.058673300000001</v>
      </c>
      <c r="H879" s="307">
        <v>21.027138099999998</v>
      </c>
      <c r="I879" s="307">
        <v>19.108124100000001</v>
      </c>
      <c r="J879" s="307">
        <v>18.4219425</v>
      </c>
      <c r="K879" s="307">
        <v>18.279523300000001</v>
      </c>
      <c r="L879" s="307">
        <v>35.602977600000003</v>
      </c>
      <c r="M879" s="307">
        <v>114.57737950000001</v>
      </c>
      <c r="N879" s="307">
        <v>19.7701663</v>
      </c>
      <c r="U879" s="258"/>
      <c r="V879" s="394"/>
      <c r="W879" s="351"/>
      <c r="X879" s="351"/>
      <c r="Y879" s="351"/>
      <c r="Z879" s="351"/>
      <c r="AA879" s="351"/>
      <c r="AB879" s="351"/>
      <c r="AC879" s="351"/>
      <c r="AD879" s="351"/>
      <c r="AE879" s="351"/>
      <c r="AF879" s="351"/>
      <c r="AG879" s="351"/>
    </row>
    <row r="880" spans="2:33" ht="11.25" customHeight="1" x14ac:dyDescent="0.35">
      <c r="B880" s="244" t="s">
        <v>4946</v>
      </c>
      <c r="C880" s="245"/>
      <c r="D880" s="307"/>
      <c r="E880" s="307"/>
      <c r="F880" s="307"/>
      <c r="G880" s="307"/>
      <c r="H880" s="307"/>
      <c r="I880" s="307"/>
      <c r="J880" s="307"/>
      <c r="K880" s="307"/>
      <c r="L880" s="307"/>
      <c r="M880" s="307"/>
      <c r="N880" s="307"/>
    </row>
    <row r="881" spans="2:14" ht="11.25" customHeight="1" x14ac:dyDescent="0.35">
      <c r="B881" s="246" t="s">
        <v>5118</v>
      </c>
      <c r="C881" s="245"/>
      <c r="D881" s="307"/>
      <c r="E881" s="307"/>
      <c r="F881" s="307"/>
      <c r="G881" s="307"/>
      <c r="H881" s="307"/>
      <c r="I881" s="307"/>
      <c r="J881" s="307"/>
      <c r="K881" s="307"/>
      <c r="L881" s="307"/>
      <c r="M881" s="307"/>
      <c r="N881" s="307"/>
    </row>
    <row r="882" spans="2:14" ht="11.25" customHeight="1" x14ac:dyDescent="0.35">
      <c r="B882" s="244" t="s">
        <v>5117</v>
      </c>
      <c r="C882" s="247">
        <v>123666</v>
      </c>
      <c r="D882" s="307">
        <v>8.0435057000000008</v>
      </c>
      <c r="E882" s="307">
        <v>19.03857</v>
      </c>
      <c r="F882" s="307">
        <v>1.2949046</v>
      </c>
      <c r="G882" s="307">
        <v>12.5352291</v>
      </c>
      <c r="H882" s="307">
        <v>19.592348300000001</v>
      </c>
      <c r="I882" s="307">
        <v>18.792340800000002</v>
      </c>
      <c r="J882" s="307">
        <v>9.7294497999999994</v>
      </c>
      <c r="K882" s="307">
        <v>20.5297883</v>
      </c>
      <c r="L882" s="307">
        <v>27.3569569</v>
      </c>
      <c r="M882" s="307">
        <v>113.31221530000001</v>
      </c>
      <c r="N882" s="307">
        <v>20.059506500000001</v>
      </c>
    </row>
    <row r="883" spans="2:14" ht="11.25" customHeight="1" x14ac:dyDescent="0.35">
      <c r="B883" s="244" t="s">
        <v>5116</v>
      </c>
      <c r="C883" s="245">
        <v>123667</v>
      </c>
      <c r="D883" s="307">
        <v>9.1075099999999996</v>
      </c>
      <c r="E883" s="307">
        <v>14.669673299999999</v>
      </c>
      <c r="F883" s="307">
        <v>7.0204119</v>
      </c>
      <c r="G883" s="307">
        <v>13.5614589</v>
      </c>
      <c r="H883" s="307">
        <v>8.8589809000000006</v>
      </c>
      <c r="I883" s="307">
        <v>23.010945299999999</v>
      </c>
      <c r="J883" s="307">
        <v>8.3173524000000008</v>
      </c>
      <c r="K883" s="307">
        <v>20.9750002</v>
      </c>
      <c r="L883" s="307">
        <v>31.683381300000001</v>
      </c>
      <c r="M883" s="307">
        <v>102.443145</v>
      </c>
      <c r="N883" s="307">
        <v>15.8756501</v>
      </c>
    </row>
    <row r="884" spans="2:14" ht="11.25" customHeight="1" x14ac:dyDescent="0.35">
      <c r="B884" s="244" t="s">
        <v>5115</v>
      </c>
      <c r="C884" s="245">
        <v>123668</v>
      </c>
      <c r="D884" s="307">
        <v>1.5498193</v>
      </c>
      <c r="E884" s="307">
        <v>0.38374170000000002</v>
      </c>
      <c r="F884" s="307">
        <v>1.8684158</v>
      </c>
      <c r="G884" s="307">
        <v>1.0541611</v>
      </c>
      <c r="H884" s="307">
        <v>1.1595736000000001</v>
      </c>
      <c r="I884" s="307">
        <v>3.4118054999999998</v>
      </c>
      <c r="J884" s="307">
        <v>1.3707034</v>
      </c>
      <c r="K884" s="307">
        <v>2.3496277000000001</v>
      </c>
      <c r="L884" s="307">
        <v>9.5675752999999997</v>
      </c>
      <c r="M884" s="307">
        <v>17.0438464</v>
      </c>
      <c r="N884" s="307">
        <v>2.6625190000000001</v>
      </c>
    </row>
    <row r="885" spans="2:14" ht="11.25" customHeight="1" x14ac:dyDescent="0.35">
      <c r="B885" s="244" t="s">
        <v>5114</v>
      </c>
      <c r="C885" s="245">
        <v>123669</v>
      </c>
      <c r="D885" s="307">
        <v>18.700835000000001</v>
      </c>
      <c r="E885" s="307">
        <v>34.091985000000001</v>
      </c>
      <c r="F885" s="307">
        <v>10.183732300000001</v>
      </c>
      <c r="G885" s="307">
        <v>27.150849099999999</v>
      </c>
      <c r="H885" s="307">
        <v>29.610902800000002</v>
      </c>
      <c r="I885" s="307">
        <v>45.215091600000001</v>
      </c>
      <c r="J885" s="307">
        <v>19.417505599999998</v>
      </c>
      <c r="K885" s="307">
        <v>43.854416200000003</v>
      </c>
      <c r="L885" s="307">
        <v>68.607913499999995</v>
      </c>
      <c r="M885" s="307">
        <v>232.79920670000001</v>
      </c>
      <c r="N885" s="307">
        <v>38.597675600000002</v>
      </c>
    </row>
    <row r="886" spans="2:14" ht="11.25" customHeight="1" x14ac:dyDescent="0.35">
      <c r="B886" s="244" t="s">
        <v>4946</v>
      </c>
      <c r="C886" s="245"/>
      <c r="D886" s="307"/>
      <c r="E886" s="307"/>
      <c r="F886" s="307"/>
      <c r="G886" s="307"/>
      <c r="H886" s="307"/>
      <c r="I886" s="307"/>
      <c r="J886" s="307"/>
      <c r="K886" s="307"/>
      <c r="L886" s="307"/>
      <c r="M886" s="307"/>
      <c r="N886" s="307"/>
    </row>
    <row r="887" spans="2:14" ht="11.25" customHeight="1" x14ac:dyDescent="0.35">
      <c r="B887" s="246" t="s">
        <v>5113</v>
      </c>
      <c r="C887" s="245"/>
      <c r="D887" s="307"/>
      <c r="E887" s="307"/>
      <c r="F887" s="307"/>
      <c r="G887" s="307"/>
      <c r="H887" s="307"/>
      <c r="I887" s="307"/>
      <c r="J887" s="307"/>
      <c r="K887" s="307"/>
      <c r="L887" s="307"/>
      <c r="M887" s="307"/>
      <c r="N887" s="307"/>
    </row>
    <row r="888" spans="2:14" ht="11.25" customHeight="1" x14ac:dyDescent="0.35">
      <c r="B888" s="244" t="s">
        <v>5112</v>
      </c>
      <c r="C888" s="245">
        <v>123670</v>
      </c>
      <c r="D888" s="307">
        <v>1.6795884999999999</v>
      </c>
      <c r="E888" s="307" t="s">
        <v>29</v>
      </c>
      <c r="F888" s="307" t="s">
        <v>29</v>
      </c>
      <c r="G888" s="307" t="s">
        <v>29</v>
      </c>
      <c r="H888" s="307" t="s">
        <v>29</v>
      </c>
      <c r="I888" s="307" t="s">
        <v>29</v>
      </c>
      <c r="J888" s="307" t="s">
        <v>29</v>
      </c>
      <c r="K888" s="307">
        <v>0</v>
      </c>
      <c r="L888" s="307" t="s">
        <v>29</v>
      </c>
      <c r="M888" s="307" t="s">
        <v>29</v>
      </c>
      <c r="N888" s="307" t="s">
        <v>29</v>
      </c>
    </row>
    <row r="889" spans="2:14" ht="11.25" customHeight="1" x14ac:dyDescent="0.35">
      <c r="B889" s="244" t="s">
        <v>5111</v>
      </c>
      <c r="C889" s="245">
        <v>123671</v>
      </c>
      <c r="D889" s="307">
        <v>5.3325484000000003</v>
      </c>
      <c r="E889" s="307">
        <v>12.897418800000001</v>
      </c>
      <c r="F889" s="307">
        <v>6.0692233</v>
      </c>
      <c r="G889" s="307">
        <v>10.5686532</v>
      </c>
      <c r="H889" s="307" t="s">
        <v>29</v>
      </c>
      <c r="I889" s="307">
        <v>13.852899300000001</v>
      </c>
      <c r="J889" s="307">
        <v>4.3536216000000003</v>
      </c>
      <c r="K889" s="307">
        <v>10.137515799999999</v>
      </c>
      <c r="L889" s="307">
        <v>5.6418675</v>
      </c>
      <c r="M889" s="307">
        <v>10.688296599999999</v>
      </c>
      <c r="N889" s="307">
        <v>18.3007654</v>
      </c>
    </row>
    <row r="890" spans="2:14" ht="11.25" customHeight="1" x14ac:dyDescent="0.35">
      <c r="B890" s="244" t="s">
        <v>5110</v>
      </c>
      <c r="C890" s="245">
        <v>123672</v>
      </c>
      <c r="D890" s="307">
        <v>23.1413479</v>
      </c>
      <c r="E890" s="307">
        <v>8.8514225999999994</v>
      </c>
      <c r="F890" s="307" t="s">
        <v>29</v>
      </c>
      <c r="G890" s="307" t="s">
        <v>29</v>
      </c>
      <c r="H890" s="307" t="s">
        <v>29</v>
      </c>
      <c r="I890" s="307">
        <v>17.142857100000001</v>
      </c>
      <c r="J890" s="307" t="s">
        <v>29</v>
      </c>
      <c r="K890" s="307" t="s">
        <v>29</v>
      </c>
      <c r="L890" s="307" t="s">
        <v>29</v>
      </c>
      <c r="M890" s="307" t="s">
        <v>29</v>
      </c>
      <c r="N890" s="307" t="s">
        <v>29</v>
      </c>
    </row>
    <row r="891" spans="2:14" ht="11.25" customHeight="1" x14ac:dyDescent="0.35">
      <c r="B891" s="244" t="s">
        <v>5109</v>
      </c>
      <c r="C891" s="247">
        <v>123673</v>
      </c>
      <c r="D891" s="307">
        <v>5.5618072999999999</v>
      </c>
      <c r="E891" s="307">
        <v>12.2659289</v>
      </c>
      <c r="F891" s="307">
        <v>1.9388312000000001</v>
      </c>
      <c r="G891" s="307">
        <v>12.3689879</v>
      </c>
      <c r="H891" s="307" t="s">
        <v>29</v>
      </c>
      <c r="I891" s="307">
        <v>143.8902798</v>
      </c>
      <c r="J891" s="307">
        <v>0</v>
      </c>
      <c r="K891" s="307">
        <v>6.1428738000000003</v>
      </c>
      <c r="L891" s="307">
        <v>0</v>
      </c>
      <c r="M891" s="307" t="s">
        <v>29</v>
      </c>
      <c r="N891" s="307">
        <v>30.0309122</v>
      </c>
    </row>
    <row r="892" spans="2:14" ht="11.25" customHeight="1" x14ac:dyDescent="0.35">
      <c r="B892" s="244" t="s">
        <v>5108</v>
      </c>
      <c r="C892" s="247">
        <v>123674</v>
      </c>
      <c r="D892" s="307">
        <v>5.4479673000000002</v>
      </c>
      <c r="E892" s="307">
        <v>12.482939099999999</v>
      </c>
      <c r="F892" s="307">
        <v>6.0688433000000002</v>
      </c>
      <c r="G892" s="307">
        <v>10.571849</v>
      </c>
      <c r="H892" s="307" t="s">
        <v>29</v>
      </c>
      <c r="I892" s="307">
        <v>19.501404099999998</v>
      </c>
      <c r="J892" s="307">
        <v>4.3534929</v>
      </c>
      <c r="K892" s="307">
        <v>10.0249278</v>
      </c>
      <c r="L892" s="307">
        <v>5.6411072000000004</v>
      </c>
      <c r="M892" s="307">
        <v>10.688296599999999</v>
      </c>
      <c r="N892" s="307">
        <v>19.029222699999998</v>
      </c>
    </row>
    <row r="893" spans="2:14" ht="11.25" customHeight="1" x14ac:dyDescent="0.35">
      <c r="B893" s="244" t="s">
        <v>5107</v>
      </c>
      <c r="C893" s="245">
        <v>123665</v>
      </c>
      <c r="D893" s="307">
        <v>10.9110873</v>
      </c>
      <c r="E893" s="307">
        <v>16.429691500000001</v>
      </c>
      <c r="F893" s="307">
        <v>15.415248200000001</v>
      </c>
      <c r="G893" s="307">
        <v>15.058673300000001</v>
      </c>
      <c r="H893" s="307">
        <v>21.027138099999998</v>
      </c>
      <c r="I893" s="307">
        <v>19.108124100000001</v>
      </c>
      <c r="J893" s="307">
        <v>18.4219425</v>
      </c>
      <c r="K893" s="307">
        <v>18.279523300000001</v>
      </c>
      <c r="L893" s="307">
        <v>35.602977600000003</v>
      </c>
      <c r="M893" s="307">
        <v>114.57737950000001</v>
      </c>
      <c r="N893" s="307">
        <v>19.7701663</v>
      </c>
    </row>
    <row r="894" spans="2:14" ht="11.25" customHeight="1" thickBot="1" x14ac:dyDescent="0.4">
      <c r="B894" s="244"/>
      <c r="C894" s="247"/>
      <c r="D894" s="322"/>
      <c r="E894" s="322"/>
      <c r="F894" s="322"/>
      <c r="G894" s="322"/>
      <c r="H894" s="322"/>
      <c r="I894" s="322"/>
      <c r="J894" s="322"/>
      <c r="K894" s="322"/>
      <c r="L894" s="322"/>
      <c r="M894" s="322"/>
      <c r="N894" s="322"/>
    </row>
    <row r="895" spans="2:14" ht="11.25" customHeight="1" thickBot="1" x14ac:dyDescent="0.4">
      <c r="B895" s="265" t="s">
        <v>5357</v>
      </c>
      <c r="C895" s="253"/>
      <c r="D895" s="253"/>
      <c r="E895" s="253"/>
      <c r="F895" s="253"/>
      <c r="G895" s="253"/>
      <c r="H895" s="253"/>
      <c r="I895" s="253"/>
      <c r="J895" s="253"/>
      <c r="K895" s="253"/>
      <c r="L895" s="253"/>
      <c r="M895" s="253"/>
      <c r="N895" s="253"/>
    </row>
    <row r="896" spans="2:14" ht="11.25" customHeight="1" x14ac:dyDescent="0.35">
      <c r="B896" s="244"/>
      <c r="C896" s="245"/>
      <c r="D896" s="307"/>
      <c r="E896" s="307"/>
      <c r="F896" s="307"/>
      <c r="G896" s="307"/>
      <c r="H896" s="307"/>
      <c r="I896" s="307"/>
      <c r="J896" s="307"/>
      <c r="K896" s="307"/>
      <c r="L896" s="307"/>
      <c r="M896" s="307"/>
      <c r="N896" s="307"/>
    </row>
    <row r="897" spans="2:14" ht="11.25" customHeight="1" x14ac:dyDescent="0.35">
      <c r="B897" s="244" t="s">
        <v>4962</v>
      </c>
      <c r="C897" s="245">
        <v>123241</v>
      </c>
      <c r="D897" s="305">
        <v>171733049.15720999</v>
      </c>
      <c r="E897" s="305">
        <v>1078495.423</v>
      </c>
      <c r="F897" s="305">
        <v>453532.03200000001</v>
      </c>
      <c r="G897" s="305">
        <v>3240657.966</v>
      </c>
      <c r="H897" s="305">
        <v>146862.307</v>
      </c>
      <c r="I897" s="305">
        <v>465331.17</v>
      </c>
      <c r="J897" s="305">
        <v>331303.12800000003</v>
      </c>
      <c r="K897" s="305">
        <v>270163.70699999999</v>
      </c>
      <c r="L897" s="305">
        <v>15163.477000000001</v>
      </c>
      <c r="M897" s="305">
        <v>192986.84599999999</v>
      </c>
      <c r="N897" s="305">
        <v>149431.16899999999</v>
      </c>
    </row>
    <row r="898" spans="2:14" ht="11.25" customHeight="1" x14ac:dyDescent="0.35">
      <c r="B898" s="244" t="s">
        <v>5225</v>
      </c>
      <c r="C898" s="245">
        <v>123242</v>
      </c>
      <c r="D898" s="305">
        <v>-1306441.395</v>
      </c>
      <c r="E898" s="305">
        <v>7392.576</v>
      </c>
      <c r="F898" s="305">
        <v>1510.4470000000001</v>
      </c>
      <c r="G898" s="305">
        <v>-22100.554</v>
      </c>
      <c r="H898" s="305">
        <v>-11101.789000000001</v>
      </c>
      <c r="I898" s="305">
        <v>188.21899999999999</v>
      </c>
      <c r="J898" s="305">
        <v>2211.4870000000001</v>
      </c>
      <c r="K898" s="305">
        <v>-11006.232</v>
      </c>
      <c r="L898" s="305">
        <v>-1496.5029999999999</v>
      </c>
      <c r="M898" s="305">
        <v>-1136.4760000000001</v>
      </c>
      <c r="N898" s="305">
        <v>1598.886</v>
      </c>
    </row>
    <row r="899" spans="2:14" ht="11.25" customHeight="1" x14ac:dyDescent="0.35">
      <c r="B899" s="244" t="s">
        <v>5224</v>
      </c>
      <c r="C899" s="245">
        <v>123243</v>
      </c>
      <c r="D899" s="305">
        <v>18979268.046347</v>
      </c>
      <c r="E899" s="305">
        <v>1569.117</v>
      </c>
      <c r="F899" s="305">
        <v>-171235.609</v>
      </c>
      <c r="G899" s="305">
        <v>-69849.392000000007</v>
      </c>
      <c r="H899" s="305">
        <v>221672.272</v>
      </c>
      <c r="I899" s="305">
        <v>-3074.6680000000001</v>
      </c>
      <c r="J899" s="305">
        <v>5474.0140000000001</v>
      </c>
      <c r="K899" s="305">
        <v>1419.2</v>
      </c>
      <c r="L899" s="305">
        <v>-279.27699999999999</v>
      </c>
      <c r="M899" s="305">
        <v>170.06300000000002</v>
      </c>
      <c r="N899" s="305">
        <v>-2063.8209999999999</v>
      </c>
    </row>
    <row r="900" spans="2:14" ht="11.25" customHeight="1" x14ac:dyDescent="0.35">
      <c r="B900" s="244" t="s">
        <v>4946</v>
      </c>
      <c r="C900" s="247"/>
      <c r="D900" s="305"/>
      <c r="E900" s="305"/>
      <c r="F900" s="305"/>
      <c r="G900" s="305"/>
      <c r="H900" s="305"/>
      <c r="I900" s="305"/>
      <c r="J900" s="305"/>
      <c r="K900" s="305"/>
      <c r="L900" s="305"/>
      <c r="M900" s="305"/>
      <c r="N900" s="305"/>
    </row>
    <row r="901" spans="2:14" ht="11.25" customHeight="1" x14ac:dyDescent="0.35">
      <c r="B901" s="246" t="s">
        <v>5223</v>
      </c>
      <c r="C901" s="247"/>
      <c r="D901" s="305"/>
      <c r="E901" s="305"/>
      <c r="F901" s="305"/>
      <c r="G901" s="305"/>
      <c r="H901" s="305"/>
      <c r="I901" s="305"/>
      <c r="J901" s="305"/>
      <c r="K901" s="305"/>
      <c r="L901" s="305"/>
      <c r="M901" s="305"/>
      <c r="N901" s="305"/>
    </row>
    <row r="902" spans="2:14" ht="11.25" customHeight="1" x14ac:dyDescent="0.35">
      <c r="B902" s="244" t="s">
        <v>5052</v>
      </c>
      <c r="C902" s="245">
        <v>123244</v>
      </c>
      <c r="D902" s="305">
        <v>3631569036.5766702</v>
      </c>
      <c r="E902" s="305">
        <v>19290691.015999999</v>
      </c>
      <c r="F902" s="305">
        <v>2644984.3250000002</v>
      </c>
      <c r="G902" s="305">
        <v>99200685.563999996</v>
      </c>
      <c r="H902" s="305">
        <v>5627871.3119999999</v>
      </c>
      <c r="I902" s="305">
        <v>7718054.3380000005</v>
      </c>
      <c r="J902" s="305">
        <v>7154927.9410000006</v>
      </c>
      <c r="K902" s="305">
        <v>4631192.1550000003</v>
      </c>
      <c r="L902" s="305">
        <v>231245.22500000001</v>
      </c>
      <c r="M902" s="305">
        <v>3250330.29</v>
      </c>
      <c r="N902" s="305">
        <v>2629939.2489999998</v>
      </c>
    </row>
    <row r="903" spans="2:14" ht="11.25" customHeight="1" x14ac:dyDescent="0.35">
      <c r="B903" s="244" t="s">
        <v>5222</v>
      </c>
      <c r="C903" s="245">
        <v>124436</v>
      </c>
      <c r="D903" s="305">
        <v>155215057.23957503</v>
      </c>
      <c r="E903" s="305">
        <v>200462.26775999999</v>
      </c>
      <c r="F903" s="305">
        <v>856496.13600000006</v>
      </c>
      <c r="G903" s="305">
        <v>1062890.9440000001</v>
      </c>
      <c r="H903" s="305">
        <v>2343145.912</v>
      </c>
      <c r="I903" s="305">
        <v>0</v>
      </c>
      <c r="J903" s="305">
        <v>7273.2550000000001</v>
      </c>
      <c r="K903" s="305">
        <v>50858.78</v>
      </c>
      <c r="L903" s="305">
        <v>0</v>
      </c>
      <c r="M903" s="305">
        <v>0</v>
      </c>
      <c r="N903" s="305">
        <v>0</v>
      </c>
    </row>
    <row r="904" spans="2:14" ht="11.25" customHeight="1" x14ac:dyDescent="0.35">
      <c r="B904" s="244" t="s">
        <v>4946</v>
      </c>
      <c r="C904" s="247"/>
      <c r="D904" s="322"/>
      <c r="E904" s="322"/>
      <c r="F904" s="322"/>
      <c r="G904" s="322"/>
      <c r="H904" s="322"/>
      <c r="I904" s="322"/>
      <c r="J904" s="322"/>
      <c r="K904" s="322"/>
      <c r="L904" s="322"/>
      <c r="M904" s="322"/>
      <c r="N904" s="322"/>
    </row>
    <row r="905" spans="2:14" ht="11.25" customHeight="1" x14ac:dyDescent="0.35">
      <c r="B905" s="244" t="s">
        <v>5004</v>
      </c>
      <c r="C905" s="245">
        <v>123245</v>
      </c>
      <c r="D905" s="307">
        <v>76.217066700000004</v>
      </c>
      <c r="E905" s="307">
        <v>90.236204299999997</v>
      </c>
      <c r="F905" s="307">
        <v>84.869447399999999</v>
      </c>
      <c r="G905" s="307">
        <v>96.627276499999994</v>
      </c>
      <c r="H905" s="307">
        <v>82.002323000000004</v>
      </c>
      <c r="I905" s="307">
        <v>87.820609599999997</v>
      </c>
      <c r="J905" s="307">
        <v>78.378678300000004</v>
      </c>
      <c r="K905" s="307">
        <v>87.597914799999998</v>
      </c>
      <c r="L905" s="307">
        <v>87.304736300000002</v>
      </c>
      <c r="M905" s="307">
        <v>97.096686500000004</v>
      </c>
      <c r="N905" s="307">
        <v>83.405354200000005</v>
      </c>
    </row>
    <row r="906" spans="2:14" ht="11.25" customHeight="1" x14ac:dyDescent="0.35">
      <c r="B906" s="244" t="s">
        <v>5005</v>
      </c>
      <c r="C906" s="245">
        <v>123246</v>
      </c>
      <c r="D906" s="307">
        <v>0.2461515</v>
      </c>
      <c r="E906" s="307">
        <v>2.04674E-2</v>
      </c>
      <c r="F906" s="307">
        <v>0.90970079999999998</v>
      </c>
      <c r="G906" s="307">
        <v>5.0007000000000003E-3</v>
      </c>
      <c r="H906" s="307">
        <v>1.3055038999999999</v>
      </c>
      <c r="I906" s="307">
        <v>0.80372030000000005</v>
      </c>
      <c r="J906" s="307">
        <v>0.69829629999999998</v>
      </c>
      <c r="K906" s="307">
        <v>1.0111123</v>
      </c>
      <c r="L906" s="307">
        <v>1.5137554</v>
      </c>
      <c r="M906" s="307">
        <v>0</v>
      </c>
      <c r="N906" s="307">
        <v>0.8205131</v>
      </c>
    </row>
    <row r="907" spans="2:14" ht="11.25" customHeight="1" x14ac:dyDescent="0.35">
      <c r="B907" s="244" t="s">
        <v>5006</v>
      </c>
      <c r="C907" s="245">
        <v>123247</v>
      </c>
      <c r="D907" s="307">
        <v>0.99229429999999996</v>
      </c>
      <c r="E907" s="307">
        <v>6.3139999999999995E-4</v>
      </c>
      <c r="F907" s="307">
        <v>0.2324688</v>
      </c>
      <c r="G907" s="307">
        <v>1.9412599999999999E-2</v>
      </c>
      <c r="H907" s="307">
        <v>1.1378594</v>
      </c>
      <c r="I907" s="307">
        <v>0</v>
      </c>
      <c r="J907" s="307">
        <v>4.8553800000000001E-2</v>
      </c>
      <c r="K907" s="307">
        <v>0.56684970000000001</v>
      </c>
      <c r="L907" s="307">
        <v>2.4649564000000002</v>
      </c>
      <c r="M907" s="307">
        <v>0</v>
      </c>
      <c r="N907" s="307">
        <v>0</v>
      </c>
    </row>
    <row r="908" spans="2:14" ht="11.25" customHeight="1" x14ac:dyDescent="0.35">
      <c r="B908" s="244" t="s">
        <v>5221</v>
      </c>
      <c r="C908" s="245">
        <v>123248</v>
      </c>
      <c r="D908" s="307">
        <v>10.6586376</v>
      </c>
      <c r="E908" s="307">
        <v>4.7367163000000003</v>
      </c>
      <c r="F908" s="307">
        <v>0</v>
      </c>
      <c r="G908" s="307">
        <v>4.4494000000000001E-3</v>
      </c>
      <c r="H908" s="307">
        <v>7.4915218000000001</v>
      </c>
      <c r="I908" s="307">
        <v>6.0164819999999999</v>
      </c>
      <c r="J908" s="307">
        <v>11.618174399999999</v>
      </c>
      <c r="K908" s="307">
        <v>6.2028046000000003</v>
      </c>
      <c r="L908" s="307">
        <v>1.1703701</v>
      </c>
      <c r="M908" s="307">
        <v>0</v>
      </c>
      <c r="N908" s="307">
        <v>10.835736799999999</v>
      </c>
    </row>
    <row r="909" spans="2:14" ht="11.25" customHeight="1" x14ac:dyDescent="0.35">
      <c r="B909" s="244" t="s">
        <v>5220</v>
      </c>
      <c r="C909" s="245">
        <v>123249</v>
      </c>
      <c r="D909" s="307">
        <v>0.62998069999999995</v>
      </c>
      <c r="E909" s="307">
        <v>0</v>
      </c>
      <c r="F909" s="307">
        <v>0</v>
      </c>
      <c r="G909" s="307">
        <v>0.2122995</v>
      </c>
      <c r="H909" s="307">
        <v>1.0769278</v>
      </c>
      <c r="I909" s="307">
        <v>1.0432075000000001</v>
      </c>
      <c r="J909" s="307">
        <v>0</v>
      </c>
      <c r="K909" s="307">
        <v>1.1893961</v>
      </c>
      <c r="L909" s="307">
        <v>0</v>
      </c>
      <c r="M909" s="307">
        <v>0.2649318</v>
      </c>
      <c r="N909" s="307">
        <v>1.9482576</v>
      </c>
    </row>
    <row r="910" spans="2:14" ht="11.25" customHeight="1" x14ac:dyDescent="0.35">
      <c r="B910" s="244" t="s">
        <v>5219</v>
      </c>
      <c r="C910" s="245">
        <v>123250</v>
      </c>
      <c r="D910" s="307">
        <v>3.7416239999999998</v>
      </c>
      <c r="E910" s="307">
        <v>2.4653399999999999E-2</v>
      </c>
      <c r="F910" s="307">
        <v>6.0745521</v>
      </c>
      <c r="G910" s="307">
        <v>0.142849</v>
      </c>
      <c r="H910" s="307">
        <v>0</v>
      </c>
      <c r="I910" s="307">
        <v>1.6729433</v>
      </c>
      <c r="J910" s="307">
        <v>0.38562479999999999</v>
      </c>
      <c r="K910" s="307">
        <v>0.70851120000000001</v>
      </c>
      <c r="L910" s="307">
        <v>1.2149677999999999</v>
      </c>
      <c r="M910" s="307">
        <v>3.6700999999999998E-2</v>
      </c>
      <c r="N910" s="307">
        <v>1.8297730999999999</v>
      </c>
    </row>
    <row r="911" spans="2:14" ht="11.25" customHeight="1" x14ac:dyDescent="0.35">
      <c r="B911" s="244" t="s">
        <v>5218</v>
      </c>
      <c r="C911" s="245">
        <v>123251</v>
      </c>
      <c r="D911" s="307">
        <v>2.7561008999999999</v>
      </c>
      <c r="E911" s="307">
        <v>2.6541659000000002</v>
      </c>
      <c r="F911" s="307">
        <v>3.3691616999999998</v>
      </c>
      <c r="G911" s="307">
        <v>2.1393536000000002</v>
      </c>
      <c r="H911" s="307">
        <v>1.3417326000000001</v>
      </c>
      <c r="I911" s="307">
        <v>6.7320900000000003E-2</v>
      </c>
      <c r="J911" s="307">
        <v>7.1558887999999996</v>
      </c>
      <c r="K911" s="307">
        <v>1.6097448999999999</v>
      </c>
      <c r="L911" s="307">
        <v>5.3212748999999997</v>
      </c>
      <c r="M911" s="307">
        <v>2.4277308999999998</v>
      </c>
      <c r="N911" s="307">
        <v>-0.8689557</v>
      </c>
    </row>
    <row r="912" spans="2:14" ht="11.25" customHeight="1" x14ac:dyDescent="0.35">
      <c r="B912" s="244" t="s">
        <v>5217</v>
      </c>
      <c r="C912" s="245">
        <v>123252</v>
      </c>
      <c r="D912" s="307">
        <v>4.7577138999999997</v>
      </c>
      <c r="E912" s="307">
        <v>2.3271611999999999</v>
      </c>
      <c r="F912" s="307">
        <v>4.5446692000000004</v>
      </c>
      <c r="G912" s="307">
        <v>0.84935870000000002</v>
      </c>
      <c r="H912" s="307">
        <v>5.6441315999999997</v>
      </c>
      <c r="I912" s="307">
        <v>2.5757164000000001</v>
      </c>
      <c r="J912" s="307">
        <v>1.7147836000000001</v>
      </c>
      <c r="K912" s="307">
        <v>1.1136664000000001</v>
      </c>
      <c r="L912" s="307">
        <v>1.0099391</v>
      </c>
      <c r="M912" s="307">
        <v>0.17394979999999999</v>
      </c>
      <c r="N912" s="307">
        <v>2.0293207999999998</v>
      </c>
    </row>
    <row r="913" spans="2:14" ht="11.25" customHeight="1" x14ac:dyDescent="0.35">
      <c r="B913" s="244" t="s">
        <v>4946</v>
      </c>
      <c r="C913" s="247"/>
      <c r="D913" s="307"/>
      <c r="E913" s="307"/>
      <c r="F913" s="307"/>
      <c r="G913" s="307"/>
      <c r="H913" s="307"/>
      <c r="I913" s="307"/>
      <c r="J913" s="307"/>
      <c r="K913" s="307"/>
      <c r="L913" s="307"/>
      <c r="M913" s="307"/>
      <c r="N913" s="307"/>
    </row>
    <row r="914" spans="2:14" ht="11.25" customHeight="1" x14ac:dyDescent="0.35">
      <c r="B914" s="246" t="s">
        <v>5216</v>
      </c>
      <c r="C914" s="247"/>
      <c r="D914" s="307"/>
      <c r="E914" s="307"/>
      <c r="F914" s="307"/>
      <c r="G914" s="307"/>
      <c r="H914" s="307"/>
      <c r="I914" s="307"/>
      <c r="J914" s="307"/>
      <c r="K914" s="307"/>
      <c r="L914" s="307"/>
      <c r="M914" s="307"/>
      <c r="N914" s="307"/>
    </row>
    <row r="915" spans="2:14" ht="11.25" customHeight="1" x14ac:dyDescent="0.35">
      <c r="B915" s="244" t="s">
        <v>5003</v>
      </c>
      <c r="C915" s="245">
        <v>123253</v>
      </c>
      <c r="D915" s="307">
        <v>4.8280934000000002</v>
      </c>
      <c r="E915" s="307">
        <v>5.6316183999999998</v>
      </c>
      <c r="F915" s="307">
        <v>13.158363599999999</v>
      </c>
      <c r="G915" s="307">
        <v>3.0335095000000001</v>
      </c>
      <c r="H915" s="307">
        <v>2.6376406000000001</v>
      </c>
      <c r="I915" s="307">
        <v>5.9928328999999998</v>
      </c>
      <c r="J915" s="307">
        <v>4.8003511999999997</v>
      </c>
      <c r="K915" s="307">
        <v>5.7370995000000002</v>
      </c>
      <c r="L915" s="307">
        <v>6.6303729000000002</v>
      </c>
      <c r="M915" s="307">
        <v>5.6606113999999996</v>
      </c>
      <c r="N915" s="307">
        <v>5.8063149999999997</v>
      </c>
    </row>
    <row r="916" spans="2:14" ht="11.25" customHeight="1" x14ac:dyDescent="0.35">
      <c r="B916" s="244" t="s">
        <v>4946</v>
      </c>
      <c r="C916" s="247"/>
      <c r="D916" s="307"/>
      <c r="E916" s="307"/>
      <c r="F916" s="307"/>
      <c r="G916" s="307"/>
      <c r="H916" s="307"/>
      <c r="I916" s="307"/>
      <c r="J916" s="307"/>
      <c r="K916" s="307"/>
      <c r="L916" s="307"/>
      <c r="M916" s="307"/>
      <c r="N916" s="307"/>
    </row>
    <row r="917" spans="2:14" ht="11.25" customHeight="1" x14ac:dyDescent="0.35">
      <c r="B917" s="244" t="s">
        <v>5008</v>
      </c>
      <c r="C917" s="245">
        <v>123254</v>
      </c>
      <c r="D917" s="307">
        <v>4.8960768000000003</v>
      </c>
      <c r="E917" s="307">
        <v>5.8242042999999999</v>
      </c>
      <c r="F917" s="307">
        <v>5.3173190999999997</v>
      </c>
      <c r="G917" s="307">
        <v>3.1966866</v>
      </c>
      <c r="H917" s="307">
        <v>5.7047131000000002</v>
      </c>
      <c r="I917" s="307">
        <v>6.6819515000000003</v>
      </c>
      <c r="J917" s="307">
        <v>5.0169965000000003</v>
      </c>
      <c r="K917" s="307">
        <v>5.6666648999999998</v>
      </c>
      <c r="L917" s="307">
        <v>6.6858253000000003</v>
      </c>
      <c r="M917" s="307">
        <v>5.9552550000000002</v>
      </c>
      <c r="N917" s="307">
        <v>5.9960374999999999</v>
      </c>
    </row>
    <row r="918" spans="2:14" ht="11.25" customHeight="1" x14ac:dyDescent="0.35">
      <c r="B918" s="244" t="s">
        <v>5215</v>
      </c>
      <c r="C918" s="245">
        <v>123255</v>
      </c>
      <c r="D918" s="307">
        <v>6.1747703999999999</v>
      </c>
      <c r="E918" s="307">
        <v>4.6338020999999996</v>
      </c>
      <c r="F918" s="307">
        <v>7.7146264999999996</v>
      </c>
      <c r="G918" s="307">
        <v>9.4548185</v>
      </c>
      <c r="H918" s="307">
        <v>5.7344533000000002</v>
      </c>
      <c r="I918" s="307">
        <v>1.3579634</v>
      </c>
      <c r="J918" s="307">
        <v>7.2583451999999999</v>
      </c>
      <c r="K918" s="307">
        <v>7.9214774999999999</v>
      </c>
      <c r="L918" s="307">
        <v>4.5017104999999997</v>
      </c>
      <c r="M918" s="307" t="s">
        <v>29</v>
      </c>
      <c r="N918" s="307">
        <v>7.2843628000000002</v>
      </c>
    </row>
    <row r="919" spans="2:14" ht="11.25" customHeight="1" x14ac:dyDescent="0.35">
      <c r="B919" s="244" t="s">
        <v>5214</v>
      </c>
      <c r="C919" s="245">
        <v>123256</v>
      </c>
      <c r="D919" s="307">
        <v>2.9025810999999999</v>
      </c>
      <c r="E919" s="307">
        <v>0</v>
      </c>
      <c r="F919" s="307">
        <v>0.3595642</v>
      </c>
      <c r="G919" s="307">
        <v>2.6383643999999999</v>
      </c>
      <c r="H919" s="307">
        <v>2.6834118</v>
      </c>
      <c r="I919" s="307" t="s">
        <v>29</v>
      </c>
      <c r="J919" s="307">
        <v>4.3190144999999998</v>
      </c>
      <c r="K919" s="307">
        <v>3.9928227999999999</v>
      </c>
      <c r="L919" s="307">
        <v>14.377319999999999</v>
      </c>
      <c r="M919" s="307" t="s">
        <v>29</v>
      </c>
      <c r="N919" s="307" t="s">
        <v>29</v>
      </c>
    </row>
    <row r="920" spans="2:14" ht="11.25" customHeight="1" x14ac:dyDescent="0.35">
      <c r="B920" s="244" t="s">
        <v>5213</v>
      </c>
      <c r="C920" s="245">
        <v>123257</v>
      </c>
      <c r="D920" s="307">
        <v>5.389087</v>
      </c>
      <c r="E920" s="307">
        <v>6.8010020000000004</v>
      </c>
      <c r="F920" s="307" t="s">
        <v>29</v>
      </c>
      <c r="G920" s="307">
        <v>5.5060124999999998</v>
      </c>
      <c r="H920" s="307">
        <v>6.0976860999999998</v>
      </c>
      <c r="I920" s="307">
        <v>5.9970144000000003</v>
      </c>
      <c r="J920" s="307">
        <v>5.2863803000000003</v>
      </c>
      <c r="K920" s="307">
        <v>6.3642370000000001</v>
      </c>
      <c r="L920" s="307">
        <v>5.6300784999999998</v>
      </c>
      <c r="M920" s="307">
        <v>5.3242067999999998</v>
      </c>
      <c r="N920" s="307">
        <v>5.7492853000000004</v>
      </c>
    </row>
    <row r="921" spans="2:14" ht="11.25" customHeight="1" x14ac:dyDescent="0.35">
      <c r="B921" s="244" t="s">
        <v>5212</v>
      </c>
      <c r="C921" s="245">
        <v>123258</v>
      </c>
      <c r="D921" s="307">
        <v>14.3925172</v>
      </c>
      <c r="E921" s="307" t="s">
        <v>29</v>
      </c>
      <c r="F921" s="307" t="s">
        <v>29</v>
      </c>
      <c r="G921" s="307">
        <v>6.1884300999999997</v>
      </c>
      <c r="H921" s="307">
        <v>23.7686016</v>
      </c>
      <c r="I921" s="307">
        <v>15.9048482</v>
      </c>
      <c r="J921" s="307" t="s">
        <v>29</v>
      </c>
      <c r="K921" s="307">
        <v>15.727947800000001</v>
      </c>
      <c r="L921" s="307" t="s">
        <v>29</v>
      </c>
      <c r="M921" s="307">
        <v>24.075412100000001</v>
      </c>
      <c r="N921" s="307">
        <v>24.000580899999999</v>
      </c>
    </row>
    <row r="922" spans="2:14" ht="11.25" customHeight="1" x14ac:dyDescent="0.35">
      <c r="B922" s="244" t="s">
        <v>5211</v>
      </c>
      <c r="C922" s="245">
        <v>123259</v>
      </c>
      <c r="D922" s="307">
        <v>6.0071503000000002</v>
      </c>
      <c r="E922" s="307">
        <v>6.8765241000000001</v>
      </c>
      <c r="F922" s="307">
        <v>11.8891808</v>
      </c>
      <c r="G922" s="307">
        <v>2.7481715000000002</v>
      </c>
      <c r="H922" s="307" t="s">
        <v>29</v>
      </c>
      <c r="I922" s="307">
        <v>7.5832360000000003</v>
      </c>
      <c r="J922" s="307">
        <v>6.0446849</v>
      </c>
      <c r="K922" s="307">
        <v>3.5546126</v>
      </c>
      <c r="L922" s="307">
        <v>6.2678589999999996</v>
      </c>
      <c r="M922" s="307">
        <v>5.9945224000000001</v>
      </c>
      <c r="N922" s="307">
        <v>7.0700029000000004</v>
      </c>
    </row>
    <row r="923" spans="2:14" ht="11.25" customHeight="1" x14ac:dyDescent="0.35">
      <c r="B923" s="244" t="s">
        <v>5210</v>
      </c>
      <c r="C923" s="245">
        <v>123260</v>
      </c>
      <c r="D923" s="307">
        <v>0.4881086</v>
      </c>
      <c r="E923" s="307">
        <v>2.3076599999999999E-2</v>
      </c>
      <c r="F923" s="307">
        <v>3.0276899999999999E-2</v>
      </c>
      <c r="G923" s="307">
        <v>-3.1212699999999999E-2</v>
      </c>
      <c r="H923" s="307">
        <v>2.1040686000000002</v>
      </c>
      <c r="I923" s="307">
        <v>1.6521691000000001</v>
      </c>
      <c r="J923" s="307">
        <v>9.4033400000000003E-2</v>
      </c>
      <c r="K923" s="307">
        <v>0.1494279</v>
      </c>
      <c r="L923" s="307">
        <v>1.2226000000000001E-2</v>
      </c>
      <c r="M923" s="307">
        <v>5.3173199999999997E-2</v>
      </c>
      <c r="N923" s="307" t="s">
        <v>2107</v>
      </c>
    </row>
    <row r="924" spans="2:14" ht="11.25" customHeight="1" x14ac:dyDescent="0.35">
      <c r="B924" s="244" t="s">
        <v>5209</v>
      </c>
      <c r="C924" s="245">
        <v>123261</v>
      </c>
      <c r="D924" s="307">
        <v>8.2639645000000002</v>
      </c>
      <c r="E924" s="307">
        <v>4.9672784999999999</v>
      </c>
      <c r="F924" s="307">
        <v>3.7094054999999999</v>
      </c>
      <c r="G924" s="307">
        <v>2.8957948999999998</v>
      </c>
      <c r="H924" s="307">
        <v>8.3181594000000008</v>
      </c>
      <c r="I924" s="307">
        <v>-6.6551084999999999</v>
      </c>
      <c r="J924" s="307">
        <v>3.9036669000000002</v>
      </c>
      <c r="K924" s="307">
        <v>12.6091537</v>
      </c>
      <c r="L924" s="307">
        <v>6.8670476999999996</v>
      </c>
      <c r="M924" s="307">
        <v>2.7803876999999999</v>
      </c>
      <c r="N924" s="307">
        <v>5.6648139999999998</v>
      </c>
    </row>
    <row r="925" spans="2:14" ht="11.25" customHeight="1" x14ac:dyDescent="0.35">
      <c r="B925" s="244" t="s">
        <v>4946</v>
      </c>
      <c r="C925" s="247"/>
      <c r="D925" s="307"/>
      <c r="E925" s="307"/>
      <c r="F925" s="307"/>
      <c r="G925" s="307"/>
      <c r="H925" s="307"/>
      <c r="I925" s="307"/>
      <c r="J925" s="307"/>
      <c r="K925" s="307"/>
      <c r="L925" s="307"/>
      <c r="M925" s="307"/>
      <c r="N925" s="307"/>
    </row>
    <row r="926" spans="2:14" ht="11.25" customHeight="1" x14ac:dyDescent="0.35">
      <c r="B926" s="246" t="s">
        <v>5208</v>
      </c>
      <c r="C926" s="247"/>
      <c r="D926" s="307"/>
      <c r="E926" s="307"/>
      <c r="F926" s="307"/>
      <c r="G926" s="307"/>
      <c r="H926" s="307"/>
      <c r="I926" s="307"/>
      <c r="J926" s="307"/>
      <c r="K926" s="307"/>
      <c r="L926" s="307"/>
      <c r="M926" s="307"/>
      <c r="N926" s="307"/>
    </row>
    <row r="927" spans="2:14" ht="11.25" customHeight="1" x14ac:dyDescent="0.35">
      <c r="B927" s="244" t="s">
        <v>5481</v>
      </c>
      <c r="C927" s="245">
        <v>123262</v>
      </c>
      <c r="D927" s="305">
        <v>2761095373.4368601</v>
      </c>
      <c r="E927" s="305">
        <v>17864361.093790002</v>
      </c>
      <c r="F927" s="305">
        <v>1595709.8840000001</v>
      </c>
      <c r="G927" s="305">
        <v>96754469.686000004</v>
      </c>
      <c r="H927" s="305">
        <v>2727922.3990000002</v>
      </c>
      <c r="I927" s="305">
        <v>6794503.7949999999</v>
      </c>
      <c r="J927" s="305">
        <v>6124179.0789999999</v>
      </c>
      <c r="K927" s="305">
        <v>4024564.6269999999</v>
      </c>
      <c r="L927" s="305">
        <v>213284.39795000001</v>
      </c>
      <c r="M927" s="305">
        <v>3210460.8760000002</v>
      </c>
      <c r="N927" s="305">
        <v>2193510.1460000002</v>
      </c>
    </row>
    <row r="928" spans="2:14" ht="11.25" customHeight="1" x14ac:dyDescent="0.35">
      <c r="B928" s="244" t="s">
        <v>4946</v>
      </c>
      <c r="C928" s="247"/>
      <c r="D928" s="307"/>
      <c r="E928" s="307"/>
      <c r="F928" s="307"/>
      <c r="G928" s="307"/>
      <c r="H928" s="307"/>
      <c r="I928" s="307"/>
      <c r="J928" s="307"/>
      <c r="K928" s="307"/>
      <c r="L928" s="307"/>
      <c r="M928" s="307"/>
      <c r="N928" s="307"/>
    </row>
    <row r="929" spans="2:14" ht="11.25" customHeight="1" x14ac:dyDescent="0.35">
      <c r="B929" s="244" t="s">
        <v>5207</v>
      </c>
      <c r="C929" s="245">
        <v>123263</v>
      </c>
      <c r="D929" s="307">
        <v>7.8627934000000002</v>
      </c>
      <c r="E929" s="307">
        <v>0.43629639999999997</v>
      </c>
      <c r="F929" s="307">
        <v>7.3679445000000001</v>
      </c>
      <c r="G929" s="307">
        <v>1.1317162000000001</v>
      </c>
      <c r="H929" s="307">
        <v>13.8555747</v>
      </c>
      <c r="I929" s="307">
        <v>4.3856861</v>
      </c>
      <c r="J929" s="307">
        <v>6.3000685000000001</v>
      </c>
      <c r="K929" s="307">
        <v>3.4320184</v>
      </c>
      <c r="L929" s="307">
        <v>8.0507673000000004</v>
      </c>
      <c r="M929" s="307">
        <v>0.41778189999999998</v>
      </c>
      <c r="N929" s="307">
        <v>0.4140219</v>
      </c>
    </row>
    <row r="930" spans="2:14" ht="11.25" customHeight="1" x14ac:dyDescent="0.35">
      <c r="B930" s="244" t="s">
        <v>5206</v>
      </c>
      <c r="C930" s="245">
        <v>123264</v>
      </c>
      <c r="D930" s="307">
        <v>2.8585155000000002</v>
      </c>
      <c r="E930" s="307">
        <v>0.1198026</v>
      </c>
      <c r="F930" s="307">
        <v>0.3539967</v>
      </c>
      <c r="G930" s="307">
        <v>42.783906000000002</v>
      </c>
      <c r="H930" s="307">
        <v>0</v>
      </c>
      <c r="I930" s="307">
        <v>1.4547743</v>
      </c>
      <c r="J930" s="307">
        <v>1.8136776999999999</v>
      </c>
      <c r="K930" s="307">
        <v>0</v>
      </c>
      <c r="L930" s="307">
        <v>0.70006619999999997</v>
      </c>
      <c r="M930" s="307">
        <v>0.32896550000000002</v>
      </c>
      <c r="N930" s="307">
        <v>0.68383550000000004</v>
      </c>
    </row>
    <row r="931" spans="2:14" ht="11.25" customHeight="1" x14ac:dyDescent="0.35">
      <c r="B931" s="244" t="s">
        <v>5205</v>
      </c>
      <c r="C931" s="245">
        <v>123265</v>
      </c>
      <c r="D931" s="307">
        <v>0.73339399999999999</v>
      </c>
      <c r="E931" s="307">
        <v>2.1027626000000001</v>
      </c>
      <c r="F931" s="307">
        <v>0.93767069999999997</v>
      </c>
      <c r="G931" s="307">
        <v>0.1279496</v>
      </c>
      <c r="H931" s="307">
        <v>9.8430400000000001E-2</v>
      </c>
      <c r="I931" s="307">
        <v>0.13979330000000001</v>
      </c>
      <c r="J931" s="307">
        <v>0.50494779999999995</v>
      </c>
      <c r="K931" s="307">
        <v>0</v>
      </c>
      <c r="L931" s="307">
        <v>4.4255427000000003</v>
      </c>
      <c r="M931" s="307">
        <v>1.0572831</v>
      </c>
      <c r="N931" s="307">
        <v>1.2235599999999999E-2</v>
      </c>
    </row>
    <row r="932" spans="2:14" ht="11.25" customHeight="1" x14ac:dyDescent="0.35">
      <c r="B932" s="244" t="s">
        <v>5204</v>
      </c>
      <c r="C932" s="245">
        <v>123266</v>
      </c>
      <c r="D932" s="307">
        <v>0.9076959</v>
      </c>
      <c r="E932" s="307">
        <v>0.70095050000000003</v>
      </c>
      <c r="F932" s="307">
        <v>3.9331830999999999</v>
      </c>
      <c r="G932" s="307">
        <v>0.20322280000000001</v>
      </c>
      <c r="H932" s="307">
        <v>0</v>
      </c>
      <c r="I932" s="307">
        <v>0</v>
      </c>
      <c r="J932" s="307">
        <v>0.42132570000000003</v>
      </c>
      <c r="K932" s="307">
        <v>0.75831040000000005</v>
      </c>
      <c r="L932" s="307">
        <v>5.0939018999999996</v>
      </c>
      <c r="M932" s="307">
        <v>0.3133088</v>
      </c>
      <c r="N932" s="307">
        <v>0</v>
      </c>
    </row>
    <row r="933" spans="2:14" ht="11.25" customHeight="1" x14ac:dyDescent="0.35">
      <c r="B933" s="244" t="s">
        <v>5203</v>
      </c>
      <c r="C933" s="245">
        <v>123267</v>
      </c>
      <c r="D933" s="307">
        <v>11.0631991</v>
      </c>
      <c r="E933" s="307">
        <v>7.9803414000000004</v>
      </c>
      <c r="F933" s="307">
        <v>15.906481899999999</v>
      </c>
      <c r="G933" s="307">
        <v>0.7771169</v>
      </c>
      <c r="H933" s="307">
        <v>8.7514074999999991</v>
      </c>
      <c r="I933" s="307">
        <v>4.9720038999999998</v>
      </c>
      <c r="J933" s="307">
        <v>10.7113163</v>
      </c>
      <c r="K933" s="307">
        <v>10.397346799999999</v>
      </c>
      <c r="L933" s="307">
        <v>15.957417100000001</v>
      </c>
      <c r="M933" s="307">
        <v>4.3954544999999996</v>
      </c>
      <c r="N933" s="307">
        <v>7.3793636999999999</v>
      </c>
    </row>
    <row r="934" spans="2:14" ht="11.25" customHeight="1" x14ac:dyDescent="0.35">
      <c r="B934" s="244" t="s">
        <v>5202</v>
      </c>
      <c r="C934" s="245">
        <v>123268</v>
      </c>
      <c r="D934" s="307" t="s">
        <v>29</v>
      </c>
      <c r="E934" s="307" t="s">
        <v>29</v>
      </c>
      <c r="F934" s="307" t="s">
        <v>29</v>
      </c>
      <c r="G934" s="307" t="s">
        <v>29</v>
      </c>
      <c r="H934" s="307" t="s">
        <v>29</v>
      </c>
      <c r="I934" s="307" t="s">
        <v>29</v>
      </c>
      <c r="J934" s="307" t="s">
        <v>29</v>
      </c>
      <c r="K934" s="307" t="s">
        <v>29</v>
      </c>
      <c r="L934" s="307" t="s">
        <v>29</v>
      </c>
      <c r="M934" s="307" t="s">
        <v>29</v>
      </c>
      <c r="N934" s="307" t="s">
        <v>29</v>
      </c>
    </row>
    <row r="935" spans="2:14" ht="11.25" customHeight="1" x14ac:dyDescent="0.35">
      <c r="B935" s="244" t="s">
        <v>5201</v>
      </c>
      <c r="C935" s="245">
        <v>123269</v>
      </c>
      <c r="D935" s="307">
        <v>74.5669209</v>
      </c>
      <c r="E935" s="307">
        <v>86.645710300000005</v>
      </c>
      <c r="F935" s="307">
        <v>70.810753000000005</v>
      </c>
      <c r="G935" s="307">
        <v>52.674441899999998</v>
      </c>
      <c r="H935" s="307">
        <v>76.033515399999999</v>
      </c>
      <c r="I935" s="307">
        <v>88.937359099999995</v>
      </c>
      <c r="J935" s="307">
        <v>79.478149200000004</v>
      </c>
      <c r="K935" s="307">
        <v>84.978800100000001</v>
      </c>
      <c r="L935" s="307">
        <v>65.303447300000002</v>
      </c>
      <c r="M935" s="307">
        <v>93.3285628</v>
      </c>
      <c r="N935" s="307">
        <v>91.054653000000002</v>
      </c>
    </row>
    <row r="936" spans="2:14" ht="11.25" customHeight="1" x14ac:dyDescent="0.35">
      <c r="B936" s="244" t="s">
        <v>5200</v>
      </c>
      <c r="C936" s="245">
        <v>267838</v>
      </c>
      <c r="D936" s="307">
        <v>0.8156118</v>
      </c>
      <c r="E936" s="307">
        <v>1.2809953999999999</v>
      </c>
      <c r="F936" s="307">
        <v>0.68997010000000003</v>
      </c>
      <c r="G936" s="307">
        <v>2.2861449</v>
      </c>
      <c r="H936" s="307">
        <v>0.72953199999999996</v>
      </c>
      <c r="I936" s="307">
        <v>0.1103833</v>
      </c>
      <c r="J936" s="307">
        <v>0.77051480000000006</v>
      </c>
      <c r="K936" s="307">
        <v>0.23929629999999999</v>
      </c>
      <c r="L936" s="307">
        <v>0.46885749999999998</v>
      </c>
      <c r="M936" s="307">
        <v>0.15864329999999999</v>
      </c>
      <c r="N936" s="307">
        <v>0.45589030000000003</v>
      </c>
    </row>
    <row r="937" spans="2:14" ht="11.25" customHeight="1" x14ac:dyDescent="0.35">
      <c r="B937" s="244" t="s">
        <v>5199</v>
      </c>
      <c r="C937" s="245">
        <v>123270</v>
      </c>
      <c r="D937" s="307" t="s">
        <v>29</v>
      </c>
      <c r="E937" s="307" t="s">
        <v>29</v>
      </c>
      <c r="F937" s="307" t="s">
        <v>29</v>
      </c>
      <c r="G937" s="307" t="s">
        <v>29</v>
      </c>
      <c r="H937" s="307" t="s">
        <v>29</v>
      </c>
      <c r="I937" s="307" t="s">
        <v>29</v>
      </c>
      <c r="J937" s="307" t="s">
        <v>29</v>
      </c>
      <c r="K937" s="307" t="s">
        <v>29</v>
      </c>
      <c r="L937" s="307" t="s">
        <v>29</v>
      </c>
      <c r="M937" s="307" t="s">
        <v>29</v>
      </c>
      <c r="N937" s="307" t="s">
        <v>29</v>
      </c>
    </row>
    <row r="938" spans="2:14" ht="11.25" customHeight="1" x14ac:dyDescent="0.35">
      <c r="B938" s="244" t="s">
        <v>5198</v>
      </c>
      <c r="C938" s="245">
        <v>123271</v>
      </c>
      <c r="D938" s="307">
        <v>1.1918694999999999</v>
      </c>
      <c r="E938" s="307">
        <v>0.73314080000000004</v>
      </c>
      <c r="F938" s="307">
        <v>0</v>
      </c>
      <c r="G938" s="307">
        <v>1.5501600000000001E-2</v>
      </c>
      <c r="H938" s="307">
        <v>0.53154000000000001</v>
      </c>
      <c r="I938" s="307">
        <v>0</v>
      </c>
      <c r="J938" s="307">
        <v>0</v>
      </c>
      <c r="K938" s="307">
        <v>0.19422809999999999</v>
      </c>
      <c r="L938" s="307">
        <v>0</v>
      </c>
      <c r="M938" s="307">
        <v>0</v>
      </c>
      <c r="N938" s="307">
        <v>0</v>
      </c>
    </row>
    <row r="939" spans="2:14" ht="11.25" customHeight="1" x14ac:dyDescent="0.35">
      <c r="B939" s="244" t="s">
        <v>5197</v>
      </c>
      <c r="C939" s="245">
        <v>267839</v>
      </c>
      <c r="D939" s="307" t="s">
        <v>29</v>
      </c>
      <c r="E939" s="307" t="s">
        <v>29</v>
      </c>
      <c r="F939" s="307" t="s">
        <v>29</v>
      </c>
      <c r="G939" s="307" t="s">
        <v>29</v>
      </c>
      <c r="H939" s="307" t="s">
        <v>29</v>
      </c>
      <c r="I939" s="307" t="s">
        <v>29</v>
      </c>
      <c r="J939" s="307" t="s">
        <v>29</v>
      </c>
      <c r="K939" s="307" t="s">
        <v>29</v>
      </c>
      <c r="L939" s="307" t="s">
        <v>29</v>
      </c>
      <c r="M939" s="307" t="s">
        <v>29</v>
      </c>
      <c r="N939" s="307" t="s">
        <v>29</v>
      </c>
    </row>
    <row r="940" spans="2:14" ht="11.25" customHeight="1" x14ac:dyDescent="0.35">
      <c r="B940" s="244" t="s">
        <v>5196</v>
      </c>
      <c r="C940" s="245">
        <v>318658</v>
      </c>
      <c r="D940" s="307" t="s">
        <v>29</v>
      </c>
      <c r="E940" s="307" t="s">
        <v>29</v>
      </c>
      <c r="F940" s="307" t="s">
        <v>29</v>
      </c>
      <c r="G940" s="307" t="s">
        <v>29</v>
      </c>
      <c r="H940" s="307" t="s">
        <v>29</v>
      </c>
      <c r="I940" s="307" t="s">
        <v>29</v>
      </c>
      <c r="J940" s="307" t="s">
        <v>29</v>
      </c>
      <c r="K940" s="307" t="s">
        <v>29</v>
      </c>
      <c r="L940" s="307" t="s">
        <v>29</v>
      </c>
      <c r="M940" s="307" t="s">
        <v>29</v>
      </c>
      <c r="N940" s="307" t="s">
        <v>29</v>
      </c>
    </row>
    <row r="941" spans="2:14" ht="11.25" customHeight="1" x14ac:dyDescent="0.35">
      <c r="B941" s="244" t="s">
        <v>4946</v>
      </c>
      <c r="C941" s="247"/>
      <c r="D941" s="307"/>
      <c r="E941" s="307"/>
      <c r="F941" s="307"/>
      <c r="G941" s="307"/>
      <c r="H941" s="307"/>
      <c r="I941" s="307"/>
      <c r="J941" s="307"/>
      <c r="K941" s="307"/>
      <c r="L941" s="307"/>
      <c r="M941" s="307"/>
      <c r="N941" s="307"/>
    </row>
    <row r="942" spans="2:14" ht="11.25" customHeight="1" x14ac:dyDescent="0.35">
      <c r="B942" s="244" t="s">
        <v>5195</v>
      </c>
      <c r="C942" s="245">
        <v>123272</v>
      </c>
      <c r="D942" s="307">
        <v>28.141917100000001</v>
      </c>
      <c r="E942" s="307">
        <v>13.6536068</v>
      </c>
      <c r="F942" s="307">
        <v>34.998211099999999</v>
      </c>
      <c r="G942" s="307">
        <v>32.540555300000001</v>
      </c>
      <c r="H942" s="307">
        <v>49.168548000000001</v>
      </c>
      <c r="I942" s="307">
        <v>30.763744500000001</v>
      </c>
      <c r="J942" s="307">
        <v>29.338456499999999</v>
      </c>
      <c r="K942" s="307">
        <v>32.387509899999998</v>
      </c>
      <c r="L942" s="307">
        <v>25.533637500000001</v>
      </c>
      <c r="M942" s="307">
        <v>15.447906400000001</v>
      </c>
      <c r="N942" s="307">
        <v>39.122923900000004</v>
      </c>
    </row>
    <row r="943" spans="2:14" ht="11.25" customHeight="1" x14ac:dyDescent="0.35">
      <c r="B943" s="244" t="s">
        <v>5194</v>
      </c>
      <c r="C943" s="245">
        <v>123273</v>
      </c>
      <c r="D943" s="307">
        <v>219.51810900000001</v>
      </c>
      <c r="E943" s="307">
        <v>470.48538050000002</v>
      </c>
      <c r="F943" s="307">
        <v>66.279534900000002</v>
      </c>
      <c r="G943" s="307">
        <v>290.47048009999997</v>
      </c>
      <c r="H943" s="307">
        <v>47.977263700000002</v>
      </c>
      <c r="I943" s="307">
        <v>290.32815269999998</v>
      </c>
      <c r="J943" s="307">
        <v>373.44874390000001</v>
      </c>
      <c r="K943" s="307">
        <v>398.62465350000002</v>
      </c>
      <c r="L943" s="307">
        <v>253.29731649999999</v>
      </c>
      <c r="M943" s="307">
        <v>184.051208</v>
      </c>
      <c r="N943" s="307">
        <v>151.3363324</v>
      </c>
    </row>
    <row r="944" spans="2:14" ht="11.25" customHeight="1" x14ac:dyDescent="0.35">
      <c r="B944" s="244" t="s">
        <v>4946</v>
      </c>
      <c r="C944" s="247"/>
      <c r="D944" s="307"/>
      <c r="E944" s="307"/>
      <c r="F944" s="307"/>
      <c r="G944" s="307"/>
      <c r="H944" s="307"/>
      <c r="I944" s="307"/>
      <c r="J944" s="307"/>
      <c r="K944" s="307"/>
      <c r="L944" s="307"/>
      <c r="M944" s="307"/>
      <c r="N944" s="307"/>
    </row>
    <row r="945" spans="2:14" ht="11.25" customHeight="1" x14ac:dyDescent="0.35">
      <c r="B945" s="246" t="s">
        <v>5193</v>
      </c>
      <c r="C945" s="247"/>
      <c r="D945" s="307"/>
      <c r="E945" s="307"/>
      <c r="F945" s="307"/>
      <c r="G945" s="307"/>
      <c r="H945" s="307"/>
      <c r="I945" s="307"/>
      <c r="J945" s="307"/>
      <c r="K945" s="307"/>
      <c r="L945" s="307"/>
      <c r="M945" s="307"/>
      <c r="N945" s="307"/>
    </row>
    <row r="946" spans="2:14" ht="11.25" customHeight="1" x14ac:dyDescent="0.35">
      <c r="B946" s="244" t="s">
        <v>5192</v>
      </c>
      <c r="C946" s="245">
        <v>123274</v>
      </c>
      <c r="D946" s="307">
        <v>1.0000640000000001</v>
      </c>
      <c r="E946" s="307">
        <v>1</v>
      </c>
      <c r="F946" s="307">
        <v>1</v>
      </c>
      <c r="G946" s="307">
        <v>1</v>
      </c>
      <c r="H946" s="307">
        <v>1</v>
      </c>
      <c r="I946" s="307">
        <v>1</v>
      </c>
      <c r="J946" s="307">
        <v>1</v>
      </c>
      <c r="K946" s="307">
        <v>1</v>
      </c>
      <c r="L946" s="307">
        <v>1</v>
      </c>
      <c r="M946" s="307">
        <v>1</v>
      </c>
      <c r="N946" s="307">
        <v>1</v>
      </c>
    </row>
    <row r="947" spans="2:14" ht="11.25" customHeight="1" x14ac:dyDescent="0.35">
      <c r="B947" s="244" t="s">
        <v>5191</v>
      </c>
      <c r="C947" s="245">
        <v>123275</v>
      </c>
      <c r="D947" s="307">
        <v>1.2468208000000001</v>
      </c>
      <c r="E947" s="307">
        <v>1.503385</v>
      </c>
      <c r="F947" s="307">
        <v>1.0799676</v>
      </c>
      <c r="G947" s="307">
        <v>1.0348546999999999</v>
      </c>
      <c r="H947" s="307" t="s">
        <v>29</v>
      </c>
      <c r="I947" s="307">
        <v>1</v>
      </c>
      <c r="J947" s="307">
        <v>1.7232088999999999</v>
      </c>
      <c r="K947" s="307" t="s">
        <v>29</v>
      </c>
      <c r="L947" s="307">
        <v>2</v>
      </c>
      <c r="M947" s="307">
        <v>1</v>
      </c>
      <c r="N947" s="307">
        <v>1</v>
      </c>
    </row>
    <row r="948" spans="2:14" ht="11.25" customHeight="1" x14ac:dyDescent="0.35">
      <c r="B948" s="244" t="s">
        <v>5190</v>
      </c>
      <c r="C948" s="245">
        <v>123276</v>
      </c>
      <c r="D948" s="307">
        <v>1.0314943999999999</v>
      </c>
      <c r="E948" s="307">
        <v>1</v>
      </c>
      <c r="F948" s="307">
        <v>1</v>
      </c>
      <c r="G948" s="307">
        <v>1.0078758000000001</v>
      </c>
      <c r="H948" s="307">
        <v>2.0175770000000002</v>
      </c>
      <c r="I948" s="307">
        <v>1.1148720000000001</v>
      </c>
      <c r="J948" s="307">
        <v>1</v>
      </c>
      <c r="K948" s="307" t="s">
        <v>29</v>
      </c>
      <c r="L948" s="307">
        <v>1</v>
      </c>
      <c r="M948" s="307">
        <v>1</v>
      </c>
      <c r="N948" s="307">
        <v>3</v>
      </c>
    </row>
    <row r="949" spans="2:14" ht="11.25" customHeight="1" x14ac:dyDescent="0.35">
      <c r="B949" s="244" t="s">
        <v>5189</v>
      </c>
      <c r="C949" s="245">
        <v>123277</v>
      </c>
      <c r="D949" s="307">
        <v>1.0203259</v>
      </c>
      <c r="E949" s="307">
        <v>1</v>
      </c>
      <c r="F949" s="307">
        <v>1</v>
      </c>
      <c r="G949" s="307">
        <v>1</v>
      </c>
      <c r="H949" s="307" t="s">
        <v>29</v>
      </c>
      <c r="I949" s="307" t="s">
        <v>29</v>
      </c>
      <c r="J949" s="307">
        <v>1</v>
      </c>
      <c r="K949" s="307">
        <v>1</v>
      </c>
      <c r="L949" s="307">
        <v>1</v>
      </c>
      <c r="M949" s="307">
        <v>1</v>
      </c>
      <c r="N949" s="307" t="s">
        <v>29</v>
      </c>
    </row>
    <row r="950" spans="2:14" ht="11.25" customHeight="1" x14ac:dyDescent="0.35">
      <c r="B950" s="244" t="s">
        <v>5188</v>
      </c>
      <c r="C950" s="245">
        <v>123278</v>
      </c>
      <c r="D950" s="307">
        <v>1.0184542000000001</v>
      </c>
      <c r="E950" s="307">
        <v>1</v>
      </c>
      <c r="F950" s="307">
        <v>1.0196882</v>
      </c>
      <c r="G950" s="307">
        <v>1.1775844</v>
      </c>
      <c r="H950" s="307">
        <v>1.058756</v>
      </c>
      <c r="I950" s="307">
        <v>1</v>
      </c>
      <c r="J950" s="307">
        <v>1</v>
      </c>
      <c r="K950" s="307">
        <v>1.0558361000000001</v>
      </c>
      <c r="L950" s="307">
        <v>1</v>
      </c>
      <c r="M950" s="307">
        <v>1</v>
      </c>
      <c r="N950" s="307">
        <v>1.1100950999999999</v>
      </c>
    </row>
    <row r="951" spans="2:14" ht="11.25" customHeight="1" x14ac:dyDescent="0.35">
      <c r="B951" s="244" t="s">
        <v>5187</v>
      </c>
      <c r="C951" s="245">
        <v>123279</v>
      </c>
      <c r="D951" s="307" t="s">
        <v>29</v>
      </c>
      <c r="E951" s="307" t="s">
        <v>29</v>
      </c>
      <c r="F951" s="307" t="s">
        <v>29</v>
      </c>
      <c r="G951" s="307" t="s">
        <v>29</v>
      </c>
      <c r="H951" s="307" t="s">
        <v>29</v>
      </c>
      <c r="I951" s="307" t="s">
        <v>29</v>
      </c>
      <c r="J951" s="307" t="s">
        <v>29</v>
      </c>
      <c r="K951" s="307" t="s">
        <v>29</v>
      </c>
      <c r="L951" s="307" t="s">
        <v>29</v>
      </c>
      <c r="M951" s="307" t="s">
        <v>29</v>
      </c>
      <c r="N951" s="307" t="s">
        <v>29</v>
      </c>
    </row>
    <row r="952" spans="2:14" ht="11.25" customHeight="1" x14ac:dyDescent="0.35">
      <c r="B952" s="244" t="s">
        <v>5186</v>
      </c>
      <c r="C952" s="245">
        <v>123280</v>
      </c>
      <c r="D952" s="307">
        <v>1.5757569</v>
      </c>
      <c r="E952" s="307">
        <v>1.3471105999999999</v>
      </c>
      <c r="F952" s="307">
        <v>1.5426192999999999</v>
      </c>
      <c r="G952" s="307">
        <v>1.5084834</v>
      </c>
      <c r="H952" s="307">
        <v>1.6055465</v>
      </c>
      <c r="I952" s="307">
        <v>1.7353148</v>
      </c>
      <c r="J952" s="307">
        <v>1.4950026000000001</v>
      </c>
      <c r="K952" s="307">
        <v>1.6322057000000001</v>
      </c>
      <c r="L952" s="307">
        <v>1.3531502</v>
      </c>
      <c r="M952" s="307">
        <v>1.5113601000000001</v>
      </c>
      <c r="N952" s="307">
        <v>1.814978</v>
      </c>
    </row>
    <row r="953" spans="2:14" ht="11.25" customHeight="1" x14ac:dyDescent="0.35">
      <c r="B953" s="244" t="s">
        <v>5185</v>
      </c>
      <c r="C953" s="245">
        <v>123281</v>
      </c>
      <c r="D953" s="307" t="s">
        <v>29</v>
      </c>
      <c r="E953" s="307" t="s">
        <v>29</v>
      </c>
      <c r="F953" s="307" t="s">
        <v>29</v>
      </c>
      <c r="G953" s="307" t="s">
        <v>29</v>
      </c>
      <c r="H953" s="307" t="s">
        <v>29</v>
      </c>
      <c r="I953" s="307" t="s">
        <v>29</v>
      </c>
      <c r="J953" s="307" t="s">
        <v>29</v>
      </c>
      <c r="K953" s="307" t="s">
        <v>29</v>
      </c>
      <c r="L953" s="307" t="s">
        <v>29</v>
      </c>
      <c r="M953" s="307" t="s">
        <v>29</v>
      </c>
      <c r="N953" s="307" t="s">
        <v>29</v>
      </c>
    </row>
    <row r="954" spans="2:14" ht="11.25" customHeight="1" x14ac:dyDescent="0.35">
      <c r="B954" s="244" t="s">
        <v>5184</v>
      </c>
      <c r="C954" s="245">
        <v>123282</v>
      </c>
      <c r="D954" s="307">
        <v>1.3944439</v>
      </c>
      <c r="E954" s="307">
        <v>1</v>
      </c>
      <c r="F954" s="307" t="s">
        <v>29</v>
      </c>
      <c r="G954" s="307">
        <v>1</v>
      </c>
      <c r="H954" s="307">
        <v>1</v>
      </c>
      <c r="I954" s="307" t="s">
        <v>29</v>
      </c>
      <c r="J954" s="307" t="s">
        <v>29</v>
      </c>
      <c r="K954" s="307">
        <v>5.5633999999999997</v>
      </c>
      <c r="L954" s="307" t="s">
        <v>29</v>
      </c>
      <c r="M954" s="307" t="s">
        <v>29</v>
      </c>
      <c r="N954" s="307" t="s">
        <v>29</v>
      </c>
    </row>
    <row r="955" spans="2:14" ht="11.25" customHeight="1" x14ac:dyDescent="0.35">
      <c r="B955" s="244" t="s">
        <v>5183</v>
      </c>
      <c r="C955" s="245">
        <v>123283</v>
      </c>
      <c r="D955" s="307">
        <v>1.4533242</v>
      </c>
      <c r="E955" s="307">
        <v>1.3367699</v>
      </c>
      <c r="F955" s="307">
        <v>1.3945472999999999</v>
      </c>
      <c r="G955" s="307">
        <v>1.3114188</v>
      </c>
      <c r="H955" s="307">
        <v>1.4726611999999999</v>
      </c>
      <c r="I955" s="307">
        <v>1.6552340000000001</v>
      </c>
      <c r="J955" s="307">
        <v>1.4188046999999999</v>
      </c>
      <c r="K955" s="307">
        <v>1.5543411</v>
      </c>
      <c r="L955" s="307">
        <v>1.2423085</v>
      </c>
      <c r="M955" s="307">
        <v>1.4772449999999999</v>
      </c>
      <c r="N955" s="307">
        <v>1.7550033</v>
      </c>
    </row>
    <row r="956" spans="2:14" ht="11.25" customHeight="1" x14ac:dyDescent="0.35">
      <c r="B956" s="244" t="s">
        <v>4946</v>
      </c>
      <c r="C956" s="247"/>
      <c r="D956" s="307"/>
      <c r="E956" s="307"/>
      <c r="F956" s="307"/>
      <c r="G956" s="307"/>
      <c r="H956" s="307"/>
      <c r="I956" s="307"/>
      <c r="J956" s="307"/>
      <c r="K956" s="307"/>
      <c r="L956" s="307"/>
      <c r="M956" s="307"/>
      <c r="N956" s="307"/>
    </row>
    <row r="957" spans="2:14" ht="11.25" customHeight="1" x14ac:dyDescent="0.35">
      <c r="B957" s="244" t="s">
        <v>5009</v>
      </c>
      <c r="C957" s="245">
        <v>123284</v>
      </c>
      <c r="D957" s="307">
        <v>5.9195966000000002</v>
      </c>
      <c r="E957" s="307">
        <v>3.8604473000000001</v>
      </c>
      <c r="F957" s="307">
        <v>4.2721416000000003</v>
      </c>
      <c r="G957" s="307">
        <v>3.3836629999999999</v>
      </c>
      <c r="H957" s="307">
        <v>4.0137957000000002</v>
      </c>
      <c r="I957" s="307">
        <v>8.8552020000000002</v>
      </c>
      <c r="J957" s="307">
        <v>4.6451520000000004</v>
      </c>
      <c r="K957" s="307">
        <v>6.1434801999999999</v>
      </c>
      <c r="L957" s="307">
        <v>2.5572735</v>
      </c>
      <c r="M957" s="307">
        <v>1.7544256</v>
      </c>
      <c r="N957" s="307">
        <v>8.1356728999999994</v>
      </c>
    </row>
    <row r="958" spans="2:14" ht="11.25" customHeight="1" x14ac:dyDescent="0.35">
      <c r="B958" s="244" t="s">
        <v>5182</v>
      </c>
      <c r="C958" s="245">
        <v>123285</v>
      </c>
      <c r="D958" s="307">
        <v>46.175199999999997</v>
      </c>
      <c r="E958" s="307">
        <v>133.02594869999999</v>
      </c>
      <c r="F958" s="307">
        <v>8.0905722999999998</v>
      </c>
      <c r="G958" s="307">
        <v>30.203977699999999</v>
      </c>
      <c r="H958" s="307">
        <v>3.9165470999999998</v>
      </c>
      <c r="I958" s="307">
        <v>83.569619500000002</v>
      </c>
      <c r="J958" s="307">
        <v>59.128065900000003</v>
      </c>
      <c r="K958" s="307">
        <v>75.613799799999995</v>
      </c>
      <c r="L958" s="307">
        <v>25.368517400000002</v>
      </c>
      <c r="M958" s="307">
        <v>20.902777799999999</v>
      </c>
      <c r="N958" s="307">
        <v>31.470625900000002</v>
      </c>
    </row>
    <row r="959" spans="2:14" ht="11.25" customHeight="1" x14ac:dyDescent="0.35">
      <c r="B959" s="244" t="s">
        <v>4946</v>
      </c>
      <c r="C959" s="247"/>
      <c r="D959" s="307"/>
      <c r="E959" s="307"/>
      <c r="F959" s="307"/>
      <c r="G959" s="307"/>
      <c r="H959" s="307"/>
      <c r="I959" s="307"/>
      <c r="J959" s="307"/>
      <c r="K959" s="307"/>
      <c r="L959" s="307"/>
      <c r="M959" s="307"/>
      <c r="N959" s="307"/>
    </row>
    <row r="960" spans="2:14" ht="11.25" customHeight="1" x14ac:dyDescent="0.35">
      <c r="B960" s="246" t="s">
        <v>5181</v>
      </c>
      <c r="C960" s="247"/>
      <c r="D960" s="307"/>
      <c r="E960" s="307"/>
      <c r="F960" s="307"/>
      <c r="G960" s="307"/>
      <c r="H960" s="307"/>
      <c r="I960" s="307"/>
      <c r="J960" s="307"/>
      <c r="K960" s="307"/>
      <c r="L960" s="307"/>
      <c r="M960" s="307"/>
      <c r="N960" s="307"/>
    </row>
    <row r="961" spans="2:14" ht="11.25" customHeight="1" x14ac:dyDescent="0.35">
      <c r="B961" s="244" t="s">
        <v>5180</v>
      </c>
      <c r="C961" s="245">
        <v>123286</v>
      </c>
      <c r="D961" s="307">
        <v>8.8231529000000002</v>
      </c>
      <c r="E961" s="307">
        <v>4.5284819000000001</v>
      </c>
      <c r="F961" s="307">
        <v>8.1485722999999997</v>
      </c>
      <c r="G961" s="307">
        <v>2.6499597000000001</v>
      </c>
      <c r="H961" s="307">
        <v>5.7314878</v>
      </c>
      <c r="I961" s="307">
        <v>4.4992239999999999</v>
      </c>
      <c r="J961" s="307">
        <v>13.232919600000001</v>
      </c>
      <c r="K961" s="307">
        <v>4.1730910000000003</v>
      </c>
      <c r="L961" s="307">
        <v>10.539099999999999</v>
      </c>
      <c r="M961" s="307">
        <v>1.9237964000000001</v>
      </c>
      <c r="N961" s="307">
        <v>5.4117544999999998</v>
      </c>
    </row>
    <row r="962" spans="2:14" ht="11.25" customHeight="1" x14ac:dyDescent="0.35">
      <c r="B962" s="244" t="s">
        <v>5179</v>
      </c>
      <c r="C962" s="245">
        <v>123288</v>
      </c>
      <c r="D962" s="307">
        <v>24.209953899999999</v>
      </c>
      <c r="E962" s="307">
        <v>13.2323305</v>
      </c>
      <c r="F962" s="307">
        <v>30.235339</v>
      </c>
      <c r="G962" s="307">
        <v>4.0121661</v>
      </c>
      <c r="H962" s="307">
        <v>19.495324199999999</v>
      </c>
      <c r="I962" s="307">
        <v>20.8869416</v>
      </c>
      <c r="J962" s="307">
        <v>21.060924199999999</v>
      </c>
      <c r="K962" s="307">
        <v>20.5684933</v>
      </c>
      <c r="L962" s="307">
        <v>26.031979799999998</v>
      </c>
      <c r="M962" s="307">
        <v>2.1131717999999999</v>
      </c>
      <c r="N962" s="307">
        <v>27.198967100000001</v>
      </c>
    </row>
    <row r="963" spans="2:14" ht="11.25" customHeight="1" x14ac:dyDescent="0.35">
      <c r="B963" s="244" t="s">
        <v>5178</v>
      </c>
      <c r="C963" s="245">
        <v>123289</v>
      </c>
      <c r="D963" s="307">
        <v>30.5632685</v>
      </c>
      <c r="E963" s="307">
        <v>17.1324936</v>
      </c>
      <c r="F963" s="307">
        <v>29.786754500000001</v>
      </c>
      <c r="G963" s="307">
        <v>14.6849586</v>
      </c>
      <c r="H963" s="307">
        <v>21.751509599999999</v>
      </c>
      <c r="I963" s="307">
        <v>29.181642</v>
      </c>
      <c r="J963" s="307">
        <v>32.629898599999997</v>
      </c>
      <c r="K963" s="307">
        <v>18.402147100000001</v>
      </c>
      <c r="L963" s="307">
        <v>27.234467200000001</v>
      </c>
      <c r="M963" s="307">
        <v>4.8138538000000004</v>
      </c>
      <c r="N963" s="307">
        <v>24.811276800000002</v>
      </c>
    </row>
    <row r="964" spans="2:14" ht="11.25" customHeight="1" x14ac:dyDescent="0.35">
      <c r="B964" s="244" t="s">
        <v>5177</v>
      </c>
      <c r="C964" s="245">
        <v>123290</v>
      </c>
      <c r="D964" s="307">
        <v>15.4658748</v>
      </c>
      <c r="E964" s="307">
        <v>31.040901000000002</v>
      </c>
      <c r="F964" s="307">
        <v>15.2798579</v>
      </c>
      <c r="G964" s="307">
        <v>39.216785600000001</v>
      </c>
      <c r="H964" s="307">
        <v>22.812242600000001</v>
      </c>
      <c r="I964" s="307">
        <v>34.153822400000003</v>
      </c>
      <c r="J964" s="307">
        <v>14.278674000000001</v>
      </c>
      <c r="K964" s="307">
        <v>18.477441899999999</v>
      </c>
      <c r="L964" s="307">
        <v>19.262300199999999</v>
      </c>
      <c r="M964" s="307">
        <v>27.923838100000001</v>
      </c>
      <c r="N964" s="307">
        <v>33.835035400000002</v>
      </c>
    </row>
    <row r="965" spans="2:14" ht="11.25" customHeight="1" x14ac:dyDescent="0.35">
      <c r="B965" s="244" t="s">
        <v>5176</v>
      </c>
      <c r="C965" s="245">
        <v>123291</v>
      </c>
      <c r="D965" s="307">
        <v>20.9377499</v>
      </c>
      <c r="E965" s="307">
        <v>34.065792999999999</v>
      </c>
      <c r="F965" s="307">
        <v>16.5494764</v>
      </c>
      <c r="G965" s="307">
        <v>39.436129999999999</v>
      </c>
      <c r="H965" s="307">
        <v>30.209435800000001</v>
      </c>
      <c r="I965" s="307">
        <v>11.278370000000001</v>
      </c>
      <c r="J965" s="307">
        <v>18.797583599999999</v>
      </c>
      <c r="K965" s="307">
        <v>38.378826699999998</v>
      </c>
      <c r="L965" s="307">
        <v>16.9321527</v>
      </c>
      <c r="M965" s="307">
        <v>63.225339900000002</v>
      </c>
      <c r="N965" s="307">
        <v>8.7429661000000003</v>
      </c>
    </row>
    <row r="966" spans="2:14" ht="11.25" customHeight="1" x14ac:dyDescent="0.35">
      <c r="B966" s="244" t="s">
        <v>4946</v>
      </c>
      <c r="C966" s="247"/>
      <c r="D966" s="307"/>
      <c r="E966" s="307"/>
      <c r="F966" s="307"/>
      <c r="G966" s="307"/>
      <c r="H966" s="307"/>
      <c r="I966" s="307"/>
      <c r="J966" s="307"/>
      <c r="K966" s="307"/>
      <c r="L966" s="307"/>
      <c r="M966" s="307"/>
      <c r="N966" s="307"/>
    </row>
    <row r="967" spans="2:14" ht="11.25" customHeight="1" x14ac:dyDescent="0.35">
      <c r="B967" s="246" t="s">
        <v>5175</v>
      </c>
      <c r="C967" s="247"/>
      <c r="D967" s="307"/>
      <c r="E967" s="307"/>
      <c r="F967" s="307"/>
      <c r="G967" s="307"/>
      <c r="H967" s="307"/>
      <c r="I967" s="307"/>
      <c r="J967" s="307"/>
      <c r="K967" s="307"/>
      <c r="L967" s="307"/>
      <c r="M967" s="307"/>
      <c r="N967" s="307"/>
    </row>
    <row r="968" spans="2:14" ht="11.25" customHeight="1" x14ac:dyDescent="0.35">
      <c r="B968" s="244" t="s">
        <v>5482</v>
      </c>
      <c r="C968" s="245">
        <v>123292</v>
      </c>
      <c r="D968" s="305">
        <v>9140760.2609999999</v>
      </c>
      <c r="E968" s="305">
        <v>3908.0419999999999</v>
      </c>
      <c r="F968" s="305">
        <v>16653.261999999999</v>
      </c>
      <c r="G968" s="305">
        <v>4907.6769999999997</v>
      </c>
      <c r="H968" s="305">
        <v>43198.114999999998</v>
      </c>
      <c r="I968" s="305">
        <v>62031.569000000003</v>
      </c>
      <c r="J968" s="305">
        <v>49912.440999999999</v>
      </c>
      <c r="K968" s="305">
        <v>67934.888000000006</v>
      </c>
      <c r="L968" s="305">
        <v>3500.4870000000001</v>
      </c>
      <c r="M968" s="305">
        <v>0</v>
      </c>
      <c r="N968" s="305">
        <v>21578.996999999999</v>
      </c>
    </row>
    <row r="969" spans="2:14" ht="11.25" customHeight="1" x14ac:dyDescent="0.35">
      <c r="B969" s="244" t="s">
        <v>4946</v>
      </c>
      <c r="C969" s="247"/>
      <c r="D969" s="307"/>
      <c r="E969" s="307"/>
      <c r="F969" s="307"/>
      <c r="G969" s="307"/>
      <c r="H969" s="307"/>
      <c r="I969" s="307"/>
      <c r="J969" s="307"/>
      <c r="K969" s="307"/>
      <c r="L969" s="307"/>
      <c r="M969" s="307"/>
      <c r="N969" s="307"/>
    </row>
    <row r="970" spans="2:14" ht="11.25" customHeight="1" x14ac:dyDescent="0.35">
      <c r="B970" s="244" t="s">
        <v>5174</v>
      </c>
      <c r="C970" s="245">
        <v>123293</v>
      </c>
      <c r="D970" s="307" t="s">
        <v>29</v>
      </c>
      <c r="E970" s="307" t="s">
        <v>29</v>
      </c>
      <c r="F970" s="307" t="s">
        <v>29</v>
      </c>
      <c r="G970" s="307" t="s">
        <v>29</v>
      </c>
      <c r="H970" s="307" t="s">
        <v>29</v>
      </c>
      <c r="I970" s="307" t="s">
        <v>29</v>
      </c>
      <c r="J970" s="307" t="s">
        <v>29</v>
      </c>
      <c r="K970" s="307" t="s">
        <v>29</v>
      </c>
      <c r="L970" s="307" t="s">
        <v>29</v>
      </c>
      <c r="M970" s="307" t="s">
        <v>29</v>
      </c>
      <c r="N970" s="307" t="s">
        <v>29</v>
      </c>
    </row>
    <row r="971" spans="2:14" ht="11.25" customHeight="1" x14ac:dyDescent="0.35">
      <c r="B971" s="244" t="s">
        <v>5173</v>
      </c>
      <c r="C971" s="245">
        <v>123294</v>
      </c>
      <c r="D971" s="307" t="s">
        <v>29</v>
      </c>
      <c r="E971" s="307" t="s">
        <v>29</v>
      </c>
      <c r="F971" s="307" t="s">
        <v>29</v>
      </c>
      <c r="G971" s="307" t="s">
        <v>29</v>
      </c>
      <c r="H971" s="307" t="s">
        <v>29</v>
      </c>
      <c r="I971" s="307" t="s">
        <v>29</v>
      </c>
      <c r="J971" s="307" t="s">
        <v>29</v>
      </c>
      <c r="K971" s="307" t="s">
        <v>29</v>
      </c>
      <c r="L971" s="307" t="s">
        <v>29</v>
      </c>
      <c r="M971" s="307" t="s">
        <v>29</v>
      </c>
      <c r="N971" s="307" t="s">
        <v>29</v>
      </c>
    </row>
    <row r="972" spans="2:14" ht="11.25" customHeight="1" x14ac:dyDescent="0.35">
      <c r="B972" s="244" t="s">
        <v>5172</v>
      </c>
      <c r="C972" s="245">
        <v>123295</v>
      </c>
      <c r="D972" s="307">
        <v>93.736237299999999</v>
      </c>
      <c r="E972" s="307">
        <v>100</v>
      </c>
      <c r="F972" s="307">
        <v>100</v>
      </c>
      <c r="G972" s="307">
        <v>100</v>
      </c>
      <c r="H972" s="307">
        <v>100</v>
      </c>
      <c r="I972" s="307">
        <v>100</v>
      </c>
      <c r="J972" s="307">
        <v>100</v>
      </c>
      <c r="K972" s="307">
        <v>68.174181700000005</v>
      </c>
      <c r="L972" s="307">
        <v>100</v>
      </c>
      <c r="M972" s="307" t="s">
        <v>29</v>
      </c>
      <c r="N972" s="307">
        <v>100</v>
      </c>
    </row>
    <row r="973" spans="2:14" ht="11.25" customHeight="1" x14ac:dyDescent="0.35">
      <c r="B973" s="244" t="s">
        <v>5171</v>
      </c>
      <c r="C973" s="245">
        <v>123296</v>
      </c>
      <c r="D973" s="307">
        <v>6.2637628000000003</v>
      </c>
      <c r="E973" s="307">
        <v>0</v>
      </c>
      <c r="F973" s="307">
        <v>0</v>
      </c>
      <c r="G973" s="307">
        <v>0</v>
      </c>
      <c r="H973" s="307">
        <v>0</v>
      </c>
      <c r="I973" s="307">
        <v>0</v>
      </c>
      <c r="J973" s="307">
        <v>0</v>
      </c>
      <c r="K973" s="307">
        <v>31.825818300000002</v>
      </c>
      <c r="L973" s="307">
        <v>0</v>
      </c>
      <c r="M973" s="307" t="s">
        <v>29</v>
      </c>
      <c r="N973" s="307">
        <v>0</v>
      </c>
    </row>
    <row r="974" spans="2:14" ht="11.25" customHeight="1" x14ac:dyDescent="0.35">
      <c r="B974" s="244" t="s">
        <v>4946</v>
      </c>
      <c r="C974" s="247"/>
      <c r="D974" s="307"/>
      <c r="E974" s="307"/>
      <c r="F974" s="307"/>
      <c r="G974" s="307"/>
      <c r="H974" s="307"/>
      <c r="I974" s="307"/>
      <c r="J974" s="307"/>
      <c r="K974" s="307"/>
      <c r="L974" s="307"/>
      <c r="M974" s="307"/>
      <c r="N974" s="307"/>
    </row>
    <row r="975" spans="2:14" ht="11.25" customHeight="1" x14ac:dyDescent="0.35">
      <c r="B975" s="246" t="s">
        <v>5170</v>
      </c>
      <c r="C975" s="247"/>
      <c r="D975" s="307"/>
      <c r="E975" s="307"/>
      <c r="F975" s="307"/>
      <c r="G975" s="307"/>
      <c r="H975" s="307"/>
      <c r="I975" s="307"/>
      <c r="J975" s="307"/>
      <c r="K975" s="307"/>
      <c r="L975" s="307"/>
      <c r="M975" s="307"/>
      <c r="N975" s="307"/>
    </row>
    <row r="976" spans="2:14" ht="11.25" customHeight="1" x14ac:dyDescent="0.35">
      <c r="B976" s="244" t="s">
        <v>5483</v>
      </c>
      <c r="C976" s="245">
        <v>123297</v>
      </c>
      <c r="D976" s="305">
        <v>78547406.507675007</v>
      </c>
      <c r="E976" s="305">
        <v>61600.94</v>
      </c>
      <c r="F976" s="305">
        <v>749032.28099999996</v>
      </c>
      <c r="G976" s="305">
        <v>1016944.0970000001</v>
      </c>
      <c r="H976" s="305">
        <v>2186158.1340000001</v>
      </c>
      <c r="I976" s="305">
        <v>0</v>
      </c>
      <c r="J976" s="305">
        <v>3510.2200000000003</v>
      </c>
      <c r="K976" s="305">
        <v>25964.582000000002</v>
      </c>
      <c r="L976" s="305">
        <v>5700.0940000000001</v>
      </c>
      <c r="M976" s="305">
        <v>0</v>
      </c>
      <c r="N976" s="305">
        <v>0</v>
      </c>
    </row>
    <row r="977" spans="2:14" ht="11.25" customHeight="1" x14ac:dyDescent="0.35">
      <c r="B977" s="244" t="s">
        <v>4946</v>
      </c>
      <c r="C977" s="247"/>
      <c r="D977" s="322"/>
      <c r="E977" s="322"/>
      <c r="F977" s="322"/>
      <c r="G977" s="322"/>
      <c r="H977" s="322"/>
      <c r="I977" s="322"/>
      <c r="J977" s="322"/>
      <c r="K977" s="322"/>
      <c r="L977" s="322"/>
      <c r="M977" s="322"/>
      <c r="N977" s="322"/>
    </row>
    <row r="978" spans="2:14" ht="11.25" customHeight="1" x14ac:dyDescent="0.35">
      <c r="B978" s="244" t="s">
        <v>5169</v>
      </c>
      <c r="C978" s="245">
        <v>123298</v>
      </c>
      <c r="D978" s="307" t="s">
        <v>29</v>
      </c>
      <c r="E978" s="307" t="s">
        <v>29</v>
      </c>
      <c r="F978" s="307" t="s">
        <v>29</v>
      </c>
      <c r="G978" s="307" t="s">
        <v>29</v>
      </c>
      <c r="H978" s="307" t="s">
        <v>29</v>
      </c>
      <c r="I978" s="307" t="s">
        <v>29</v>
      </c>
      <c r="J978" s="307" t="s">
        <v>29</v>
      </c>
      <c r="K978" s="307" t="s">
        <v>29</v>
      </c>
      <c r="L978" s="307" t="s">
        <v>29</v>
      </c>
      <c r="M978" s="307" t="s">
        <v>29</v>
      </c>
      <c r="N978" s="307" t="s">
        <v>29</v>
      </c>
    </row>
    <row r="979" spans="2:14" ht="11.25" customHeight="1" x14ac:dyDescent="0.35">
      <c r="B979" s="244" t="s">
        <v>5168</v>
      </c>
      <c r="C979" s="245">
        <v>123300</v>
      </c>
      <c r="D979" s="307" t="s">
        <v>29</v>
      </c>
      <c r="E979" s="307" t="s">
        <v>29</v>
      </c>
      <c r="F979" s="307" t="s">
        <v>29</v>
      </c>
      <c r="G979" s="307" t="s">
        <v>29</v>
      </c>
      <c r="H979" s="307" t="s">
        <v>29</v>
      </c>
      <c r="I979" s="307" t="s">
        <v>29</v>
      </c>
      <c r="J979" s="307" t="s">
        <v>29</v>
      </c>
      <c r="K979" s="307" t="s">
        <v>29</v>
      </c>
      <c r="L979" s="307" t="s">
        <v>29</v>
      </c>
      <c r="M979" s="307" t="s">
        <v>29</v>
      </c>
      <c r="N979" s="307" t="s">
        <v>29</v>
      </c>
    </row>
    <row r="980" spans="2:14" ht="11.25" customHeight="1" x14ac:dyDescent="0.35">
      <c r="B980" s="244" t="s">
        <v>5167</v>
      </c>
      <c r="C980" s="245">
        <v>123299</v>
      </c>
      <c r="D980" s="307">
        <v>43.969553599999998</v>
      </c>
      <c r="E980" s="307">
        <v>0.1957113</v>
      </c>
      <c r="F980" s="307">
        <v>0.5681524</v>
      </c>
      <c r="G980" s="307">
        <v>1.8734206</v>
      </c>
      <c r="H980" s="307">
        <v>1.7222398999999999</v>
      </c>
      <c r="I980" s="307" t="s">
        <v>29</v>
      </c>
      <c r="J980" s="307">
        <v>98.868447000000003</v>
      </c>
      <c r="K980" s="307">
        <v>99.999996100000004</v>
      </c>
      <c r="L980" s="307">
        <v>100</v>
      </c>
      <c r="M980" s="307" t="s">
        <v>29</v>
      </c>
      <c r="N980" s="307" t="s">
        <v>29</v>
      </c>
    </row>
    <row r="981" spans="2:14" ht="11.25" customHeight="1" x14ac:dyDescent="0.35">
      <c r="B981" s="244" t="s">
        <v>5166</v>
      </c>
      <c r="C981" s="245">
        <v>123301</v>
      </c>
      <c r="D981" s="307">
        <v>56.025990899999996</v>
      </c>
      <c r="E981" s="307">
        <v>99.804290300000005</v>
      </c>
      <c r="F981" s="307">
        <v>99.431847599999998</v>
      </c>
      <c r="G981" s="307">
        <v>98.126579300000003</v>
      </c>
      <c r="H981" s="307">
        <v>98.277760099999995</v>
      </c>
      <c r="I981" s="307" t="s">
        <v>29</v>
      </c>
      <c r="J981" s="307">
        <v>1.131553</v>
      </c>
      <c r="K981" s="307">
        <v>0</v>
      </c>
      <c r="L981" s="307">
        <v>0</v>
      </c>
      <c r="M981" s="307" t="s">
        <v>29</v>
      </c>
      <c r="N981" s="307" t="s">
        <v>29</v>
      </c>
    </row>
    <row r="982" spans="2:14" ht="11.25" customHeight="1" x14ac:dyDescent="0.35">
      <c r="B982" s="244" t="s">
        <v>4946</v>
      </c>
      <c r="C982" s="247"/>
      <c r="D982" s="322"/>
      <c r="E982" s="322"/>
      <c r="F982" s="322"/>
      <c r="G982" s="322"/>
      <c r="H982" s="322"/>
      <c r="I982" s="322"/>
      <c r="J982" s="322"/>
      <c r="K982" s="322"/>
      <c r="L982" s="322"/>
      <c r="M982" s="322"/>
      <c r="N982" s="322"/>
    </row>
    <row r="983" spans="2:14" ht="11.25" customHeight="1" x14ac:dyDescent="0.35">
      <c r="B983" s="246" t="s">
        <v>5165</v>
      </c>
      <c r="C983" s="247"/>
      <c r="D983" s="307"/>
      <c r="E983" s="307"/>
      <c r="F983" s="307"/>
      <c r="G983" s="307"/>
      <c r="H983" s="307"/>
      <c r="I983" s="307"/>
      <c r="J983" s="307"/>
      <c r="K983" s="307"/>
      <c r="L983" s="307"/>
      <c r="M983" s="307"/>
      <c r="N983" s="307"/>
    </row>
    <row r="984" spans="2:14" ht="11.25" customHeight="1" x14ac:dyDescent="0.35">
      <c r="B984" s="244" t="s">
        <v>5484</v>
      </c>
      <c r="C984" s="245">
        <v>123302</v>
      </c>
      <c r="D984" s="305">
        <v>373264757.21500003</v>
      </c>
      <c r="E984" s="305">
        <v>904780.13800000004</v>
      </c>
      <c r="F984" s="305">
        <v>0</v>
      </c>
      <c r="G984" s="305">
        <v>4366.7129999999997</v>
      </c>
      <c r="H984" s="305">
        <v>247888.67</v>
      </c>
      <c r="I984" s="305">
        <v>464355.35200000001</v>
      </c>
      <c r="J984" s="305">
        <v>830437.52899999998</v>
      </c>
      <c r="K984" s="305">
        <v>284119.79600000003</v>
      </c>
      <c r="L984" s="305">
        <v>2706.4250000000002</v>
      </c>
      <c r="M984" s="305">
        <v>0</v>
      </c>
      <c r="N984" s="305">
        <v>284973.29399999999</v>
      </c>
    </row>
    <row r="985" spans="2:14" ht="11.25" customHeight="1" x14ac:dyDescent="0.35">
      <c r="B985" s="244" t="s">
        <v>4946</v>
      </c>
      <c r="C985" s="247"/>
      <c r="D985" s="307"/>
      <c r="E985" s="307"/>
      <c r="F985" s="307"/>
      <c r="G985" s="307"/>
      <c r="H985" s="307"/>
      <c r="I985" s="307"/>
      <c r="J985" s="307"/>
      <c r="K985" s="307"/>
      <c r="L985" s="307"/>
      <c r="M985" s="307"/>
      <c r="N985" s="307"/>
    </row>
    <row r="986" spans="2:14" ht="11.25" customHeight="1" x14ac:dyDescent="0.35">
      <c r="B986" s="244" t="s">
        <v>5164</v>
      </c>
      <c r="C986" s="245">
        <v>123303</v>
      </c>
      <c r="D986" s="307">
        <v>99.436715500000005</v>
      </c>
      <c r="E986" s="307">
        <v>99.4805791</v>
      </c>
      <c r="F986" s="307" t="s">
        <v>29</v>
      </c>
      <c r="G986" s="307">
        <v>99.999954200000005</v>
      </c>
      <c r="H986" s="307">
        <v>100</v>
      </c>
      <c r="I986" s="307">
        <v>100</v>
      </c>
      <c r="J986" s="307">
        <v>100.00000009999999</v>
      </c>
      <c r="K986" s="307">
        <v>100</v>
      </c>
      <c r="L986" s="307">
        <v>100</v>
      </c>
      <c r="M986" s="307" t="s">
        <v>29</v>
      </c>
      <c r="N986" s="307">
        <v>100</v>
      </c>
    </row>
    <row r="987" spans="2:14" ht="11.25" customHeight="1" x14ac:dyDescent="0.35">
      <c r="B987" s="244" t="s">
        <v>5163</v>
      </c>
      <c r="C987" s="245">
        <v>123304</v>
      </c>
      <c r="D987" s="307">
        <v>0.4257261</v>
      </c>
      <c r="E987" s="307">
        <v>0</v>
      </c>
      <c r="F987" s="307" t="s">
        <v>29</v>
      </c>
      <c r="G987" s="307">
        <v>0</v>
      </c>
      <c r="H987" s="307">
        <v>0</v>
      </c>
      <c r="I987" s="307">
        <v>0</v>
      </c>
      <c r="J987" s="307">
        <v>0</v>
      </c>
      <c r="K987" s="307">
        <v>0</v>
      </c>
      <c r="L987" s="307">
        <v>0</v>
      </c>
      <c r="M987" s="307" t="s">
        <v>29</v>
      </c>
      <c r="N987" s="307">
        <v>0</v>
      </c>
    </row>
    <row r="988" spans="2:14" ht="11.25" customHeight="1" x14ac:dyDescent="0.35">
      <c r="B988" s="244" t="s">
        <v>5162</v>
      </c>
      <c r="C988" s="245">
        <v>123305</v>
      </c>
      <c r="D988" s="307">
        <v>6.1469799999999998E-2</v>
      </c>
      <c r="E988" s="307">
        <v>0.51942089999999996</v>
      </c>
      <c r="F988" s="307" t="s">
        <v>29</v>
      </c>
      <c r="G988" s="307">
        <v>0</v>
      </c>
      <c r="H988" s="307">
        <v>0</v>
      </c>
      <c r="I988" s="307">
        <v>0</v>
      </c>
      <c r="J988" s="307">
        <v>0</v>
      </c>
      <c r="K988" s="307">
        <v>0</v>
      </c>
      <c r="L988" s="307">
        <v>0</v>
      </c>
      <c r="M988" s="307" t="s">
        <v>29</v>
      </c>
      <c r="N988" s="307">
        <v>0</v>
      </c>
    </row>
    <row r="989" spans="2:14" ht="11.25" customHeight="1" x14ac:dyDescent="0.35">
      <c r="B989" s="244" t="s">
        <v>5161</v>
      </c>
      <c r="C989" s="245">
        <v>123306</v>
      </c>
      <c r="D989" s="307">
        <v>7.6115199999999994E-2</v>
      </c>
      <c r="E989" s="307">
        <v>0</v>
      </c>
      <c r="F989" s="307" t="s">
        <v>29</v>
      </c>
      <c r="G989" s="307">
        <v>0</v>
      </c>
      <c r="H989" s="307">
        <v>0</v>
      </c>
      <c r="I989" s="307">
        <v>0</v>
      </c>
      <c r="J989" s="307">
        <v>0</v>
      </c>
      <c r="K989" s="307">
        <v>0</v>
      </c>
      <c r="L989" s="307">
        <v>0</v>
      </c>
      <c r="M989" s="307" t="s">
        <v>29</v>
      </c>
      <c r="N989" s="307">
        <v>0</v>
      </c>
    </row>
    <row r="990" spans="2:14" ht="11.25" customHeight="1" x14ac:dyDescent="0.35">
      <c r="B990" s="244" t="s">
        <v>4946</v>
      </c>
      <c r="C990" s="247"/>
      <c r="D990" s="307"/>
      <c r="E990" s="307"/>
      <c r="F990" s="307"/>
      <c r="G990" s="307"/>
      <c r="H990" s="307"/>
      <c r="I990" s="307"/>
      <c r="J990" s="307"/>
      <c r="K990" s="307"/>
      <c r="L990" s="307"/>
      <c r="M990" s="307"/>
      <c r="N990" s="307"/>
    </row>
    <row r="991" spans="2:14" ht="11.25" customHeight="1" x14ac:dyDescent="0.35">
      <c r="B991" s="244" t="s">
        <v>5160</v>
      </c>
      <c r="C991" s="245">
        <v>123307</v>
      </c>
      <c r="D991" s="307">
        <v>8.0264500000000003E-2</v>
      </c>
      <c r="E991" s="307">
        <v>0</v>
      </c>
      <c r="F991" s="307">
        <v>0</v>
      </c>
      <c r="G991" s="307">
        <v>0</v>
      </c>
      <c r="H991" s="307">
        <v>0</v>
      </c>
      <c r="I991" s="307">
        <v>0</v>
      </c>
      <c r="J991" s="307">
        <v>0</v>
      </c>
      <c r="K991" s="307">
        <v>0</v>
      </c>
      <c r="L991" s="307">
        <v>0</v>
      </c>
      <c r="M991" s="307">
        <v>0</v>
      </c>
      <c r="N991" s="307">
        <v>0</v>
      </c>
    </row>
    <row r="992" spans="2:14" ht="11.25" customHeight="1" x14ac:dyDescent="0.35">
      <c r="B992" s="244" t="s">
        <v>4946</v>
      </c>
      <c r="C992" s="247"/>
      <c r="D992" s="305"/>
      <c r="E992" s="305"/>
      <c r="F992" s="305"/>
      <c r="G992" s="305"/>
      <c r="H992" s="305"/>
      <c r="I992" s="305"/>
      <c r="J992" s="305"/>
      <c r="K992" s="305"/>
      <c r="L992" s="305"/>
      <c r="M992" s="305"/>
      <c r="N992" s="305"/>
    </row>
    <row r="993" spans="2:14" ht="11.25" customHeight="1" x14ac:dyDescent="0.35">
      <c r="B993" s="246" t="s">
        <v>5159</v>
      </c>
      <c r="C993" s="247"/>
      <c r="D993" s="305"/>
      <c r="E993" s="305"/>
      <c r="F993" s="305"/>
      <c r="G993" s="305"/>
      <c r="H993" s="305"/>
      <c r="I993" s="305"/>
      <c r="J993" s="305"/>
      <c r="K993" s="305"/>
      <c r="L993" s="305"/>
      <c r="M993" s="305"/>
      <c r="N993" s="305"/>
    </row>
    <row r="994" spans="2:14" ht="11.25" customHeight="1" x14ac:dyDescent="0.35">
      <c r="B994" s="244" t="s">
        <v>5485</v>
      </c>
      <c r="C994" s="245">
        <v>123308</v>
      </c>
      <c r="D994" s="305">
        <v>21928878.631000001</v>
      </c>
      <c r="E994" s="305">
        <v>0</v>
      </c>
      <c r="F994" s="305">
        <v>0</v>
      </c>
      <c r="G994" s="305">
        <v>208351.929</v>
      </c>
      <c r="H994" s="305">
        <v>35634.709000000003</v>
      </c>
      <c r="I994" s="305">
        <v>80515.320000000007</v>
      </c>
      <c r="J994" s="305">
        <v>0</v>
      </c>
      <c r="K994" s="305">
        <v>54480.353999999999</v>
      </c>
      <c r="L994" s="305">
        <v>0</v>
      </c>
      <c r="M994" s="305">
        <v>8611.1579999999994</v>
      </c>
      <c r="N994" s="305">
        <v>51237.991999999998</v>
      </c>
    </row>
    <row r="995" spans="2:14" ht="11.25" customHeight="1" x14ac:dyDescent="0.35">
      <c r="B995" s="244" t="s">
        <v>4946</v>
      </c>
      <c r="C995" s="247"/>
      <c r="D995" s="322"/>
      <c r="E995" s="322"/>
      <c r="F995" s="322"/>
      <c r="G995" s="322"/>
      <c r="H995" s="322"/>
      <c r="I995" s="322"/>
      <c r="J995" s="322"/>
      <c r="K995" s="322"/>
      <c r="L995" s="322"/>
      <c r="M995" s="322"/>
      <c r="N995" s="322"/>
    </row>
    <row r="996" spans="2:14" ht="11.25" customHeight="1" x14ac:dyDescent="0.35">
      <c r="B996" s="244" t="s">
        <v>5158</v>
      </c>
      <c r="C996" s="245">
        <v>123309</v>
      </c>
      <c r="D996" s="307">
        <v>25.0515133</v>
      </c>
      <c r="E996" s="307" t="s">
        <v>29</v>
      </c>
      <c r="F996" s="307" t="s">
        <v>29</v>
      </c>
      <c r="G996" s="307">
        <v>99.999999500000001</v>
      </c>
      <c r="H996" s="307">
        <v>44.917975900000002</v>
      </c>
      <c r="I996" s="307">
        <v>86.8386079</v>
      </c>
      <c r="J996" s="307" t="s">
        <v>29</v>
      </c>
      <c r="K996" s="307">
        <v>67.374310699999995</v>
      </c>
      <c r="L996" s="307" t="s">
        <v>29</v>
      </c>
      <c r="M996" s="307">
        <v>100</v>
      </c>
      <c r="N996" s="307">
        <v>62.647187700000003</v>
      </c>
    </row>
    <row r="997" spans="2:14" ht="11.25" customHeight="1" x14ac:dyDescent="0.35">
      <c r="B997" s="244" t="s">
        <v>5157</v>
      </c>
      <c r="C997" s="245">
        <v>123310</v>
      </c>
      <c r="D997" s="307">
        <v>72.927051300000002</v>
      </c>
      <c r="E997" s="307" t="s">
        <v>29</v>
      </c>
      <c r="F997" s="307" t="s">
        <v>29</v>
      </c>
      <c r="G997" s="307">
        <v>0</v>
      </c>
      <c r="H997" s="307">
        <v>55.082024099999998</v>
      </c>
      <c r="I997" s="307">
        <v>13.1613921</v>
      </c>
      <c r="J997" s="307" t="s">
        <v>29</v>
      </c>
      <c r="K997" s="307">
        <v>0</v>
      </c>
      <c r="L997" s="307" t="s">
        <v>29</v>
      </c>
      <c r="M997" s="307">
        <v>0</v>
      </c>
      <c r="N997" s="307">
        <v>37.352812299999997</v>
      </c>
    </row>
    <row r="998" spans="2:14" ht="11.25" customHeight="1" x14ac:dyDescent="0.35">
      <c r="B998" s="244" t="s">
        <v>5156</v>
      </c>
      <c r="C998" s="245">
        <v>123311</v>
      </c>
      <c r="D998" s="307">
        <v>1.9984059999999999</v>
      </c>
      <c r="E998" s="307" t="s">
        <v>29</v>
      </c>
      <c r="F998" s="307" t="s">
        <v>29</v>
      </c>
      <c r="G998" s="307">
        <v>0</v>
      </c>
      <c r="H998" s="307">
        <v>0</v>
      </c>
      <c r="I998" s="307">
        <v>0</v>
      </c>
      <c r="J998" s="307" t="s">
        <v>29</v>
      </c>
      <c r="K998" s="307">
        <v>32.625689299999998</v>
      </c>
      <c r="L998" s="307" t="s">
        <v>29</v>
      </c>
      <c r="M998" s="307">
        <v>0</v>
      </c>
      <c r="N998" s="307">
        <v>0</v>
      </c>
    </row>
    <row r="999" spans="2:14" ht="11.25" customHeight="1" thickBot="1" x14ac:dyDescent="0.4">
      <c r="B999" s="249"/>
      <c r="C999" s="250"/>
      <c r="D999" s="325"/>
      <c r="E999" s="325"/>
      <c r="F999" s="325"/>
      <c r="G999" s="325"/>
      <c r="H999" s="325"/>
      <c r="I999" s="325"/>
      <c r="J999" s="325"/>
      <c r="K999" s="325"/>
      <c r="L999" s="325"/>
      <c r="M999" s="325"/>
      <c r="N999" s="325"/>
    </row>
    <row r="1000" spans="2:14" ht="11.25" customHeight="1" thickBot="1" x14ac:dyDescent="0.4">
      <c r="B1000" s="265" t="s">
        <v>5392</v>
      </c>
      <c r="C1000" s="253"/>
      <c r="D1000" s="253"/>
      <c r="E1000" s="253"/>
      <c r="F1000" s="253"/>
      <c r="G1000" s="253"/>
      <c r="H1000" s="253"/>
      <c r="I1000" s="253"/>
      <c r="J1000" s="253"/>
      <c r="K1000" s="253"/>
      <c r="L1000" s="253"/>
      <c r="M1000" s="253"/>
      <c r="N1000" s="253"/>
    </row>
    <row r="1001" spans="2:14" ht="11.25" customHeight="1" x14ac:dyDescent="0.35">
      <c r="B1001" s="246" t="s">
        <v>4958</v>
      </c>
      <c r="C1001" s="247"/>
      <c r="D1001" s="305"/>
      <c r="E1001" s="305"/>
      <c r="F1001" s="305"/>
      <c r="G1001" s="305"/>
      <c r="H1001" s="305"/>
      <c r="I1001" s="305"/>
      <c r="J1001" s="305"/>
      <c r="K1001" s="305"/>
      <c r="L1001" s="305"/>
      <c r="M1001" s="305"/>
      <c r="N1001" s="305"/>
    </row>
    <row r="1002" spans="2:14" ht="11.25" customHeight="1" x14ac:dyDescent="0.35">
      <c r="B1002" s="244" t="s">
        <v>4958</v>
      </c>
      <c r="C1002" s="245">
        <v>123203</v>
      </c>
      <c r="D1002" s="305">
        <v>353968596.65167499</v>
      </c>
      <c r="E1002" s="305">
        <v>518428.35700000002</v>
      </c>
      <c r="F1002" s="305">
        <v>842597.81700000004</v>
      </c>
      <c r="G1002" s="305">
        <v>10839119.252</v>
      </c>
      <c r="H1002" s="305">
        <v>2795657.2179999999</v>
      </c>
      <c r="I1002" s="305">
        <v>719959.04300000006</v>
      </c>
      <c r="J1002" s="305">
        <v>481120.80900000001</v>
      </c>
      <c r="K1002" s="305">
        <v>326988.37200000003</v>
      </c>
      <c r="L1002" s="305">
        <v>21500.135000000002</v>
      </c>
      <c r="M1002" s="305">
        <v>269462.50199999998</v>
      </c>
      <c r="N1002" s="305">
        <v>567058.34700000007</v>
      </c>
    </row>
    <row r="1003" spans="2:14" ht="11.25" customHeight="1" x14ac:dyDescent="0.35">
      <c r="B1003" s="244" t="s">
        <v>4957</v>
      </c>
      <c r="C1003" s="245">
        <v>123204</v>
      </c>
      <c r="D1003" s="305">
        <v>30678880.892999999</v>
      </c>
      <c r="E1003" s="305">
        <v>0</v>
      </c>
      <c r="F1003" s="305">
        <v>0</v>
      </c>
      <c r="G1003" s="305">
        <v>0</v>
      </c>
      <c r="H1003" s="305">
        <v>719367.59</v>
      </c>
      <c r="I1003" s="305">
        <v>0</v>
      </c>
      <c r="J1003" s="305">
        <v>0</v>
      </c>
      <c r="K1003" s="305">
        <v>0</v>
      </c>
      <c r="L1003" s="305">
        <v>0</v>
      </c>
      <c r="M1003" s="305">
        <v>0</v>
      </c>
      <c r="N1003" s="305">
        <v>0</v>
      </c>
    </row>
    <row r="1004" spans="2:14" ht="11.25" customHeight="1" x14ac:dyDescent="0.35">
      <c r="B1004" s="244" t="s">
        <v>5258</v>
      </c>
      <c r="C1004" s="245">
        <v>123748</v>
      </c>
      <c r="D1004" s="305">
        <v>13152035.586999999</v>
      </c>
      <c r="E1004" s="305">
        <v>0</v>
      </c>
      <c r="F1004" s="305">
        <v>0</v>
      </c>
      <c r="G1004" s="305">
        <v>0</v>
      </c>
      <c r="H1004" s="305">
        <v>0</v>
      </c>
      <c r="I1004" s="305">
        <v>0</v>
      </c>
      <c r="J1004" s="305">
        <v>0</v>
      </c>
      <c r="K1004" s="305">
        <v>1714.95</v>
      </c>
      <c r="L1004" s="305">
        <v>0</v>
      </c>
      <c r="M1004" s="305">
        <v>0</v>
      </c>
      <c r="N1004" s="305">
        <v>0</v>
      </c>
    </row>
    <row r="1005" spans="2:14" ht="11.25" customHeight="1" x14ac:dyDescent="0.35">
      <c r="B1005" s="244" t="s">
        <v>5257</v>
      </c>
      <c r="C1005" s="245">
        <v>123206</v>
      </c>
      <c r="D1005" s="305">
        <v>155215057.23957503</v>
      </c>
      <c r="E1005" s="305">
        <v>200462.26775999999</v>
      </c>
      <c r="F1005" s="305">
        <v>856496.13600000006</v>
      </c>
      <c r="G1005" s="305">
        <v>1062890.9440000001</v>
      </c>
      <c r="H1005" s="305">
        <v>2343145.912</v>
      </c>
      <c r="I1005" s="305">
        <v>0</v>
      </c>
      <c r="J1005" s="305">
        <v>7273.2550000000001</v>
      </c>
      <c r="K1005" s="305">
        <v>50858.78</v>
      </c>
      <c r="L1005" s="305">
        <v>0</v>
      </c>
      <c r="M1005" s="305">
        <v>0</v>
      </c>
      <c r="N1005" s="305">
        <v>0</v>
      </c>
    </row>
    <row r="1006" spans="2:14" ht="11.25" customHeight="1" x14ac:dyDescent="0.35">
      <c r="B1006" s="244" t="s">
        <v>4946</v>
      </c>
      <c r="C1006" s="247"/>
      <c r="D1006" s="322"/>
      <c r="E1006" s="322"/>
      <c r="F1006" s="322"/>
      <c r="G1006" s="322"/>
      <c r="H1006" s="322"/>
      <c r="I1006" s="322"/>
      <c r="J1006" s="322"/>
      <c r="K1006" s="322"/>
      <c r="L1006" s="322"/>
      <c r="M1006" s="322"/>
      <c r="N1006" s="322"/>
    </row>
    <row r="1007" spans="2:14" ht="11.25" customHeight="1" x14ac:dyDescent="0.35">
      <c r="B1007" s="244" t="s">
        <v>5256</v>
      </c>
      <c r="C1007" s="245">
        <v>123207</v>
      </c>
      <c r="D1007" s="307">
        <v>8.6671194000000007</v>
      </c>
      <c r="E1007" s="307">
        <v>0</v>
      </c>
      <c r="F1007" s="307">
        <v>0</v>
      </c>
      <c r="G1007" s="307">
        <v>0</v>
      </c>
      <c r="H1007" s="307">
        <v>25.731609200000001</v>
      </c>
      <c r="I1007" s="307">
        <v>0</v>
      </c>
      <c r="J1007" s="307">
        <v>0</v>
      </c>
      <c r="K1007" s="307">
        <v>0</v>
      </c>
      <c r="L1007" s="307">
        <v>0</v>
      </c>
      <c r="M1007" s="307">
        <v>0</v>
      </c>
      <c r="N1007" s="307">
        <v>0</v>
      </c>
    </row>
    <row r="1008" spans="2:14" ht="11.25" customHeight="1" x14ac:dyDescent="0.35">
      <c r="B1008" s="244" t="s">
        <v>5255</v>
      </c>
      <c r="C1008" s="245">
        <v>123750</v>
      </c>
      <c r="D1008" s="307">
        <v>3.7155939</v>
      </c>
      <c r="E1008" s="307">
        <v>0</v>
      </c>
      <c r="F1008" s="307">
        <v>0</v>
      </c>
      <c r="G1008" s="307">
        <v>0</v>
      </c>
      <c r="H1008" s="307">
        <v>0</v>
      </c>
      <c r="I1008" s="307">
        <v>0</v>
      </c>
      <c r="J1008" s="307">
        <v>0</v>
      </c>
      <c r="K1008" s="307">
        <v>0.52446820000000005</v>
      </c>
      <c r="L1008" s="307">
        <v>0</v>
      </c>
      <c r="M1008" s="307">
        <v>0</v>
      </c>
      <c r="N1008" s="307">
        <v>0</v>
      </c>
    </row>
    <row r="1009" spans="2:14" ht="11.25" customHeight="1" x14ac:dyDescent="0.35">
      <c r="B1009" s="244" t="s">
        <v>5254</v>
      </c>
      <c r="C1009" s="245">
        <v>123209</v>
      </c>
      <c r="D1009" s="307">
        <v>43.849951300000001</v>
      </c>
      <c r="E1009" s="307">
        <v>38.667303799999999</v>
      </c>
      <c r="F1009" s="307">
        <v>101.6494606</v>
      </c>
      <c r="G1009" s="307">
        <v>9.8060638000000004</v>
      </c>
      <c r="H1009" s="307">
        <v>83.813777200000004</v>
      </c>
      <c r="I1009" s="307">
        <v>0</v>
      </c>
      <c r="J1009" s="307">
        <v>1.5117315</v>
      </c>
      <c r="K1009" s="307">
        <v>15.553696800000001</v>
      </c>
      <c r="L1009" s="307">
        <v>0</v>
      </c>
      <c r="M1009" s="307">
        <v>0</v>
      </c>
      <c r="N1009" s="307">
        <v>0</v>
      </c>
    </row>
    <row r="1010" spans="2:14" ht="11.25" customHeight="1" x14ac:dyDescent="0.35">
      <c r="B1010" s="244" t="s">
        <v>5253</v>
      </c>
      <c r="C1010" s="245">
        <v>123208</v>
      </c>
      <c r="D1010" s="307">
        <v>3.7896784000000001</v>
      </c>
      <c r="E1010" s="307">
        <v>1.3569948000000001</v>
      </c>
      <c r="F1010" s="307">
        <v>5.6508072</v>
      </c>
      <c r="G1010" s="307">
        <v>3.5222424999999999</v>
      </c>
      <c r="H1010" s="307">
        <v>3.7340786000000001</v>
      </c>
      <c r="I1010" s="307">
        <v>6.5441984</v>
      </c>
      <c r="J1010" s="307">
        <v>1.9241774</v>
      </c>
      <c r="K1010" s="307">
        <v>2.8341034999999999</v>
      </c>
      <c r="L1010" s="307">
        <v>0.61769379999999996</v>
      </c>
      <c r="M1010" s="307">
        <v>0</v>
      </c>
      <c r="N1010" s="307">
        <v>14.9470109</v>
      </c>
    </row>
    <row r="1011" spans="2:14" ht="11.25" customHeight="1" x14ac:dyDescent="0.35">
      <c r="B1011" s="244" t="s">
        <v>4946</v>
      </c>
      <c r="C1011" s="247"/>
      <c r="D1011" s="322"/>
      <c r="E1011" s="322"/>
      <c r="F1011" s="322"/>
      <c r="G1011" s="322"/>
      <c r="H1011" s="322"/>
      <c r="I1011" s="322"/>
      <c r="J1011" s="322"/>
      <c r="K1011" s="322"/>
      <c r="L1011" s="322"/>
      <c r="M1011" s="322"/>
      <c r="N1011" s="322"/>
    </row>
    <row r="1012" spans="2:14" ht="11.25" customHeight="1" x14ac:dyDescent="0.35">
      <c r="B1012" s="244" t="s">
        <v>4954</v>
      </c>
      <c r="C1012" s="245">
        <v>123752</v>
      </c>
      <c r="D1012" s="305">
        <v>26474272.517999999</v>
      </c>
      <c r="E1012" s="305">
        <v>652782.04800000007</v>
      </c>
      <c r="F1012" s="305">
        <v>93437.25</v>
      </c>
      <c r="G1012" s="305">
        <v>1329129.746</v>
      </c>
      <c r="H1012" s="305">
        <v>5473.7820000000002</v>
      </c>
      <c r="I1012" s="305">
        <v>68223.425000000003</v>
      </c>
      <c r="J1012" s="305">
        <v>33438.595999999998</v>
      </c>
      <c r="K1012" s="305">
        <v>148926.364</v>
      </c>
      <c r="L1012" s="305">
        <v>754.13400000000001</v>
      </c>
      <c r="M1012" s="305">
        <v>35075.368000000002</v>
      </c>
      <c r="N1012" s="305">
        <v>14593.892</v>
      </c>
    </row>
    <row r="1013" spans="2:14" ht="11.25" customHeight="1" x14ac:dyDescent="0.35">
      <c r="B1013" s="244" t="s">
        <v>4955</v>
      </c>
      <c r="C1013" s="245">
        <v>123753</v>
      </c>
      <c r="D1013" s="305">
        <v>51038494.180600002</v>
      </c>
      <c r="E1013" s="305">
        <v>145445.18100000001</v>
      </c>
      <c r="F1013" s="305">
        <v>13196.019</v>
      </c>
      <c r="G1013" s="305">
        <v>319333.02</v>
      </c>
      <c r="H1013" s="305">
        <v>83398.788</v>
      </c>
      <c r="I1013" s="305">
        <v>81877.428</v>
      </c>
      <c r="J1013" s="305">
        <v>50545.93</v>
      </c>
      <c r="K1013" s="305">
        <v>44958.6</v>
      </c>
      <c r="L1013" s="305">
        <v>931.28600000000006</v>
      </c>
      <c r="M1013" s="305">
        <v>21701.559000000001</v>
      </c>
      <c r="N1013" s="305">
        <v>29140.848000000002</v>
      </c>
    </row>
    <row r="1014" spans="2:14" ht="11.25" customHeight="1" x14ac:dyDescent="0.35">
      <c r="B1014" s="244" t="s">
        <v>5252</v>
      </c>
      <c r="C1014" s="245">
        <v>123205</v>
      </c>
      <c r="D1014" s="305">
        <v>13414271.529000001</v>
      </c>
      <c r="E1014" s="305">
        <v>7035.0460000000003</v>
      </c>
      <c r="F1014" s="305">
        <v>47613.578000000001</v>
      </c>
      <c r="G1014" s="305">
        <v>381780.065</v>
      </c>
      <c r="H1014" s="305">
        <v>104392.039</v>
      </c>
      <c r="I1014" s="305">
        <v>47115.548000000003</v>
      </c>
      <c r="J1014" s="305">
        <v>9257.6180000000004</v>
      </c>
      <c r="K1014" s="305">
        <v>9267.1890000000003</v>
      </c>
      <c r="L1014" s="305">
        <v>132.80500000000001</v>
      </c>
      <c r="M1014" s="305">
        <v>-5105.1710000000003</v>
      </c>
      <c r="N1014" s="305">
        <v>84758.273000000001</v>
      </c>
    </row>
    <row r="1015" spans="2:14" ht="11.25" customHeight="1" x14ac:dyDescent="0.35">
      <c r="B1015" s="244" t="s">
        <v>4946</v>
      </c>
      <c r="C1015" s="247"/>
      <c r="D1015" s="322"/>
      <c r="E1015" s="322"/>
      <c r="F1015" s="322"/>
      <c r="G1015" s="322"/>
      <c r="H1015" s="322"/>
      <c r="I1015" s="322"/>
      <c r="J1015" s="322"/>
      <c r="K1015" s="322"/>
      <c r="L1015" s="322"/>
      <c r="M1015" s="322"/>
      <c r="N1015" s="322"/>
    </row>
    <row r="1016" spans="2:14" ht="11.25" customHeight="1" x14ac:dyDescent="0.35">
      <c r="B1016" s="244" t="s">
        <v>5251</v>
      </c>
      <c r="C1016" s="245">
        <v>123210</v>
      </c>
      <c r="D1016" s="305" t="s">
        <v>29</v>
      </c>
      <c r="E1016" s="305">
        <v>532637.90899999999</v>
      </c>
      <c r="F1016" s="305">
        <v>917918.973</v>
      </c>
      <c r="G1016" s="305">
        <v>11160844.275</v>
      </c>
      <c r="H1016" s="305">
        <v>3043938.0559999999</v>
      </c>
      <c r="I1016" s="305">
        <v>801836.47100000002</v>
      </c>
      <c r="J1016" s="305">
        <v>531666.73900000006</v>
      </c>
      <c r="K1016" s="305">
        <v>372260.48499999999</v>
      </c>
      <c r="L1016" s="305">
        <v>21500.135000000002</v>
      </c>
      <c r="M1016" s="305">
        <v>291164.06099999999</v>
      </c>
      <c r="N1016" s="305">
        <v>596199.19500000007</v>
      </c>
    </row>
    <row r="1017" spans="2:14" ht="11.25" customHeight="1" x14ac:dyDescent="0.35">
      <c r="B1017" s="244" t="s">
        <v>4995</v>
      </c>
      <c r="C1017" s="245">
        <v>123211</v>
      </c>
      <c r="D1017" s="305" t="s">
        <v>29</v>
      </c>
      <c r="E1017" s="305">
        <v>132160.97899999999</v>
      </c>
      <c r="F1017" s="305">
        <v>95991.107000000004</v>
      </c>
      <c r="G1017" s="305">
        <v>590743.16800000006</v>
      </c>
      <c r="H1017" s="305">
        <v>339224.83199999999</v>
      </c>
      <c r="I1017" s="305">
        <v>93022.69</v>
      </c>
      <c r="J1017" s="305">
        <v>62007.264999999999</v>
      </c>
      <c r="K1017" s="305">
        <v>46051.512999999999</v>
      </c>
      <c r="L1017" s="305">
        <v>4171.1670000000004</v>
      </c>
      <c r="M1017" s="305">
        <v>30271.441999999999</v>
      </c>
      <c r="N1017" s="305">
        <v>60860.457000000002</v>
      </c>
    </row>
    <row r="1018" spans="2:14" ht="11.25" customHeight="1" x14ac:dyDescent="0.35">
      <c r="B1018" s="244" t="s">
        <v>5250</v>
      </c>
      <c r="C1018" s="245">
        <v>123212</v>
      </c>
      <c r="D1018" s="305" t="s">
        <v>29</v>
      </c>
      <c r="E1018" s="305">
        <v>403.02206669999998</v>
      </c>
      <c r="F1018" s="305">
        <v>956.25417990000005</v>
      </c>
      <c r="G1018" s="305">
        <v>1889.2887602999999</v>
      </c>
      <c r="H1018" s="305">
        <v>897.32170789999998</v>
      </c>
      <c r="I1018" s="305">
        <v>861.97944930000006</v>
      </c>
      <c r="J1018" s="305">
        <v>857.42652740000005</v>
      </c>
      <c r="K1018" s="305">
        <v>808.35668740000006</v>
      </c>
      <c r="L1018" s="305">
        <v>515.44651650000003</v>
      </c>
      <c r="M1018" s="305">
        <v>961.84404099999995</v>
      </c>
      <c r="N1018" s="305">
        <v>979.61669099999995</v>
      </c>
    </row>
    <row r="1019" spans="2:14" ht="11.25" customHeight="1" x14ac:dyDescent="0.35">
      <c r="B1019" s="244" t="s">
        <v>4946</v>
      </c>
      <c r="C1019" s="247"/>
      <c r="D1019" s="307"/>
      <c r="E1019" s="307"/>
      <c r="F1019" s="307"/>
      <c r="G1019" s="307"/>
      <c r="H1019" s="307"/>
      <c r="I1019" s="307"/>
      <c r="J1019" s="307"/>
      <c r="K1019" s="307"/>
      <c r="L1019" s="307"/>
      <c r="M1019" s="307"/>
      <c r="N1019" s="307"/>
    </row>
    <row r="1020" spans="2:14" ht="11.25" customHeight="1" x14ac:dyDescent="0.35">
      <c r="B1020" s="246" t="s">
        <v>5249</v>
      </c>
      <c r="C1020" s="247"/>
      <c r="D1020" s="307"/>
      <c r="E1020" s="307"/>
      <c r="F1020" s="307"/>
      <c r="G1020" s="307"/>
      <c r="H1020" s="307"/>
      <c r="I1020" s="307"/>
      <c r="J1020" s="307"/>
      <c r="K1020" s="307"/>
      <c r="L1020" s="307"/>
      <c r="M1020" s="307"/>
      <c r="N1020" s="307"/>
    </row>
    <row r="1021" spans="2:14" ht="11.25" customHeight="1" x14ac:dyDescent="0.35">
      <c r="B1021" s="244" t="s">
        <v>5248</v>
      </c>
      <c r="C1021" s="245">
        <v>123213</v>
      </c>
      <c r="D1021" s="305">
        <v>38912056.535000004</v>
      </c>
      <c r="E1021" s="305">
        <v>-288198.33199999999</v>
      </c>
      <c r="F1021" s="305">
        <v>449115.26300000004</v>
      </c>
      <c r="G1021" s="305">
        <v>2414718.196</v>
      </c>
      <c r="H1021" s="305">
        <v>41462.65</v>
      </c>
      <c r="I1021" s="305">
        <v>186861.87700000001</v>
      </c>
      <c r="J1021" s="305">
        <v>-95501.324999999997</v>
      </c>
      <c r="K1021" s="305">
        <v>61796.224999999999</v>
      </c>
      <c r="L1021" s="305">
        <v>3440.6770000000001</v>
      </c>
      <c r="M1021" s="305">
        <v>18079.633000000002</v>
      </c>
      <c r="N1021" s="305">
        <v>159340.22400000002</v>
      </c>
    </row>
    <row r="1022" spans="2:14" ht="11.25" customHeight="1" x14ac:dyDescent="0.35">
      <c r="B1022" s="244" t="s">
        <v>5247</v>
      </c>
      <c r="C1022" s="245">
        <v>123214</v>
      </c>
      <c r="D1022" s="305">
        <v>-1306441.395</v>
      </c>
      <c r="E1022" s="305">
        <v>7392.576</v>
      </c>
      <c r="F1022" s="305">
        <v>1510.4470000000001</v>
      </c>
      <c r="G1022" s="305">
        <v>-22100.554</v>
      </c>
      <c r="H1022" s="305">
        <v>-11101.789000000001</v>
      </c>
      <c r="I1022" s="305">
        <v>188.21899999999999</v>
      </c>
      <c r="J1022" s="305">
        <v>2211.4870000000001</v>
      </c>
      <c r="K1022" s="305">
        <v>-11006.232</v>
      </c>
      <c r="L1022" s="305">
        <v>-1496.5029999999999</v>
      </c>
      <c r="M1022" s="305">
        <v>-1136.4760000000001</v>
      </c>
      <c r="N1022" s="305">
        <v>1598.886</v>
      </c>
    </row>
    <row r="1023" spans="2:14" ht="11.25" customHeight="1" x14ac:dyDescent="0.35">
      <c r="B1023" s="244" t="s">
        <v>5064</v>
      </c>
      <c r="C1023" s="245">
        <v>123215</v>
      </c>
      <c r="D1023" s="305">
        <v>18979268.046347</v>
      </c>
      <c r="E1023" s="305">
        <v>1569.117</v>
      </c>
      <c r="F1023" s="305">
        <v>-171235.609</v>
      </c>
      <c r="G1023" s="305">
        <v>-69849.392000000007</v>
      </c>
      <c r="H1023" s="305">
        <v>221672.272</v>
      </c>
      <c r="I1023" s="305">
        <v>-3074.6680000000001</v>
      </c>
      <c r="J1023" s="305">
        <v>5474.0140000000001</v>
      </c>
      <c r="K1023" s="305">
        <v>1419.2</v>
      </c>
      <c r="L1023" s="305">
        <v>-279.27699999999999</v>
      </c>
      <c r="M1023" s="305">
        <v>170.06300000000002</v>
      </c>
      <c r="N1023" s="305">
        <v>-2063.8209999999999</v>
      </c>
    </row>
    <row r="1024" spans="2:14" ht="11.25" customHeight="1" x14ac:dyDescent="0.35">
      <c r="B1024" s="244" t="s">
        <v>5063</v>
      </c>
      <c r="C1024" s="245">
        <v>123216</v>
      </c>
      <c r="D1024" s="305">
        <v>2219741.5070000002</v>
      </c>
      <c r="E1024" s="305">
        <v>0</v>
      </c>
      <c r="F1024" s="305">
        <v>0</v>
      </c>
      <c r="G1024" s="305">
        <v>0</v>
      </c>
      <c r="H1024" s="305">
        <v>135111.98500000002</v>
      </c>
      <c r="I1024" s="305">
        <v>0</v>
      </c>
      <c r="J1024" s="305">
        <v>0</v>
      </c>
      <c r="K1024" s="305">
        <v>0</v>
      </c>
      <c r="L1024" s="305">
        <v>0</v>
      </c>
      <c r="M1024" s="305">
        <v>0</v>
      </c>
      <c r="N1024" s="305">
        <v>0</v>
      </c>
    </row>
    <row r="1025" spans="2:14" ht="11.25" customHeight="1" x14ac:dyDescent="0.35">
      <c r="B1025" s="244" t="s">
        <v>5062</v>
      </c>
      <c r="C1025" s="245">
        <v>123217</v>
      </c>
      <c r="D1025" s="305">
        <v>-3454597.5383310001</v>
      </c>
      <c r="E1025" s="305">
        <v>250000</v>
      </c>
      <c r="F1025" s="305">
        <v>20864.312000000002</v>
      </c>
      <c r="G1025" s="305">
        <v>0</v>
      </c>
      <c r="H1025" s="305">
        <v>0</v>
      </c>
      <c r="I1025" s="305">
        <v>0</v>
      </c>
      <c r="J1025" s="305">
        <v>35475.671000000002</v>
      </c>
      <c r="K1025" s="305">
        <v>-130000</v>
      </c>
      <c r="L1025" s="305">
        <v>0</v>
      </c>
      <c r="M1025" s="305">
        <v>-12116.557000000001</v>
      </c>
      <c r="N1025" s="305">
        <v>0</v>
      </c>
    </row>
    <row r="1026" spans="2:14" ht="11.25" customHeight="1" x14ac:dyDescent="0.35">
      <c r="B1026" s="244" t="s">
        <v>5061</v>
      </c>
      <c r="C1026" s="245">
        <v>123218</v>
      </c>
      <c r="D1026" s="305">
        <v>-27465336.322999999</v>
      </c>
      <c r="E1026" s="305">
        <v>0</v>
      </c>
      <c r="F1026" s="305">
        <v>-22500</v>
      </c>
      <c r="G1026" s="305">
        <v>-1473219.9129999999</v>
      </c>
      <c r="H1026" s="305">
        <v>0</v>
      </c>
      <c r="I1026" s="305">
        <v>-170000</v>
      </c>
      <c r="J1026" s="305">
        <v>0</v>
      </c>
      <c r="K1026" s="305">
        <v>0</v>
      </c>
      <c r="L1026" s="305">
        <v>0</v>
      </c>
      <c r="M1026" s="305">
        <v>-322883.44300000003</v>
      </c>
      <c r="N1026" s="305">
        <v>-135000</v>
      </c>
    </row>
    <row r="1027" spans="2:14" ht="11.25" customHeight="1" x14ac:dyDescent="0.35">
      <c r="B1027" s="244" t="s">
        <v>5060</v>
      </c>
      <c r="C1027" s="245">
        <v>123219</v>
      </c>
      <c r="D1027" s="305">
        <v>-4414509.46</v>
      </c>
      <c r="E1027" s="305">
        <v>-21677.757000000001</v>
      </c>
      <c r="F1027" s="305">
        <v>-43942.773000000001</v>
      </c>
      <c r="G1027" s="305">
        <v>359512.09500000003</v>
      </c>
      <c r="H1027" s="305">
        <v>-266033.74400000001</v>
      </c>
      <c r="I1027" s="305">
        <v>6275.3</v>
      </c>
      <c r="J1027" s="305">
        <v>6196.6660000000002</v>
      </c>
      <c r="K1027" s="305">
        <v>-27119.8</v>
      </c>
      <c r="L1027" s="305">
        <v>-2939.105</v>
      </c>
      <c r="M1027" s="305">
        <v>4349.5600000000004</v>
      </c>
      <c r="N1027" s="305">
        <v>4937.3109999999997</v>
      </c>
    </row>
    <row r="1028" spans="2:14" ht="11.25" customHeight="1" x14ac:dyDescent="0.35">
      <c r="B1028" s="244" t="s">
        <v>4946</v>
      </c>
      <c r="C1028" s="247"/>
      <c r="D1028" s="305"/>
      <c r="E1028" s="305"/>
      <c r="F1028" s="305"/>
      <c r="G1028" s="305"/>
      <c r="H1028" s="305"/>
      <c r="I1028" s="305"/>
      <c r="J1028" s="305"/>
      <c r="K1028" s="305"/>
      <c r="L1028" s="305"/>
      <c r="M1028" s="305"/>
      <c r="N1028" s="305"/>
    </row>
    <row r="1029" spans="2:14" ht="11.25" customHeight="1" x14ac:dyDescent="0.35">
      <c r="B1029" s="244" t="s">
        <v>5246</v>
      </c>
      <c r="C1029" s="245">
        <v>123754</v>
      </c>
      <c r="D1029" s="305">
        <v>5378176.966</v>
      </c>
      <c r="E1029" s="305">
        <v>-21215.705000000002</v>
      </c>
      <c r="F1029" s="305">
        <v>15944.938</v>
      </c>
      <c r="G1029" s="305">
        <v>150786.33000000002</v>
      </c>
      <c r="H1029" s="305">
        <v>27573.154999999999</v>
      </c>
      <c r="I1029" s="305">
        <v>-8491.237000000001</v>
      </c>
      <c r="J1029" s="305">
        <v>7481.4980000000005</v>
      </c>
      <c r="K1029" s="305">
        <v>1140.3489999999999</v>
      </c>
      <c r="L1029" s="305">
        <v>-176.869</v>
      </c>
      <c r="M1029" s="305">
        <v>24434.298999999999</v>
      </c>
      <c r="N1029" s="305">
        <v>1485.9110000000001</v>
      </c>
    </row>
    <row r="1030" spans="2:14" ht="11.25" customHeight="1" x14ac:dyDescent="0.35">
      <c r="B1030" s="244" t="s">
        <v>4946</v>
      </c>
      <c r="C1030" s="247"/>
      <c r="D1030" s="307"/>
      <c r="E1030" s="307"/>
      <c r="F1030" s="307"/>
      <c r="G1030" s="307"/>
      <c r="H1030" s="307"/>
      <c r="I1030" s="307"/>
      <c r="J1030" s="307"/>
      <c r="K1030" s="307"/>
      <c r="L1030" s="307"/>
      <c r="M1030" s="307"/>
      <c r="N1030" s="307"/>
    </row>
    <row r="1031" spans="2:14" ht="11.25" customHeight="1" x14ac:dyDescent="0.35">
      <c r="B1031" s="244" t="s">
        <v>5245</v>
      </c>
      <c r="C1031" s="245">
        <v>123220</v>
      </c>
      <c r="D1031" s="307">
        <v>73.0352003</v>
      </c>
      <c r="E1031" s="307">
        <v>0</v>
      </c>
      <c r="F1031" s="307">
        <v>4.9930573000000003</v>
      </c>
      <c r="G1031" s="307">
        <v>61.573562199999998</v>
      </c>
      <c r="H1031" s="307">
        <v>0</v>
      </c>
      <c r="I1031" s="307">
        <v>90.884743499999999</v>
      </c>
      <c r="J1031" s="307">
        <v>0</v>
      </c>
      <c r="K1031" s="307">
        <v>0</v>
      </c>
      <c r="L1031" s="307">
        <v>0</v>
      </c>
      <c r="M1031" s="307">
        <v>1905.6864255</v>
      </c>
      <c r="N1031" s="307">
        <v>83.882655999999997</v>
      </c>
    </row>
    <row r="1032" spans="2:14" ht="11.25" customHeight="1" x14ac:dyDescent="0.35">
      <c r="B1032" s="244" t="s">
        <v>5244</v>
      </c>
      <c r="C1032" s="245">
        <v>123221</v>
      </c>
      <c r="D1032" s="307">
        <v>8.0079627000000002</v>
      </c>
      <c r="E1032" s="307">
        <v>0</v>
      </c>
      <c r="F1032" s="307">
        <v>3.4701281000000002</v>
      </c>
      <c r="G1032" s="307">
        <v>14.670371400000001</v>
      </c>
      <c r="H1032" s="307">
        <v>0</v>
      </c>
      <c r="I1032" s="307">
        <v>24.315697</v>
      </c>
      <c r="J1032" s="307">
        <v>0</v>
      </c>
      <c r="K1032" s="307">
        <v>0</v>
      </c>
      <c r="L1032" s="307">
        <v>0</v>
      </c>
      <c r="M1032" s="307">
        <v>58.182886799999999</v>
      </c>
      <c r="N1032" s="307">
        <v>23.979356299999999</v>
      </c>
    </row>
    <row r="1033" spans="2:14" ht="11.25" customHeight="1" x14ac:dyDescent="0.35">
      <c r="B1033" s="244" t="s">
        <v>5243</v>
      </c>
      <c r="C1033" s="245">
        <v>123222</v>
      </c>
      <c r="D1033" s="307">
        <v>15.1302392</v>
      </c>
      <c r="E1033" s="307" t="s">
        <v>29</v>
      </c>
      <c r="F1033" s="307" t="s">
        <v>2107</v>
      </c>
      <c r="G1033" s="307">
        <v>53.135208200000001</v>
      </c>
      <c r="H1033" s="307" t="s">
        <v>29</v>
      </c>
      <c r="I1033" s="307">
        <v>6.25</v>
      </c>
      <c r="J1033" s="307" t="s">
        <v>29</v>
      </c>
      <c r="K1033" s="307" t="s">
        <v>29</v>
      </c>
      <c r="L1033" s="307" t="s">
        <v>29</v>
      </c>
      <c r="M1033" s="307" t="s">
        <v>2107</v>
      </c>
      <c r="N1033" s="307">
        <v>-2.1739130000000002</v>
      </c>
    </row>
    <row r="1034" spans="2:14" ht="11.25" customHeight="1" x14ac:dyDescent="0.35">
      <c r="B1034" s="244" t="s">
        <v>4946</v>
      </c>
      <c r="C1034" s="247"/>
      <c r="D1034" s="307"/>
      <c r="E1034" s="307"/>
      <c r="F1034" s="307"/>
      <c r="G1034" s="307"/>
      <c r="H1034" s="307"/>
      <c r="I1034" s="307"/>
      <c r="J1034" s="307"/>
      <c r="K1034" s="307"/>
      <c r="L1034" s="307"/>
      <c r="M1034" s="307"/>
      <c r="N1034" s="307"/>
    </row>
    <row r="1035" spans="2:14" ht="11.25" customHeight="1" x14ac:dyDescent="0.35">
      <c r="B1035" s="246" t="s">
        <v>5242</v>
      </c>
      <c r="C1035" s="247"/>
      <c r="D1035" s="305"/>
      <c r="E1035" s="305"/>
      <c r="F1035" s="305"/>
      <c r="G1035" s="305"/>
      <c r="H1035" s="305"/>
      <c r="I1035" s="305"/>
      <c r="J1035" s="305"/>
      <c r="K1035" s="305"/>
      <c r="L1035" s="305"/>
      <c r="M1035" s="305"/>
      <c r="N1035" s="305"/>
    </row>
    <row r="1036" spans="2:14" ht="11.25" customHeight="1" x14ac:dyDescent="0.35">
      <c r="B1036" s="244" t="s">
        <v>5241</v>
      </c>
      <c r="C1036" s="245">
        <v>123755</v>
      </c>
      <c r="D1036" s="307">
        <v>188.72317039999999</v>
      </c>
      <c r="E1036" s="307">
        <v>53.645305700000002</v>
      </c>
      <c r="F1036" s="307">
        <v>94.118916900000002</v>
      </c>
      <c r="G1036" s="307">
        <v>192.81591760000001</v>
      </c>
      <c r="H1036" s="307">
        <v>77.718244600000006</v>
      </c>
      <c r="I1036" s="307">
        <v>127.2733556</v>
      </c>
      <c r="J1036" s="307">
        <v>101.005872</v>
      </c>
      <c r="K1036" s="307">
        <v>165.62459039999999</v>
      </c>
      <c r="L1036" s="307">
        <v>59.914579699999997</v>
      </c>
      <c r="M1036" s="307">
        <v>20.544966500000001</v>
      </c>
      <c r="N1036" s="307">
        <v>226.9106472</v>
      </c>
    </row>
    <row r="1037" spans="2:14" ht="11.25" customHeight="1" x14ac:dyDescent="0.35">
      <c r="B1037" s="244" t="s">
        <v>5240</v>
      </c>
      <c r="C1037" s="245">
        <v>123756</v>
      </c>
      <c r="D1037" s="307">
        <v>835.89058360000001</v>
      </c>
      <c r="E1037" s="307">
        <v>3488.7029806</v>
      </c>
      <c r="F1037" s="307">
        <v>229.97270109999999</v>
      </c>
      <c r="G1037" s="307">
        <v>638.4130073</v>
      </c>
      <c r="H1037" s="307">
        <v>82.446034699999998</v>
      </c>
      <c r="I1037" s="307">
        <v>979.20523920000005</v>
      </c>
      <c r="J1037" s="307">
        <v>1267.509742</v>
      </c>
      <c r="K1037" s="307">
        <v>1241.3462672000001</v>
      </c>
      <c r="L1037" s="307">
        <v>983.13302680000004</v>
      </c>
      <c r="M1037" s="307">
        <v>237.89046980000001</v>
      </c>
      <c r="N1037" s="307">
        <v>352.08829880000002</v>
      </c>
    </row>
    <row r="1038" spans="2:14" ht="11.25" customHeight="1" x14ac:dyDescent="0.35">
      <c r="B1038" s="244" t="s">
        <v>5239</v>
      </c>
      <c r="C1038" s="245">
        <v>123227</v>
      </c>
      <c r="D1038" s="307">
        <v>984.33644849999996</v>
      </c>
      <c r="E1038" s="307">
        <v>3694.8750795000001</v>
      </c>
      <c r="F1038" s="307">
        <v>267.37733129999998</v>
      </c>
      <c r="G1038" s="307">
        <v>831.49700029999997</v>
      </c>
      <c r="H1038" s="307">
        <v>129.88390820000001</v>
      </c>
      <c r="I1038" s="307">
        <v>1052.4669179</v>
      </c>
      <c r="J1038" s="307">
        <v>1431.3381895</v>
      </c>
      <c r="K1038" s="307">
        <v>1358.6628768999999</v>
      </c>
      <c r="L1038" s="307">
        <v>1027.4995808000001</v>
      </c>
      <c r="M1038" s="307">
        <v>1153.3510636999999</v>
      </c>
      <c r="N1038" s="307">
        <v>415.28650099999999</v>
      </c>
    </row>
    <row r="1039" spans="2:14" ht="11.25" customHeight="1" x14ac:dyDescent="0.35">
      <c r="B1039" s="244" t="s">
        <v>4946</v>
      </c>
      <c r="C1039" s="247"/>
      <c r="D1039" s="307"/>
      <c r="E1039" s="307"/>
      <c r="F1039" s="307"/>
      <c r="G1039" s="307"/>
      <c r="H1039" s="307"/>
      <c r="I1039" s="307"/>
      <c r="J1039" s="307"/>
      <c r="K1039" s="307"/>
      <c r="L1039" s="307"/>
      <c r="M1039" s="307"/>
      <c r="N1039" s="307"/>
    </row>
    <row r="1040" spans="2:14" ht="11.25" customHeight="1" x14ac:dyDescent="0.35">
      <c r="B1040" s="246" t="s">
        <v>5238</v>
      </c>
      <c r="C1040" s="247"/>
      <c r="D1040" s="307"/>
      <c r="E1040" s="307"/>
      <c r="F1040" s="307"/>
      <c r="G1040" s="307"/>
      <c r="H1040" s="307"/>
      <c r="I1040" s="307"/>
      <c r="J1040" s="307"/>
      <c r="K1040" s="307"/>
      <c r="L1040" s="307"/>
      <c r="M1040" s="307"/>
      <c r="N1040" s="307"/>
    </row>
    <row r="1041" spans="2:14" ht="11.25" customHeight="1" x14ac:dyDescent="0.35">
      <c r="B1041" s="244" t="s">
        <v>5237</v>
      </c>
      <c r="C1041" s="245">
        <v>123228</v>
      </c>
      <c r="D1041" s="307">
        <v>2.8698627999999999</v>
      </c>
      <c r="E1041" s="307">
        <v>2.6456688000000002</v>
      </c>
      <c r="F1041" s="307">
        <v>2.7376486</v>
      </c>
      <c r="G1041" s="307">
        <v>2.3295737999999999</v>
      </c>
      <c r="H1041" s="307">
        <v>5.5354136</v>
      </c>
      <c r="I1041" s="307">
        <v>6.8571199999999999E-2</v>
      </c>
      <c r="J1041" s="307">
        <v>7.4273904999999996</v>
      </c>
      <c r="K1041" s="307">
        <v>1.6596879</v>
      </c>
      <c r="L1041" s="307">
        <v>5.5701337999999998</v>
      </c>
      <c r="M1041" s="307">
        <v>2.5390320000000002</v>
      </c>
      <c r="N1041" s="307">
        <v>-0.97043789999999996</v>
      </c>
    </row>
    <row r="1042" spans="2:14" ht="11.25" customHeight="1" x14ac:dyDescent="0.35">
      <c r="B1042" s="244" t="s">
        <v>5236</v>
      </c>
      <c r="C1042" s="245">
        <v>123229</v>
      </c>
      <c r="D1042" s="307">
        <v>79.631663099999997</v>
      </c>
      <c r="E1042" s="307">
        <v>92.627739800000001</v>
      </c>
      <c r="F1042" s="307">
        <v>101.92663640000001</v>
      </c>
      <c r="G1042" s="307">
        <v>107.1789606</v>
      </c>
      <c r="H1042" s="307">
        <v>137.85277149999999</v>
      </c>
      <c r="I1042" s="307">
        <v>81.797044799999995</v>
      </c>
      <c r="J1042" s="307">
        <v>92.277475499999994</v>
      </c>
      <c r="K1042" s="307">
        <v>87.267693899999998</v>
      </c>
      <c r="L1042" s="307">
        <v>102.2278479</v>
      </c>
      <c r="M1042" s="307">
        <v>104.0283933</v>
      </c>
      <c r="N1042" s="307">
        <v>84.597483699999998</v>
      </c>
    </row>
    <row r="1043" spans="2:14" ht="11.25" customHeight="1" x14ac:dyDescent="0.35">
      <c r="B1043" s="244" t="s">
        <v>5235</v>
      </c>
      <c r="C1043" s="245">
        <v>123230</v>
      </c>
      <c r="D1043" s="307">
        <v>28.249105499999999</v>
      </c>
      <c r="E1043" s="307">
        <v>97.754157800000002</v>
      </c>
      <c r="F1043" s="307">
        <v>7.3198517000000001</v>
      </c>
      <c r="G1043" s="307">
        <v>19.370336200000001</v>
      </c>
      <c r="H1043" s="307">
        <v>7.1896114999999998</v>
      </c>
      <c r="I1043" s="307">
        <v>0.72168909999999997</v>
      </c>
      <c r="J1043" s="307">
        <v>106.3110769</v>
      </c>
      <c r="K1043" s="307">
        <v>22.549562999999999</v>
      </c>
      <c r="L1043" s="307">
        <v>57.233101099999999</v>
      </c>
      <c r="M1043" s="307">
        <v>29.283952800000002</v>
      </c>
      <c r="N1043" s="307">
        <v>-4.0300978000000001</v>
      </c>
    </row>
    <row r="1044" spans="2:14" ht="11.25" customHeight="1" x14ac:dyDescent="0.35">
      <c r="B1044" s="244" t="s">
        <v>5234</v>
      </c>
      <c r="C1044" s="245">
        <v>123231</v>
      </c>
      <c r="D1044" s="307">
        <v>95.941457700000001</v>
      </c>
      <c r="E1044" s="307">
        <v>99.298050799999999</v>
      </c>
      <c r="F1044" s="307">
        <v>85.176896400000004</v>
      </c>
      <c r="G1044" s="307">
        <v>90.853153800000001</v>
      </c>
      <c r="H1044" s="307">
        <v>64.520111700000001</v>
      </c>
      <c r="I1044" s="307">
        <v>98.176696100000001</v>
      </c>
      <c r="J1044" s="307">
        <v>96.247871900000007</v>
      </c>
      <c r="K1044" s="307">
        <v>95.929287200000005</v>
      </c>
      <c r="L1044" s="307">
        <v>95.532263200000003</v>
      </c>
      <c r="M1044" s="307">
        <v>95.616394499999998</v>
      </c>
      <c r="N1044" s="307">
        <v>89.542629899999994</v>
      </c>
    </row>
    <row r="1045" spans="2:14" ht="11.25" customHeight="1" x14ac:dyDescent="0.35">
      <c r="B1045" s="244" t="s">
        <v>4998</v>
      </c>
      <c r="C1045" s="245">
        <v>123209</v>
      </c>
      <c r="D1045" s="307">
        <v>43.849951300000001</v>
      </c>
      <c r="E1045" s="307">
        <v>38.667303799999999</v>
      </c>
      <c r="F1045" s="307">
        <v>101.6494606</v>
      </c>
      <c r="G1045" s="307">
        <v>9.8060638000000004</v>
      </c>
      <c r="H1045" s="307">
        <v>83.813777200000004</v>
      </c>
      <c r="I1045" s="307">
        <v>0</v>
      </c>
      <c r="J1045" s="307">
        <v>1.5117315</v>
      </c>
      <c r="K1045" s="307">
        <v>15.553696800000001</v>
      </c>
      <c r="L1045" s="307">
        <v>0</v>
      </c>
      <c r="M1045" s="307">
        <v>0</v>
      </c>
      <c r="N1045" s="307">
        <v>0</v>
      </c>
    </row>
    <row r="1046" spans="2:14" ht="11.25" customHeight="1" x14ac:dyDescent="0.35">
      <c r="B1046" s="244" t="s">
        <v>4946</v>
      </c>
      <c r="C1046" s="247"/>
      <c r="D1046" s="307"/>
      <c r="E1046" s="307"/>
      <c r="F1046" s="307"/>
      <c r="G1046" s="307"/>
      <c r="H1046" s="307"/>
      <c r="I1046" s="307"/>
      <c r="J1046" s="307"/>
      <c r="K1046" s="307"/>
      <c r="L1046" s="307"/>
      <c r="M1046" s="307"/>
      <c r="N1046" s="307"/>
    </row>
    <row r="1047" spans="2:14" ht="11.25" customHeight="1" x14ac:dyDescent="0.35">
      <c r="B1047" s="246" t="s">
        <v>5233</v>
      </c>
      <c r="C1047" s="247"/>
      <c r="D1047" s="307"/>
      <c r="E1047" s="307"/>
      <c r="F1047" s="307"/>
      <c r="G1047" s="307"/>
      <c r="H1047" s="307"/>
      <c r="I1047" s="307"/>
      <c r="J1047" s="307"/>
      <c r="K1047" s="307"/>
      <c r="L1047" s="307"/>
      <c r="M1047" s="307"/>
      <c r="N1047" s="307"/>
    </row>
    <row r="1048" spans="2:14" ht="11.25" customHeight="1" x14ac:dyDescent="0.35">
      <c r="B1048" s="244" t="s">
        <v>5232</v>
      </c>
      <c r="C1048" s="245">
        <v>123233</v>
      </c>
      <c r="D1048" s="307">
        <v>1.4533242</v>
      </c>
      <c r="E1048" s="307">
        <v>1.3367699</v>
      </c>
      <c r="F1048" s="307">
        <v>1.3945472999999999</v>
      </c>
      <c r="G1048" s="307">
        <v>1.3114188</v>
      </c>
      <c r="H1048" s="307">
        <v>1.4726611999999999</v>
      </c>
      <c r="I1048" s="307">
        <v>1.6552340000000001</v>
      </c>
      <c r="J1048" s="307">
        <v>1.4188046999999999</v>
      </c>
      <c r="K1048" s="307">
        <v>1.5543411</v>
      </c>
      <c r="L1048" s="307">
        <v>1.2423085</v>
      </c>
      <c r="M1048" s="307">
        <v>1.4772449999999999</v>
      </c>
      <c r="N1048" s="307">
        <v>1.7550033</v>
      </c>
    </row>
    <row r="1049" spans="2:14" ht="11.25" customHeight="1" x14ac:dyDescent="0.35">
      <c r="B1049" s="244" t="s">
        <v>5231</v>
      </c>
      <c r="C1049" s="245">
        <v>123234</v>
      </c>
      <c r="D1049" s="307">
        <v>4.1633551000000004</v>
      </c>
      <c r="E1049" s="307">
        <v>21.954867499999999</v>
      </c>
      <c r="F1049" s="307">
        <v>2.3073309000000002</v>
      </c>
      <c r="G1049" s="307">
        <v>0.42066890000000001</v>
      </c>
      <c r="H1049" s="307">
        <v>0.6108228</v>
      </c>
      <c r="I1049" s="307">
        <v>1.3320713</v>
      </c>
      <c r="J1049" s="307">
        <v>1.5528487</v>
      </c>
      <c r="K1049" s="307">
        <v>8.7289238999999998</v>
      </c>
      <c r="L1049" s="307">
        <v>5.8760747000000002</v>
      </c>
      <c r="M1049" s="307">
        <v>1.5126869000000001</v>
      </c>
      <c r="N1049" s="307">
        <v>0.3670852</v>
      </c>
    </row>
    <row r="1050" spans="2:14" ht="11.25" customHeight="1" x14ac:dyDescent="0.35">
      <c r="B1050" s="244" t="s">
        <v>5230</v>
      </c>
      <c r="C1050" s="245">
        <v>123235</v>
      </c>
      <c r="D1050" s="307">
        <v>21.716069600000001</v>
      </c>
      <c r="E1050" s="307">
        <v>11.882247400000001</v>
      </c>
      <c r="F1050" s="307">
        <v>83.919661899999994</v>
      </c>
      <c r="G1050" s="307">
        <v>9.3820485999999992</v>
      </c>
      <c r="H1050" s="307">
        <v>78.198361399999996</v>
      </c>
      <c r="I1050" s="307">
        <v>0</v>
      </c>
      <c r="J1050" s="307">
        <v>0.72133650000000005</v>
      </c>
      <c r="K1050" s="307">
        <v>7.9405215</v>
      </c>
      <c r="L1050" s="307">
        <v>26.511898599999999</v>
      </c>
      <c r="M1050" s="307">
        <v>0</v>
      </c>
      <c r="N1050" s="307">
        <v>0</v>
      </c>
    </row>
    <row r="1051" spans="2:14" ht="11.25" customHeight="1" x14ac:dyDescent="0.35">
      <c r="B1051" s="244" t="s">
        <v>5229</v>
      </c>
      <c r="C1051" s="245">
        <v>123236</v>
      </c>
      <c r="D1051" s="307">
        <v>2.5822212000000002</v>
      </c>
      <c r="E1051" s="307">
        <v>0.75382490000000002</v>
      </c>
      <c r="F1051" s="307">
        <v>1.9764188</v>
      </c>
      <c r="G1051" s="307">
        <v>4.5277499999999998E-2</v>
      </c>
      <c r="H1051" s="307">
        <v>1.5451864</v>
      </c>
      <c r="I1051" s="307">
        <v>8.6159858000000007</v>
      </c>
      <c r="J1051" s="307">
        <v>10.374201299999999</v>
      </c>
      <c r="K1051" s="307">
        <v>20.775933899999998</v>
      </c>
      <c r="L1051" s="307">
        <v>16.2812327</v>
      </c>
      <c r="M1051" s="307">
        <v>0</v>
      </c>
      <c r="N1051" s="307">
        <v>3.805428</v>
      </c>
    </row>
    <row r="1052" spans="2:14" ht="11.25" customHeight="1" x14ac:dyDescent="0.35">
      <c r="B1052" s="244" t="s">
        <v>5228</v>
      </c>
      <c r="C1052" s="245">
        <v>123237</v>
      </c>
      <c r="D1052" s="307">
        <v>111.5627197</v>
      </c>
      <c r="E1052" s="307">
        <v>174.45545250000001</v>
      </c>
      <c r="F1052" s="307">
        <v>0</v>
      </c>
      <c r="G1052" s="307">
        <v>1.9370145999999999</v>
      </c>
      <c r="H1052" s="307">
        <v>10.141564499999999</v>
      </c>
      <c r="I1052" s="307">
        <v>75.680787300000006</v>
      </c>
      <c r="J1052" s="307">
        <v>172.60478309999999</v>
      </c>
      <c r="K1052" s="307">
        <v>103.55112870000001</v>
      </c>
      <c r="L1052" s="307">
        <v>12.587944200000001</v>
      </c>
      <c r="M1052" s="307">
        <v>3.1956799</v>
      </c>
      <c r="N1052" s="307">
        <v>59.290421799999997</v>
      </c>
    </row>
    <row r="1053" spans="2:14" ht="11.25" customHeight="1" x14ac:dyDescent="0.35">
      <c r="B1053" s="244" t="s">
        <v>5227</v>
      </c>
      <c r="C1053" s="245">
        <v>123238</v>
      </c>
      <c r="D1053" s="307">
        <v>7.6115199999999994E-2</v>
      </c>
      <c r="E1053" s="307">
        <v>0</v>
      </c>
      <c r="F1053" s="307" t="s">
        <v>29</v>
      </c>
      <c r="G1053" s="307">
        <v>0</v>
      </c>
      <c r="H1053" s="307">
        <v>0</v>
      </c>
      <c r="I1053" s="307">
        <v>0</v>
      </c>
      <c r="J1053" s="307">
        <v>0</v>
      </c>
      <c r="K1053" s="307">
        <v>0</v>
      </c>
      <c r="L1053" s="307">
        <v>0</v>
      </c>
      <c r="M1053" s="307" t="s">
        <v>29</v>
      </c>
      <c r="N1053" s="307">
        <v>0</v>
      </c>
    </row>
    <row r="1054" spans="2:14" ht="11.25" customHeight="1" x14ac:dyDescent="0.35">
      <c r="B1054" s="244" t="s">
        <v>5195</v>
      </c>
      <c r="C1054" s="245">
        <v>123239</v>
      </c>
      <c r="D1054" s="307">
        <v>28.141917100000001</v>
      </c>
      <c r="E1054" s="307">
        <v>13.6536068</v>
      </c>
      <c r="F1054" s="307">
        <v>34.998211099999999</v>
      </c>
      <c r="G1054" s="307">
        <v>32.540555300000001</v>
      </c>
      <c r="H1054" s="307">
        <v>49.168548000000001</v>
      </c>
      <c r="I1054" s="307">
        <v>30.763744500000001</v>
      </c>
      <c r="J1054" s="307">
        <v>29.338456499999999</v>
      </c>
      <c r="K1054" s="307">
        <v>32.387509899999998</v>
      </c>
      <c r="L1054" s="307">
        <v>25.533637500000001</v>
      </c>
      <c r="M1054" s="307">
        <v>15.447906400000001</v>
      </c>
      <c r="N1054" s="307">
        <v>39.122923900000004</v>
      </c>
    </row>
    <row r="1055" spans="2:14" ht="11.25" customHeight="1" x14ac:dyDescent="0.35">
      <c r="B1055" s="244" t="s">
        <v>5226</v>
      </c>
      <c r="C1055" s="245">
        <v>123240</v>
      </c>
      <c r="D1055" s="307">
        <v>219.51810900000001</v>
      </c>
      <c r="E1055" s="307">
        <v>470.48538050000002</v>
      </c>
      <c r="F1055" s="307">
        <v>66.279534900000002</v>
      </c>
      <c r="G1055" s="307">
        <v>290.47048009999997</v>
      </c>
      <c r="H1055" s="307">
        <v>47.977263700000002</v>
      </c>
      <c r="I1055" s="307">
        <v>290.32815269999998</v>
      </c>
      <c r="J1055" s="307">
        <v>373.44874390000001</v>
      </c>
      <c r="K1055" s="307">
        <v>398.62465350000002</v>
      </c>
      <c r="L1055" s="307">
        <v>253.29731649999999</v>
      </c>
      <c r="M1055" s="307">
        <v>184.051208</v>
      </c>
      <c r="N1055" s="307">
        <v>151.3363324</v>
      </c>
    </row>
    <row r="1056" spans="2:14" ht="11.25" customHeight="1" thickBot="1" x14ac:dyDescent="0.4">
      <c r="B1056" s="295"/>
      <c r="C1056" s="330"/>
      <c r="D1056" s="323"/>
      <c r="E1056" s="323"/>
      <c r="F1056" s="323"/>
      <c r="G1056" s="323"/>
      <c r="H1056" s="323"/>
      <c r="I1056" s="323"/>
      <c r="J1056" s="323"/>
      <c r="K1056" s="323"/>
      <c r="L1056" s="323"/>
      <c r="M1056" s="323"/>
      <c r="N1056" s="323"/>
    </row>
    <row r="1057" spans="2:14" ht="11.25" customHeight="1" thickBot="1" x14ac:dyDescent="0.4">
      <c r="B1057" s="265" t="s">
        <v>4999</v>
      </c>
      <c r="C1057" s="253"/>
      <c r="D1057" s="253"/>
      <c r="E1057" s="253"/>
      <c r="F1057" s="253"/>
      <c r="G1057" s="253"/>
      <c r="H1057" s="253"/>
      <c r="I1057" s="253"/>
      <c r="J1057" s="253"/>
      <c r="K1057" s="253"/>
      <c r="L1057" s="253"/>
      <c r="M1057" s="253"/>
      <c r="N1057" s="253"/>
    </row>
    <row r="1058" spans="2:14" ht="11.25" customHeight="1" x14ac:dyDescent="0.4">
      <c r="B1058" s="332" t="s">
        <v>4999</v>
      </c>
      <c r="C1058" s="329"/>
      <c r="D1058" s="322"/>
      <c r="E1058" s="322"/>
      <c r="F1058" s="322"/>
      <c r="G1058" s="322"/>
      <c r="H1058" s="322"/>
      <c r="I1058" s="322"/>
      <c r="J1058" s="322"/>
      <c r="K1058" s="322"/>
      <c r="L1058" s="322"/>
      <c r="M1058" s="322"/>
      <c r="N1058" s="322"/>
    </row>
    <row r="1059" spans="2:14" ht="11.25" customHeight="1" x14ac:dyDescent="0.35">
      <c r="B1059" s="294" t="s">
        <v>5283</v>
      </c>
      <c r="C1059" s="329">
        <v>123675</v>
      </c>
      <c r="D1059" s="305">
        <v>2958790168.4400001</v>
      </c>
      <c r="E1059" s="305">
        <v>18086425.543000001</v>
      </c>
      <c r="F1059" s="305">
        <v>1937744.959</v>
      </c>
      <c r="G1059" s="305">
        <v>69198347.180000007</v>
      </c>
      <c r="H1059" s="305">
        <v>2304908.5210000002</v>
      </c>
      <c r="I1059" s="305">
        <v>7049876.6689999998</v>
      </c>
      <c r="J1059" s="305">
        <v>6098253.125</v>
      </c>
      <c r="K1059" s="305">
        <v>4059057.95</v>
      </c>
      <c r="L1059" s="305">
        <v>211374.92800000001</v>
      </c>
      <c r="M1059" s="305">
        <v>641025.61199999996</v>
      </c>
      <c r="N1059" s="305">
        <v>1996546.0870000001</v>
      </c>
    </row>
    <row r="1060" spans="2:14" ht="11.25" customHeight="1" x14ac:dyDescent="0.35">
      <c r="B1060" s="294" t="s">
        <v>5282</v>
      </c>
      <c r="C1060" s="329">
        <v>123676</v>
      </c>
      <c r="D1060" s="307">
        <v>3.4991924999999999</v>
      </c>
      <c r="E1060" s="307">
        <v>1.0340434000000001</v>
      </c>
      <c r="F1060" s="307">
        <v>-24.529137299999999</v>
      </c>
      <c r="G1060" s="307">
        <v>-4.4348618000000002</v>
      </c>
      <c r="H1060" s="307">
        <v>9.4177227000000006</v>
      </c>
      <c r="I1060" s="307">
        <v>-0.3455317</v>
      </c>
      <c r="J1060" s="307">
        <v>4.6463036999999998</v>
      </c>
      <c r="K1060" s="307">
        <v>-0.25396730000000001</v>
      </c>
      <c r="L1060" s="307">
        <v>2.2638932999999999</v>
      </c>
      <c r="M1060" s="307">
        <v>7.6112931000000001</v>
      </c>
      <c r="N1060" s="307">
        <v>5.8763284000000002</v>
      </c>
    </row>
    <row r="1061" spans="2:14" ht="11.25" customHeight="1" x14ac:dyDescent="0.35">
      <c r="B1061" s="294" t="s">
        <v>5281</v>
      </c>
      <c r="C1061" s="329">
        <v>123678</v>
      </c>
      <c r="D1061" s="305">
        <v>5380100436.8330002</v>
      </c>
      <c r="E1061" s="305">
        <v>18086425.543000001</v>
      </c>
      <c r="F1061" s="305">
        <v>1937744.959</v>
      </c>
      <c r="G1061" s="305">
        <v>69198347.180000007</v>
      </c>
      <c r="H1061" s="305">
        <v>2304908.5210000002</v>
      </c>
      <c r="I1061" s="305">
        <v>7049876.6689999998</v>
      </c>
      <c r="J1061" s="305">
        <v>7205255.9400000004</v>
      </c>
      <c r="K1061" s="305">
        <v>4064651.7239999999</v>
      </c>
      <c r="L1061" s="305">
        <v>211374.92800000001</v>
      </c>
      <c r="M1061" s="305">
        <v>641025.61199999996</v>
      </c>
      <c r="N1061" s="305">
        <v>1996546.0870000001</v>
      </c>
    </row>
    <row r="1062" spans="2:14" ht="11.25" customHeight="1" x14ac:dyDescent="0.35">
      <c r="B1062" s="294" t="s">
        <v>5280</v>
      </c>
      <c r="C1062" s="329">
        <v>123677</v>
      </c>
      <c r="D1062" s="307">
        <v>3.7483181000000001</v>
      </c>
      <c r="E1062" s="307">
        <v>1.0340434000000001</v>
      </c>
      <c r="F1062" s="307">
        <v>-24.529137299999999</v>
      </c>
      <c r="G1062" s="307">
        <v>-4.7049956999999996</v>
      </c>
      <c r="H1062" s="307">
        <v>9.4177227000000006</v>
      </c>
      <c r="I1062" s="307">
        <v>-0.3455317</v>
      </c>
      <c r="J1062" s="307">
        <v>2.6577594000000002</v>
      </c>
      <c r="K1062" s="307">
        <v>-0.36934299999999998</v>
      </c>
      <c r="L1062" s="307">
        <v>2.2638932999999999</v>
      </c>
      <c r="M1062" s="307">
        <v>7.6112931000000001</v>
      </c>
      <c r="N1062" s="307">
        <v>5.8763284000000002</v>
      </c>
    </row>
    <row r="1063" spans="2:14" ht="11.25" customHeight="1" x14ac:dyDescent="0.35">
      <c r="B1063" s="294" t="s">
        <v>4960</v>
      </c>
      <c r="C1063" s="329">
        <v>123679</v>
      </c>
      <c r="D1063" s="307">
        <v>835.89058360000001</v>
      </c>
      <c r="E1063" s="307">
        <v>3488.7029806</v>
      </c>
      <c r="F1063" s="307">
        <v>229.97270109999999</v>
      </c>
      <c r="G1063" s="307">
        <v>638.4130073</v>
      </c>
      <c r="H1063" s="307">
        <v>82.446034699999998</v>
      </c>
      <c r="I1063" s="307">
        <v>979.20523920000005</v>
      </c>
      <c r="J1063" s="307">
        <v>1267.509742</v>
      </c>
      <c r="K1063" s="307">
        <v>1241.3462672000001</v>
      </c>
      <c r="L1063" s="307">
        <v>983.13302680000004</v>
      </c>
      <c r="M1063" s="307">
        <v>237.89046980000001</v>
      </c>
      <c r="N1063" s="307">
        <v>352.08829880000002</v>
      </c>
    </row>
    <row r="1064" spans="2:14" ht="11.25" customHeight="1" x14ac:dyDescent="0.35">
      <c r="B1064" s="294" t="s">
        <v>4946</v>
      </c>
      <c r="C1064" s="329"/>
      <c r="D1064" s="322"/>
      <c r="E1064" s="322"/>
      <c r="F1064" s="322"/>
      <c r="G1064" s="322"/>
      <c r="H1064" s="322"/>
      <c r="I1064" s="322"/>
      <c r="J1064" s="322"/>
      <c r="K1064" s="322"/>
      <c r="L1064" s="322"/>
      <c r="M1064" s="322"/>
      <c r="N1064" s="322"/>
    </row>
    <row r="1065" spans="2:14" ht="11.25" customHeight="1" x14ac:dyDescent="0.4">
      <c r="B1065" s="332" t="s">
        <v>5486</v>
      </c>
      <c r="C1065" s="329"/>
      <c r="D1065" s="322"/>
      <c r="E1065" s="322"/>
      <c r="F1065" s="322"/>
      <c r="G1065" s="322"/>
      <c r="H1065" s="322"/>
      <c r="I1065" s="322"/>
      <c r="J1065" s="322"/>
      <c r="K1065" s="322"/>
      <c r="L1065" s="322"/>
      <c r="M1065" s="322"/>
      <c r="N1065" s="322"/>
    </row>
    <row r="1066" spans="2:14" ht="11.25" customHeight="1" x14ac:dyDescent="0.35">
      <c r="B1066" s="294" t="s">
        <v>5279</v>
      </c>
      <c r="C1066" s="329"/>
      <c r="D1066" s="305">
        <f>IF(LEFT(D$6,4)&gt;"2018",SUM(D1076:D1077),D1071)</f>
        <v>1060702491.2440001</v>
      </c>
      <c r="E1066" s="305">
        <f>IF(LEFT(E$6,4)&gt;"2018",SUM(E1076:E1077),E1071)</f>
        <v>163308.476</v>
      </c>
      <c r="F1066" s="305">
        <f>IF(LEFT(F$6,4)&gt;"2018",SUM(F1076:F1077),F1071)</f>
        <v>1861289.1300000001</v>
      </c>
      <c r="G1066" s="305">
        <f>IF(LEFT(G$6,4)&gt;"2018",SUM(G1076:G1077),G1071)</f>
        <v>16993769.718000002</v>
      </c>
      <c r="H1066" s="305">
        <f>IF(LEFT(H$6,4)&gt;"2018",SUM(H1076:H1077),H1071)</f>
        <v>0</v>
      </c>
      <c r="I1066" s="305">
        <f>IF(LEFT(I$6,4)&gt;"2018",SUM(I1076:I1077),I1071)</f>
        <v>1334325.4550000001</v>
      </c>
      <c r="J1066" s="305">
        <f>IF(LEFT(J$6,4)&gt;"2018",SUM(J1076:J1077),J1071)</f>
        <v>636677.42700000003</v>
      </c>
      <c r="K1066" s="305">
        <f>IF(LEFT(K$6,4)&gt;"2018",SUM(K1076:K1077),K1071)</f>
        <v>327699.77100000001</v>
      </c>
      <c r="L1066" s="305">
        <f>IF(LEFT(L$6,4)&gt;"2018",SUM(L1076:L1077),L1071)</f>
        <v>32614.726999999999</v>
      </c>
      <c r="M1066" s="305">
        <f>IF(LEFT(M$6,4)&gt;"2018",SUM(M1076:M1077),M1071)</f>
        <v>41873.792000000001</v>
      </c>
      <c r="N1066" s="305">
        <f>IF(LEFT(N$6,4)&gt;"2018",SUM(N1076:N1077),N1071)</f>
        <v>986042.55200000003</v>
      </c>
    </row>
    <row r="1067" spans="2:14" ht="11.25" customHeight="1" x14ac:dyDescent="0.35">
      <c r="B1067" s="294" t="s">
        <v>5129</v>
      </c>
      <c r="C1067" s="329"/>
      <c r="D1067" s="305">
        <f>IF(LEFT(D$6,4)&gt;"2018",SUM(D1078:D1079),D1072)</f>
        <v>1389633518.049</v>
      </c>
      <c r="E1067" s="305">
        <f>IF(LEFT(E$6,4)&gt;"2018",SUM(E1078:E1079),E1072)</f>
        <v>10444689.988</v>
      </c>
      <c r="F1067" s="305">
        <f>IF(LEFT(F$6,4)&gt;"2018",SUM(F1078:F1079),F1072)</f>
        <v>58333.785000000003</v>
      </c>
      <c r="G1067" s="305">
        <f>IF(LEFT(G$6,4)&gt;"2018",SUM(G1078:G1079),G1072)</f>
        <v>3329484.514</v>
      </c>
      <c r="H1067" s="305">
        <f>IF(LEFT(H$6,4)&gt;"2018",SUM(H1078:H1079),H1072)</f>
        <v>0</v>
      </c>
      <c r="I1067" s="305">
        <f>IF(LEFT(I$6,4)&gt;"2018",SUM(I1078:I1079),I1072)</f>
        <v>734604.53099999996</v>
      </c>
      <c r="J1067" s="305">
        <f>IF(LEFT(J$6,4)&gt;"2018",SUM(J1078:J1079),J1072)</f>
        <v>3336257.8429999999</v>
      </c>
      <c r="K1067" s="305">
        <f>IF(LEFT(K$6,4)&gt;"2018",SUM(K1078:K1079),K1072)</f>
        <v>665272.05200000003</v>
      </c>
      <c r="L1067" s="305">
        <f>IF(LEFT(L$6,4)&gt;"2018",SUM(L1078:L1079),L1072)</f>
        <v>33057.81</v>
      </c>
      <c r="M1067" s="305">
        <f>IF(LEFT(M$6,4)&gt;"2018",SUM(M1078:M1079),M1072)</f>
        <v>0</v>
      </c>
      <c r="N1067" s="305">
        <f>IF(LEFT(N$6,4)&gt;"2018",SUM(N1078:N1079),N1072)</f>
        <v>27.974</v>
      </c>
    </row>
    <row r="1068" spans="2:14" ht="11.25" customHeight="1" x14ac:dyDescent="0.35">
      <c r="B1068" s="294" t="s">
        <v>5278</v>
      </c>
      <c r="C1068" s="329"/>
      <c r="D1068" s="305">
        <f>IF(LEFT(D$6,4)&gt;"2018",D1080,D1073)</f>
        <v>223549835.889</v>
      </c>
      <c r="E1068" s="305">
        <f>IF(LEFT(E$6,4)&gt;"2018",E1080,E1073)</f>
        <v>5697091.9979999997</v>
      </c>
      <c r="F1068" s="305">
        <f>IF(LEFT(F$6,4)&gt;"2018",F1080,F1073)</f>
        <v>2185.4450000000002</v>
      </c>
      <c r="G1068" s="305">
        <f>IF(LEFT(G$6,4)&gt;"2018",G1080,G1073)</f>
        <v>48662739.351999998</v>
      </c>
      <c r="H1068" s="305">
        <f>IF(LEFT(H$6,4)&gt;"2018",H1080,H1073)</f>
        <v>2308582.4819999998</v>
      </c>
      <c r="I1068" s="305">
        <f>IF(LEFT(I$6,4)&gt;"2018",I1080,I1073)</f>
        <v>4970364.9029999999</v>
      </c>
      <c r="J1068" s="305">
        <f>IF(LEFT(J$6,4)&gt;"2018",J1080,J1073)</f>
        <v>1953579.8740000001</v>
      </c>
      <c r="K1068" s="305">
        <f>IF(LEFT(K$6,4)&gt;"2018",K1080,K1073)</f>
        <v>2311104.4930000002</v>
      </c>
      <c r="L1068" s="305">
        <f>IF(LEFT(L$6,4)&gt;"2018",L1080,L1073)</f>
        <v>144540.057</v>
      </c>
      <c r="M1068" s="305">
        <f>IF(LEFT(M$6,4)&gt;"2018",M1080,M1073)</f>
        <v>599151.81900000002</v>
      </c>
      <c r="N1068" s="305">
        <f>IF(LEFT(N$6,4)&gt;"2018",N1080,N1073)</f>
        <v>1010475.566</v>
      </c>
    </row>
    <row r="1069" spans="2:14" ht="11.25" customHeight="1" x14ac:dyDescent="0.35">
      <c r="B1069" s="294" t="s">
        <v>5391</v>
      </c>
      <c r="C1069" s="329"/>
      <c r="D1069" s="305">
        <f>IF(LEFT(D$6,4)&gt;"2018","NA",D1074)</f>
        <v>17291012.626000002</v>
      </c>
      <c r="E1069" s="305">
        <f>IF(LEFT(E$6,4)&gt;"2018","NA",E1074)</f>
        <v>0</v>
      </c>
      <c r="F1069" s="305">
        <f>IF(LEFT(F$6,4)&gt;"2018","NA",F1074)</f>
        <v>2451.1849999999999</v>
      </c>
      <c r="G1069" s="305">
        <f>IF(LEFT(G$6,4)&gt;"2018","NA",G1074)</f>
        <v>0</v>
      </c>
      <c r="H1069" s="305">
        <f>IF(LEFT(H$6,4)&gt;"2018","NA",H1074)</f>
        <v>0</v>
      </c>
      <c r="I1069" s="305">
        <f>IF(LEFT(I$6,4)&gt;"2018","NA",I1074)</f>
        <v>167.45500000000001</v>
      </c>
      <c r="J1069" s="305">
        <f>IF(LEFT(J$6,4)&gt;"2018","NA",J1074)</f>
        <v>48994.154000000002</v>
      </c>
      <c r="K1069" s="305">
        <f>IF(LEFT(K$6,4)&gt;"2018","NA",K1074)</f>
        <v>46775.811000000002</v>
      </c>
      <c r="L1069" s="305">
        <f>IF(LEFT(L$6,4)&gt;"2018","NA",L1074)</f>
        <v>421.416</v>
      </c>
      <c r="M1069" s="305">
        <f>IF(LEFT(M$6,4)&gt;"2018","NA",M1074)</f>
        <v>0</v>
      </c>
      <c r="N1069" s="305">
        <f>IF(LEFT(N$6,4)&gt;"2018","NA",N1074)</f>
        <v>0</v>
      </c>
    </row>
    <row r="1070" spans="2:14" ht="11.25" customHeight="1" x14ac:dyDescent="0.35">
      <c r="B1070" s="294" t="s">
        <v>4946</v>
      </c>
      <c r="C1070" s="329"/>
      <c r="D1070" s="305"/>
      <c r="E1070" s="305"/>
      <c r="F1070" s="305"/>
      <c r="G1070" s="305"/>
      <c r="H1070" s="305"/>
      <c r="I1070" s="305"/>
      <c r="J1070" s="305"/>
      <c r="K1070" s="305"/>
      <c r="L1070" s="305"/>
      <c r="M1070" s="305"/>
      <c r="N1070" s="305"/>
    </row>
    <row r="1071" spans="2:14" ht="11.25" hidden="1" customHeight="1" outlineLevel="1" x14ac:dyDescent="0.35">
      <c r="B1071" s="294" t="s">
        <v>5279</v>
      </c>
      <c r="C1071" s="329">
        <v>123680</v>
      </c>
      <c r="D1071" s="305">
        <v>1060702491.2440001</v>
      </c>
      <c r="E1071" s="305">
        <v>163308.476</v>
      </c>
      <c r="F1071" s="305">
        <v>1861289.1300000001</v>
      </c>
      <c r="G1071" s="305">
        <v>16993769.718000002</v>
      </c>
      <c r="H1071" s="305">
        <v>0</v>
      </c>
      <c r="I1071" s="305">
        <v>1334325.4550000001</v>
      </c>
      <c r="J1071" s="305">
        <v>636677.42700000003</v>
      </c>
      <c r="K1071" s="305">
        <v>327699.77100000001</v>
      </c>
      <c r="L1071" s="305">
        <v>32614.726999999999</v>
      </c>
      <c r="M1071" s="305">
        <v>41873.792000000001</v>
      </c>
      <c r="N1071" s="305">
        <v>986042.55200000003</v>
      </c>
    </row>
    <row r="1072" spans="2:14" ht="11.25" hidden="1" customHeight="1" outlineLevel="1" x14ac:dyDescent="0.35">
      <c r="B1072" s="294" t="s">
        <v>5129</v>
      </c>
      <c r="C1072" s="329">
        <v>123681</v>
      </c>
      <c r="D1072" s="305">
        <v>1389633518.049</v>
      </c>
      <c r="E1072" s="305">
        <v>10444689.988</v>
      </c>
      <c r="F1072" s="305">
        <v>58333.785000000003</v>
      </c>
      <c r="G1072" s="305">
        <v>3329484.514</v>
      </c>
      <c r="H1072" s="305">
        <v>0</v>
      </c>
      <c r="I1072" s="305">
        <v>734604.53099999996</v>
      </c>
      <c r="J1072" s="305">
        <v>3336257.8429999999</v>
      </c>
      <c r="K1072" s="305">
        <v>665272.05200000003</v>
      </c>
      <c r="L1072" s="305">
        <v>33057.81</v>
      </c>
      <c r="M1072" s="305">
        <v>0</v>
      </c>
      <c r="N1072" s="305">
        <v>27.974</v>
      </c>
    </row>
    <row r="1073" spans="2:35" ht="11.25" hidden="1" customHeight="1" outlineLevel="1" x14ac:dyDescent="0.35">
      <c r="B1073" s="294" t="s">
        <v>5278</v>
      </c>
      <c r="C1073" s="329">
        <v>123682</v>
      </c>
      <c r="D1073" s="305">
        <v>223549835.889</v>
      </c>
      <c r="E1073" s="305">
        <v>5697091.9979999997</v>
      </c>
      <c r="F1073" s="305">
        <v>2185.4450000000002</v>
      </c>
      <c r="G1073" s="305">
        <v>48662739.351999998</v>
      </c>
      <c r="H1073" s="305">
        <v>2308582.4819999998</v>
      </c>
      <c r="I1073" s="305">
        <v>4970364.9029999999</v>
      </c>
      <c r="J1073" s="305">
        <v>1953579.8740000001</v>
      </c>
      <c r="K1073" s="305">
        <v>2311104.4930000002</v>
      </c>
      <c r="L1073" s="305">
        <v>144540.057</v>
      </c>
      <c r="M1073" s="305">
        <v>599151.81900000002</v>
      </c>
      <c r="N1073" s="305">
        <v>1010475.566</v>
      </c>
    </row>
    <row r="1074" spans="2:35" ht="11.25" hidden="1" customHeight="1" outlineLevel="1" x14ac:dyDescent="0.55000000000000004">
      <c r="B1074" s="294" t="s">
        <v>5391</v>
      </c>
      <c r="C1074" s="329">
        <v>123683</v>
      </c>
      <c r="D1074" s="305">
        <v>17291012.626000002</v>
      </c>
      <c r="E1074" s="305">
        <v>0</v>
      </c>
      <c r="F1074" s="305">
        <v>2451.1849999999999</v>
      </c>
      <c r="G1074" s="305">
        <v>0</v>
      </c>
      <c r="H1074" s="305">
        <v>0</v>
      </c>
      <c r="I1074" s="305">
        <v>167.45500000000001</v>
      </c>
      <c r="J1074" s="305">
        <v>48994.154000000002</v>
      </c>
      <c r="K1074" s="305">
        <v>46775.811000000002</v>
      </c>
      <c r="L1074" s="305">
        <v>421.416</v>
      </c>
      <c r="M1074" s="305">
        <v>0</v>
      </c>
      <c r="N1074" s="305">
        <v>0</v>
      </c>
      <c r="U1074" s="396" t="str">
        <f ca="1">[1]!snltable(287,$Y$1074:$AI$1074,$V$1076:$V$1138,$W$1076:$W$1138,,"Options:Curr=USD, Mag=Thousands, ConvMethod=SNLrecommended")</f>
        <v>SNLTable</v>
      </c>
      <c r="V1074" s="397"/>
      <c r="W1074" s="397"/>
      <c r="X1074" s="397"/>
      <c r="Y1074" s="298" t="str">
        <f ca="1">IF(Entity_Code="","",Entity_Code)</f>
        <v>I36</v>
      </c>
      <c r="Z1074" s="298" t="str">
        <f ca="1">IF(Entity_C1="","",Entity_C1)</f>
        <v>C2874</v>
      </c>
      <c r="AA1074" s="298" t="str">
        <f ca="1">IF(Entity_C2="","",Entity_C2)</f>
        <v>C5004</v>
      </c>
      <c r="AB1074" s="298" t="str">
        <f ca="1">IF(Entity_C3="","",Entity_C3)</f>
        <v>C2093</v>
      </c>
      <c r="AC1074" s="298" t="str">
        <f ca="1">IF(Entity_C4="","",Entity_C4)</f>
        <v>C2623</v>
      </c>
      <c r="AD1074" s="298" t="str">
        <f ca="1">IF(Entity_C5="","",Entity_C5)</f>
        <v>C3048</v>
      </c>
      <c r="AE1074" s="298" t="str">
        <f ca="1">IF(Entity_C6="","",Entity_C6)</f>
        <v>C2409</v>
      </c>
      <c r="AF1074" s="298" t="str">
        <f ca="1">IF(Entity_C7="","",Entity_C7)</f>
        <v>C2921</v>
      </c>
      <c r="AG1074" s="298" t="str">
        <f ca="1">IF(Entity_C8="","",Entity_C8)</f>
        <v>C2284</v>
      </c>
      <c r="AH1074" s="298" t="str">
        <f ca="1">IF(Entity_C9="","",Entity_C9)</f>
        <v>C3613</v>
      </c>
      <c r="AI1074" s="298" t="str">
        <f ca="1">IF(Entity_C10="","",Entity_C10)</f>
        <v>C2253</v>
      </c>
    </row>
    <row r="1075" spans="2:35" ht="11.25" hidden="1" customHeight="1" outlineLevel="1" x14ac:dyDescent="0.55000000000000004">
      <c r="B1075" s="294"/>
      <c r="C1075" s="329"/>
      <c r="D1075" s="305"/>
      <c r="E1075" s="305"/>
      <c r="F1075" s="305"/>
      <c r="G1075" s="305"/>
      <c r="H1075" s="305"/>
      <c r="I1075" s="305"/>
      <c r="J1075" s="305"/>
      <c r="K1075" s="305"/>
      <c r="L1075" s="305"/>
      <c r="M1075" s="305"/>
      <c r="N1075" s="305"/>
      <c r="U1075" s="403"/>
      <c r="V1075" s="400"/>
      <c r="W1075" s="400"/>
      <c r="X1075" s="400"/>
      <c r="Y1075" s="402"/>
      <c r="Z1075" s="402"/>
      <c r="AA1075" s="402"/>
      <c r="AB1075" s="402"/>
      <c r="AC1075" s="402"/>
      <c r="AD1075" s="402"/>
      <c r="AE1075" s="402"/>
      <c r="AF1075" s="402"/>
      <c r="AG1075" s="402"/>
      <c r="AH1075" s="402"/>
      <c r="AI1075" s="402"/>
    </row>
    <row r="1076" spans="2:35" ht="11.25" hidden="1" customHeight="1" outlineLevel="1" x14ac:dyDescent="0.35">
      <c r="B1076" s="294" t="s">
        <v>5502</v>
      </c>
      <c r="C1076" s="329"/>
      <c r="D1076" s="305" t="str">
        <f>IF(Y1076="","",Y1076)</f>
        <v>NA</v>
      </c>
      <c r="E1076" s="305" t="str">
        <f>IF(Z1076="","",Z1076)</f>
        <v>NA</v>
      </c>
      <c r="F1076" s="305" t="str">
        <f>IF(AA1076="","",AA1076)</f>
        <v>NA</v>
      </c>
      <c r="G1076" s="305" t="str">
        <f>IF(AB1076="","",AB1076)</f>
        <v>NA</v>
      </c>
      <c r="H1076" s="305" t="str">
        <f>IF(AC1076="","",AC1076)</f>
        <v>NA</v>
      </c>
      <c r="I1076" s="305" t="str">
        <f>IF(AD1076="","",AD1076)</f>
        <v>NA</v>
      </c>
      <c r="J1076" s="305" t="str">
        <f>IF(AE1076="","",AE1076)</f>
        <v>NA</v>
      </c>
      <c r="K1076" s="305" t="str">
        <f>IF(AF1076="","",AF1076)</f>
        <v>NA</v>
      </c>
      <c r="L1076" s="305" t="str">
        <f>IF(AG1076="","",AG1076)</f>
        <v>NA</v>
      </c>
      <c r="M1076" s="305" t="str">
        <f>IF(AH1076="","",AH1076)</f>
        <v>NA</v>
      </c>
      <c r="N1076" s="305" t="str">
        <f>IF(AI1076="","",AI1076)</f>
        <v>NA</v>
      </c>
      <c r="U1076" s="431" t="s">
        <v>5502</v>
      </c>
      <c r="V1076" s="432">
        <v>324925</v>
      </c>
      <c r="W1076" s="432" t="str">
        <f>Period</f>
        <v>2014Y</v>
      </c>
      <c r="X1076" s="433" t="str">
        <f>[1]!SNLLabel(287,324925,,"&lt;&gt;322","Options:Curr=Reported currency,Mag=MIstandard,ConvMethod=MIrecommended")</f>
        <v>AR: Total Individual Life</v>
      </c>
      <c r="Y1076" s="440" t="s">
        <v>29</v>
      </c>
      <c r="Z1076" s="440" t="s">
        <v>29</v>
      </c>
      <c r="AA1076" s="440" t="s">
        <v>29</v>
      </c>
      <c r="AB1076" s="440" t="s">
        <v>29</v>
      </c>
      <c r="AC1076" s="440" t="s">
        <v>29</v>
      </c>
      <c r="AD1076" s="440" t="s">
        <v>29</v>
      </c>
      <c r="AE1076" s="440" t="s">
        <v>29</v>
      </c>
      <c r="AF1076" s="440" t="s">
        <v>29</v>
      </c>
      <c r="AG1076" s="440" t="s">
        <v>29</v>
      </c>
      <c r="AH1076" s="440" t="s">
        <v>29</v>
      </c>
      <c r="AI1076" s="440" t="s">
        <v>29</v>
      </c>
    </row>
    <row r="1077" spans="2:35" ht="11.25" hidden="1" customHeight="1" outlineLevel="1" x14ac:dyDescent="0.35">
      <c r="B1077" s="294" t="s">
        <v>5502</v>
      </c>
      <c r="C1077" s="329"/>
      <c r="D1077" s="305" t="str">
        <f>IF(Y1077="","",Y1077)</f>
        <v>NA</v>
      </c>
      <c r="E1077" s="305" t="str">
        <f>IF(Z1077="","",Z1077)</f>
        <v>NA</v>
      </c>
      <c r="F1077" s="305" t="str">
        <f>IF(AA1077="","",AA1077)</f>
        <v>NA</v>
      </c>
      <c r="G1077" s="305" t="str">
        <f>IF(AB1077="","",AB1077)</f>
        <v>NA</v>
      </c>
      <c r="H1077" s="305" t="str">
        <f>IF(AC1077="","",AC1077)</f>
        <v>NA</v>
      </c>
      <c r="I1077" s="305" t="str">
        <f>IF(AD1077="","",AD1077)</f>
        <v>NA</v>
      </c>
      <c r="J1077" s="305" t="str">
        <f>IF(AE1077="","",AE1077)</f>
        <v>NA</v>
      </c>
      <c r="K1077" s="305" t="str">
        <f>IF(AF1077="","",AF1077)</f>
        <v>NA</v>
      </c>
      <c r="L1077" s="305" t="str">
        <f>IF(AG1077="","",AG1077)</f>
        <v>NA</v>
      </c>
      <c r="M1077" s="305" t="str">
        <f>IF(AH1077="","",AH1077)</f>
        <v>NA</v>
      </c>
      <c r="N1077" s="305" t="str">
        <f>IF(AI1077="","",AI1077)</f>
        <v>NA</v>
      </c>
      <c r="U1077" s="428" t="s">
        <v>5502</v>
      </c>
      <c r="V1077" s="429">
        <v>324925</v>
      </c>
      <c r="W1077" s="429" t="str">
        <f>Period</f>
        <v>2014Y</v>
      </c>
      <c r="X1077" s="430" t="str">
        <f>[1]!SNLLabel(287,324925,,"&lt;&gt;334","Options:Curr=Reported currency,Mag=MIstandard,ConvMethod=MIrecommended")</f>
        <v>AR: Total Group Life</v>
      </c>
      <c r="Y1077" s="441" t="s">
        <v>29</v>
      </c>
      <c r="Z1077" s="441" t="s">
        <v>29</v>
      </c>
      <c r="AA1077" s="441" t="s">
        <v>29</v>
      </c>
      <c r="AB1077" s="441" t="s">
        <v>29</v>
      </c>
      <c r="AC1077" s="441" t="s">
        <v>29</v>
      </c>
      <c r="AD1077" s="441" t="s">
        <v>29</v>
      </c>
      <c r="AE1077" s="441" t="s">
        <v>29</v>
      </c>
      <c r="AF1077" s="441" t="s">
        <v>29</v>
      </c>
      <c r="AG1077" s="441" t="s">
        <v>29</v>
      </c>
      <c r="AH1077" s="441" t="s">
        <v>29</v>
      </c>
      <c r="AI1077" s="441" t="s">
        <v>29</v>
      </c>
    </row>
    <row r="1078" spans="2:35" ht="11.25" hidden="1" customHeight="1" outlineLevel="1" x14ac:dyDescent="0.35">
      <c r="B1078" s="294" t="s">
        <v>5502</v>
      </c>
      <c r="C1078" s="329"/>
      <c r="D1078" s="305" t="str">
        <f>IF(Y1078="","",Y1078)</f>
        <v>NA</v>
      </c>
      <c r="E1078" s="305" t="str">
        <f>IF(Z1078="","",Z1078)</f>
        <v>NA</v>
      </c>
      <c r="F1078" s="305" t="str">
        <f>IF(AA1078="","",AA1078)</f>
        <v>NA</v>
      </c>
      <c r="G1078" s="305" t="str">
        <f>IF(AB1078="","",AB1078)</f>
        <v>NA</v>
      </c>
      <c r="H1078" s="305" t="str">
        <f>IF(AC1078="","",AC1078)</f>
        <v>NA</v>
      </c>
      <c r="I1078" s="305" t="str">
        <f>IF(AD1078="","",AD1078)</f>
        <v>NA</v>
      </c>
      <c r="J1078" s="305" t="str">
        <f>IF(AE1078="","",AE1078)</f>
        <v>NA</v>
      </c>
      <c r="K1078" s="305" t="str">
        <f>IF(AF1078="","",AF1078)</f>
        <v>NA</v>
      </c>
      <c r="L1078" s="305" t="str">
        <f>IF(AG1078="","",AG1078)</f>
        <v>NA</v>
      </c>
      <c r="M1078" s="305" t="str">
        <f>IF(AH1078="","",AH1078)</f>
        <v>NA</v>
      </c>
      <c r="N1078" s="305" t="str">
        <f>IF(AI1078="","",AI1078)</f>
        <v>NA</v>
      </c>
      <c r="U1078" s="428" t="s">
        <v>5502</v>
      </c>
      <c r="V1078" s="429">
        <v>324925</v>
      </c>
      <c r="W1078" s="429" t="str">
        <f>Period</f>
        <v>2014Y</v>
      </c>
      <c r="X1078" s="430" t="str">
        <f>[1]!SNLLabel(287,324925,,"&lt;&gt;343","Options:Curr=Reported currency,Mag=MIstandard,ConvMethod=MIrecommended")</f>
        <v>AR: Total Individual Annuities</v>
      </c>
      <c r="Y1078" s="441" t="s">
        <v>29</v>
      </c>
      <c r="Z1078" s="441" t="s">
        <v>29</v>
      </c>
      <c r="AA1078" s="441" t="s">
        <v>29</v>
      </c>
      <c r="AB1078" s="441" t="s">
        <v>29</v>
      </c>
      <c r="AC1078" s="441" t="s">
        <v>29</v>
      </c>
      <c r="AD1078" s="441" t="s">
        <v>29</v>
      </c>
      <c r="AE1078" s="441" t="s">
        <v>29</v>
      </c>
      <c r="AF1078" s="441" t="s">
        <v>29</v>
      </c>
      <c r="AG1078" s="441" t="s">
        <v>29</v>
      </c>
      <c r="AH1078" s="441" t="s">
        <v>29</v>
      </c>
      <c r="AI1078" s="441" t="s">
        <v>29</v>
      </c>
    </row>
    <row r="1079" spans="2:35" ht="11.25" hidden="1" customHeight="1" outlineLevel="1" x14ac:dyDescent="0.35">
      <c r="B1079" s="294" t="s">
        <v>5502</v>
      </c>
      <c r="C1079" s="329"/>
      <c r="D1079" s="305" t="str">
        <f>IF(Y1079="","",Y1079)</f>
        <v>NA</v>
      </c>
      <c r="E1079" s="305" t="str">
        <f>IF(Z1079="","",Z1079)</f>
        <v>NA</v>
      </c>
      <c r="F1079" s="305" t="str">
        <f>IF(AA1079="","",AA1079)</f>
        <v>NA</v>
      </c>
      <c r="G1079" s="305" t="str">
        <f>IF(AB1079="","",AB1079)</f>
        <v>NA</v>
      </c>
      <c r="H1079" s="305" t="str">
        <f>IF(AC1079="","",AC1079)</f>
        <v>NA</v>
      </c>
      <c r="I1079" s="305" t="str">
        <f>IF(AD1079="","",AD1079)</f>
        <v>NA</v>
      </c>
      <c r="J1079" s="305" t="str">
        <f>IF(AE1079="","",AE1079)</f>
        <v>NA</v>
      </c>
      <c r="K1079" s="305" t="str">
        <f>IF(AF1079="","",AF1079)</f>
        <v>NA</v>
      </c>
      <c r="L1079" s="305" t="str">
        <f>IF(AG1079="","",AG1079)</f>
        <v>NA</v>
      </c>
      <c r="M1079" s="305" t="str">
        <f>IF(AH1079="","",AH1079)</f>
        <v>NA</v>
      </c>
      <c r="N1079" s="305" t="str">
        <f>IF(AI1079="","",AI1079)</f>
        <v>NA</v>
      </c>
      <c r="U1079" s="428" t="s">
        <v>5502</v>
      </c>
      <c r="V1079" s="429">
        <v>324925</v>
      </c>
      <c r="W1079" s="429" t="str">
        <f>Period</f>
        <v>2014Y</v>
      </c>
      <c r="X1079" s="430" t="str">
        <f>[1]!SNLLabel(287,324925,,"&lt;&gt;350","Options:Curr=Reported currency,Mag=MIstandard,ConvMethod=MIrecommended")</f>
        <v>AR: Total Group Annuities</v>
      </c>
      <c r="Y1079" s="441" t="s">
        <v>29</v>
      </c>
      <c r="Z1079" s="441" t="s">
        <v>29</v>
      </c>
      <c r="AA1079" s="441" t="s">
        <v>29</v>
      </c>
      <c r="AB1079" s="441" t="s">
        <v>29</v>
      </c>
      <c r="AC1079" s="441" t="s">
        <v>29</v>
      </c>
      <c r="AD1079" s="441" t="s">
        <v>29</v>
      </c>
      <c r="AE1079" s="441" t="s">
        <v>29</v>
      </c>
      <c r="AF1079" s="441" t="s">
        <v>29</v>
      </c>
      <c r="AG1079" s="441" t="s">
        <v>29</v>
      </c>
      <c r="AH1079" s="441" t="s">
        <v>29</v>
      </c>
      <c r="AI1079" s="441" t="s">
        <v>29</v>
      </c>
    </row>
    <row r="1080" spans="2:35" ht="11.25" hidden="1" customHeight="1" outlineLevel="1" x14ac:dyDescent="0.35">
      <c r="B1080" s="294" t="s">
        <v>5502</v>
      </c>
      <c r="C1080" s="329"/>
      <c r="D1080" s="305" t="str">
        <f>IF(Y1080="","",Y1080)</f>
        <v>NA</v>
      </c>
      <c r="E1080" s="305" t="str">
        <f>IF(Z1080="","",Z1080)</f>
        <v>NA</v>
      </c>
      <c r="F1080" s="305" t="str">
        <f>IF(AA1080="","",AA1080)</f>
        <v>NA</v>
      </c>
      <c r="G1080" s="305" t="str">
        <f>IF(AB1080="","",AB1080)</f>
        <v>NA</v>
      </c>
      <c r="H1080" s="305" t="str">
        <f>IF(AC1080="","",AC1080)</f>
        <v>NA</v>
      </c>
      <c r="I1080" s="305" t="str">
        <f>IF(AD1080="","",AD1080)</f>
        <v>NA</v>
      </c>
      <c r="J1080" s="305" t="str">
        <f>IF(AE1080="","",AE1080)</f>
        <v>NA</v>
      </c>
      <c r="K1080" s="305" t="str">
        <f>IF(AF1080="","",AF1080)</f>
        <v>NA</v>
      </c>
      <c r="L1080" s="305" t="str">
        <f>IF(AG1080="","",AG1080)</f>
        <v>NA</v>
      </c>
      <c r="M1080" s="305" t="str">
        <f>IF(AH1080="","",AH1080)</f>
        <v>NA</v>
      </c>
      <c r="N1080" s="305" t="str">
        <f>IF(AI1080="","",AI1080)</f>
        <v>NA</v>
      </c>
      <c r="U1080" s="434" t="s">
        <v>5502</v>
      </c>
      <c r="V1080" s="435">
        <v>325042</v>
      </c>
      <c r="W1080" s="435" t="str">
        <f>Period</f>
        <v>2014Y</v>
      </c>
      <c r="X1080" s="436" t="str">
        <f>[1]!SNLLabel(287,325042,,"&lt;&gt;357","Options:Curr=Reported currency,Mag=MIstandard,ConvMethod=MIrecommended")</f>
        <v>AR: Total Accident and Health</v>
      </c>
      <c r="Y1080" s="442" t="s">
        <v>29</v>
      </c>
      <c r="Z1080" s="442" t="s">
        <v>29</v>
      </c>
      <c r="AA1080" s="442" t="s">
        <v>29</v>
      </c>
      <c r="AB1080" s="442" t="s">
        <v>29</v>
      </c>
      <c r="AC1080" s="442" t="s">
        <v>29</v>
      </c>
      <c r="AD1080" s="442" t="s">
        <v>29</v>
      </c>
      <c r="AE1080" s="442" t="s">
        <v>29</v>
      </c>
      <c r="AF1080" s="442" t="s">
        <v>29</v>
      </c>
      <c r="AG1080" s="442" t="s">
        <v>29</v>
      </c>
      <c r="AH1080" s="442" t="s">
        <v>29</v>
      </c>
      <c r="AI1080" s="442" t="s">
        <v>29</v>
      </c>
    </row>
    <row r="1081" spans="2:35" ht="11.25" hidden="1" customHeight="1" outlineLevel="1" x14ac:dyDescent="0.35">
      <c r="B1081" s="294"/>
      <c r="C1081" s="329"/>
      <c r="D1081" s="305"/>
      <c r="E1081" s="305"/>
      <c r="F1081" s="305"/>
      <c r="G1081" s="305"/>
      <c r="H1081" s="305"/>
      <c r="I1081" s="305"/>
      <c r="J1081" s="305"/>
      <c r="K1081" s="305"/>
      <c r="L1081" s="305"/>
      <c r="M1081" s="305"/>
      <c r="N1081" s="305"/>
    </row>
    <row r="1082" spans="2:35" ht="11.25" customHeight="1" collapsed="1" x14ac:dyDescent="0.35">
      <c r="B1082" s="246" t="s">
        <v>5406</v>
      </c>
      <c r="C1082" s="329"/>
      <c r="D1082" s="305"/>
      <c r="E1082" s="305"/>
      <c r="F1082" s="305"/>
      <c r="G1082" s="305"/>
      <c r="H1082" s="305"/>
      <c r="I1082" s="305"/>
      <c r="J1082" s="305"/>
      <c r="K1082" s="305"/>
      <c r="L1082" s="305"/>
      <c r="M1082" s="305"/>
      <c r="N1082" s="305"/>
      <c r="U1082" s="437" t="s">
        <v>5406</v>
      </c>
      <c r="V1082" s="432"/>
      <c r="W1082" s="432"/>
      <c r="X1082" s="433"/>
      <c r="Y1082" s="431"/>
      <c r="Z1082" s="431"/>
      <c r="AA1082" s="431"/>
      <c r="AB1082" s="431"/>
      <c r="AC1082" s="431"/>
      <c r="AD1082" s="431"/>
      <c r="AE1082" s="431"/>
      <c r="AF1082" s="431"/>
      <c r="AG1082" s="431"/>
      <c r="AH1082" s="431"/>
      <c r="AI1082" s="431"/>
    </row>
    <row r="1083" spans="2:35" ht="11.25" customHeight="1" x14ac:dyDescent="0.35">
      <c r="B1083" s="244" t="s">
        <v>5411</v>
      </c>
      <c r="C1083" s="247"/>
      <c r="D1083" s="305" t="str">
        <f>IF(Y1083="","",Y1083)</f>
        <v>NA</v>
      </c>
      <c r="E1083" s="305" t="str">
        <f>IF(Z1083="","",Z1083)</f>
        <v>NA</v>
      </c>
      <c r="F1083" s="305" t="str">
        <f>IF(AA1083="","",AA1083)</f>
        <v>NA</v>
      </c>
      <c r="G1083" s="305" t="str">
        <f>IF(AB1083="","",AB1083)</f>
        <v>NA</v>
      </c>
      <c r="H1083" s="305" t="str">
        <f>IF(AC1083="","",AC1083)</f>
        <v>NA</v>
      </c>
      <c r="I1083" s="305" t="str">
        <f>IF(AD1083="","",AD1083)</f>
        <v>NA</v>
      </c>
      <c r="J1083" s="305" t="str">
        <f>IF(AE1083="","",AE1083)</f>
        <v>NA</v>
      </c>
      <c r="K1083" s="305" t="str">
        <f>IF(AF1083="","",AF1083)</f>
        <v>NA</v>
      </c>
      <c r="L1083" s="305" t="str">
        <f>IF(AG1083="","",AG1083)</f>
        <v>NA</v>
      </c>
      <c r="M1083" s="305" t="str">
        <f>IF(AH1083="","",AH1083)</f>
        <v>NA</v>
      </c>
      <c r="N1083" s="305" t="str">
        <f>IF(AI1083="","",AI1083)</f>
        <v>NA</v>
      </c>
      <c r="U1083" s="388" t="s">
        <v>5411</v>
      </c>
      <c r="V1083" s="421">
        <v>324681</v>
      </c>
      <c r="W1083" s="421" t="str">
        <f t="shared" ref="W1083:W1094" si="17">Period</f>
        <v>2014Y</v>
      </c>
      <c r="X1083" s="430" t="str">
        <f>[1]!SNLLabel(287,324681,,"&lt;&gt;322")</f>
        <v>AR: Total Individual Life</v>
      </c>
      <c r="Y1083" s="441" t="s">
        <v>29</v>
      </c>
      <c r="Z1083" s="441" t="s">
        <v>29</v>
      </c>
      <c r="AA1083" s="441" t="s">
        <v>29</v>
      </c>
      <c r="AB1083" s="441" t="s">
        <v>29</v>
      </c>
      <c r="AC1083" s="441" t="s">
        <v>29</v>
      </c>
      <c r="AD1083" s="441" t="s">
        <v>29</v>
      </c>
      <c r="AE1083" s="441" t="s">
        <v>29</v>
      </c>
      <c r="AF1083" s="441" t="s">
        <v>29</v>
      </c>
      <c r="AG1083" s="441" t="s">
        <v>29</v>
      </c>
      <c r="AH1083" s="441" t="s">
        <v>29</v>
      </c>
      <c r="AI1083" s="441" t="s">
        <v>29</v>
      </c>
    </row>
    <row r="1084" spans="2:35" ht="11.25" customHeight="1" x14ac:dyDescent="0.35">
      <c r="B1084" s="244" t="s">
        <v>5412</v>
      </c>
      <c r="C1084" s="247"/>
      <c r="D1084" s="305" t="str">
        <f>IF(Y1084="","",Y1084)</f>
        <v>NA</v>
      </c>
      <c r="E1084" s="305" t="str">
        <f>IF(Z1084="","",Z1084)</f>
        <v>NA</v>
      </c>
      <c r="F1084" s="305" t="str">
        <f>IF(AA1084="","",AA1084)</f>
        <v>NA</v>
      </c>
      <c r="G1084" s="305" t="str">
        <f>IF(AB1084="","",AB1084)</f>
        <v>NA</v>
      </c>
      <c r="H1084" s="305" t="str">
        <f>IF(AC1084="","",AC1084)</f>
        <v>NA</v>
      </c>
      <c r="I1084" s="305" t="str">
        <f>IF(AD1084="","",AD1084)</f>
        <v>NA</v>
      </c>
      <c r="J1084" s="305" t="str">
        <f>IF(AE1084="","",AE1084)</f>
        <v>NA</v>
      </c>
      <c r="K1084" s="305" t="str">
        <f>IF(AF1084="","",AF1084)</f>
        <v>NA</v>
      </c>
      <c r="L1084" s="305" t="str">
        <f>IF(AG1084="","",AG1084)</f>
        <v>NA</v>
      </c>
      <c r="M1084" s="305" t="str">
        <f>IF(AH1084="","",AH1084)</f>
        <v>NA</v>
      </c>
      <c r="N1084" s="305" t="str">
        <f>IF(AI1084="","",AI1084)</f>
        <v>NA</v>
      </c>
      <c r="U1084" s="388" t="s">
        <v>5412</v>
      </c>
      <c r="V1084" s="421">
        <v>324681</v>
      </c>
      <c r="W1084" s="421" t="str">
        <f t="shared" si="17"/>
        <v>2014Y</v>
      </c>
      <c r="X1084" s="430" t="str">
        <f>[1]!SNLLabel(287,324681,,"&lt;&gt;323")</f>
        <v>AR: Individual Industrial Life</v>
      </c>
      <c r="Y1084" s="441" t="s">
        <v>29</v>
      </c>
      <c r="Z1084" s="441" t="s">
        <v>29</v>
      </c>
      <c r="AA1084" s="441" t="s">
        <v>29</v>
      </c>
      <c r="AB1084" s="441" t="s">
        <v>29</v>
      </c>
      <c r="AC1084" s="441" t="s">
        <v>29</v>
      </c>
      <c r="AD1084" s="441" t="s">
        <v>29</v>
      </c>
      <c r="AE1084" s="441" t="s">
        <v>29</v>
      </c>
      <c r="AF1084" s="441" t="s">
        <v>29</v>
      </c>
      <c r="AG1084" s="441" t="s">
        <v>29</v>
      </c>
      <c r="AH1084" s="441" t="s">
        <v>29</v>
      </c>
      <c r="AI1084" s="441" t="s">
        <v>29</v>
      </c>
    </row>
    <row r="1085" spans="2:35" ht="11.25" customHeight="1" x14ac:dyDescent="0.35">
      <c r="B1085" s="244" t="s">
        <v>5413</v>
      </c>
      <c r="C1085" s="247"/>
      <c r="D1085" s="305" t="str">
        <f>IF(Y1085="","",Y1085)</f>
        <v>NA</v>
      </c>
      <c r="E1085" s="305" t="str">
        <f>IF(Z1085="","",Z1085)</f>
        <v>NA</v>
      </c>
      <c r="F1085" s="305" t="str">
        <f>IF(AA1085="","",AA1085)</f>
        <v>NA</v>
      </c>
      <c r="G1085" s="305" t="str">
        <f>IF(AB1085="","",AB1085)</f>
        <v>NA</v>
      </c>
      <c r="H1085" s="305" t="str">
        <f>IF(AC1085="","",AC1085)</f>
        <v>NA</v>
      </c>
      <c r="I1085" s="305" t="str">
        <f>IF(AD1085="","",AD1085)</f>
        <v>NA</v>
      </c>
      <c r="J1085" s="305" t="str">
        <f>IF(AE1085="","",AE1085)</f>
        <v>NA</v>
      </c>
      <c r="K1085" s="305" t="str">
        <f>IF(AF1085="","",AF1085)</f>
        <v>NA</v>
      </c>
      <c r="L1085" s="305" t="str">
        <f>IF(AG1085="","",AG1085)</f>
        <v>NA</v>
      </c>
      <c r="M1085" s="305" t="str">
        <f>IF(AH1085="","",AH1085)</f>
        <v>NA</v>
      </c>
      <c r="N1085" s="305" t="str">
        <f>IF(AI1085="","",AI1085)</f>
        <v>NA</v>
      </c>
      <c r="U1085" s="388" t="s">
        <v>5413</v>
      </c>
      <c r="V1085" s="421">
        <v>324681</v>
      </c>
      <c r="W1085" s="421" t="str">
        <f t="shared" si="17"/>
        <v>2014Y</v>
      </c>
      <c r="X1085" s="430" t="str">
        <f>[1]!SNLLabel(287,324681,,"&lt;&gt;324")</f>
        <v>AR: Individual Whole Life</v>
      </c>
      <c r="Y1085" s="441" t="s">
        <v>29</v>
      </c>
      <c r="Z1085" s="441" t="s">
        <v>29</v>
      </c>
      <c r="AA1085" s="441" t="s">
        <v>29</v>
      </c>
      <c r="AB1085" s="441" t="s">
        <v>29</v>
      </c>
      <c r="AC1085" s="441" t="s">
        <v>29</v>
      </c>
      <c r="AD1085" s="441" t="s">
        <v>29</v>
      </c>
      <c r="AE1085" s="441" t="s">
        <v>29</v>
      </c>
      <c r="AF1085" s="441" t="s">
        <v>29</v>
      </c>
      <c r="AG1085" s="441" t="s">
        <v>29</v>
      </c>
      <c r="AH1085" s="441" t="s">
        <v>29</v>
      </c>
      <c r="AI1085" s="441" t="s">
        <v>29</v>
      </c>
    </row>
    <row r="1086" spans="2:35" ht="11.25" customHeight="1" x14ac:dyDescent="0.35">
      <c r="B1086" s="244" t="s">
        <v>5414</v>
      </c>
      <c r="C1086" s="247"/>
      <c r="D1086" s="305" t="str">
        <f>IF(Y1086="","",Y1086)</f>
        <v>NA</v>
      </c>
      <c r="E1086" s="305" t="str">
        <f>IF(Z1086="","",Z1086)</f>
        <v>NA</v>
      </c>
      <c r="F1086" s="305" t="str">
        <f>IF(AA1086="","",AA1086)</f>
        <v>NA</v>
      </c>
      <c r="G1086" s="305" t="str">
        <f>IF(AB1086="","",AB1086)</f>
        <v>NA</v>
      </c>
      <c r="H1086" s="305" t="str">
        <f>IF(AC1086="","",AC1086)</f>
        <v>NA</v>
      </c>
      <c r="I1086" s="305" t="str">
        <f>IF(AD1086="","",AD1086)</f>
        <v>NA</v>
      </c>
      <c r="J1086" s="305" t="str">
        <f>IF(AE1086="","",AE1086)</f>
        <v>NA</v>
      </c>
      <c r="K1086" s="305" t="str">
        <f>IF(AF1086="","",AF1086)</f>
        <v>NA</v>
      </c>
      <c r="L1086" s="305" t="str">
        <f>IF(AG1086="","",AG1086)</f>
        <v>NA</v>
      </c>
      <c r="M1086" s="305" t="str">
        <f>IF(AH1086="","",AH1086)</f>
        <v>NA</v>
      </c>
      <c r="N1086" s="305" t="str">
        <f>IF(AI1086="","",AI1086)</f>
        <v>NA</v>
      </c>
      <c r="U1086" s="388" t="s">
        <v>5414</v>
      </c>
      <c r="V1086" s="421">
        <v>324681</v>
      </c>
      <c r="W1086" s="421" t="str">
        <f t="shared" si="17"/>
        <v>2014Y</v>
      </c>
      <c r="X1086" s="430" t="str">
        <f>[1]!SNLLabel(287,324681,,"&lt;&gt;325")</f>
        <v>AR: Individual Term Life</v>
      </c>
      <c r="Y1086" s="441" t="s">
        <v>29</v>
      </c>
      <c r="Z1086" s="441" t="s">
        <v>29</v>
      </c>
      <c r="AA1086" s="441" t="s">
        <v>29</v>
      </c>
      <c r="AB1086" s="441" t="s">
        <v>29</v>
      </c>
      <c r="AC1086" s="441" t="s">
        <v>29</v>
      </c>
      <c r="AD1086" s="441" t="s">
        <v>29</v>
      </c>
      <c r="AE1086" s="441" t="s">
        <v>29</v>
      </c>
      <c r="AF1086" s="441" t="s">
        <v>29</v>
      </c>
      <c r="AG1086" s="441" t="s">
        <v>29</v>
      </c>
      <c r="AH1086" s="441" t="s">
        <v>29</v>
      </c>
      <c r="AI1086" s="441" t="s">
        <v>29</v>
      </c>
    </row>
    <row r="1087" spans="2:35" ht="11.25" customHeight="1" x14ac:dyDescent="0.35">
      <c r="B1087" s="244" t="s">
        <v>5415</v>
      </c>
      <c r="C1087" s="247"/>
      <c r="D1087" s="305" t="str">
        <f>IF(Y1087="","",Y1087)</f>
        <v>NA</v>
      </c>
      <c r="E1087" s="305" t="str">
        <f>IF(Z1087="","",Z1087)</f>
        <v>NA</v>
      </c>
      <c r="F1087" s="305" t="str">
        <f>IF(AA1087="","",AA1087)</f>
        <v>NA</v>
      </c>
      <c r="G1087" s="305" t="str">
        <f>IF(AB1087="","",AB1087)</f>
        <v>NA</v>
      </c>
      <c r="H1087" s="305" t="str">
        <f>IF(AC1087="","",AC1087)</f>
        <v>NA</v>
      </c>
      <c r="I1087" s="305" t="str">
        <f>IF(AD1087="","",AD1087)</f>
        <v>NA</v>
      </c>
      <c r="J1087" s="305" t="str">
        <f>IF(AE1087="","",AE1087)</f>
        <v>NA</v>
      </c>
      <c r="K1087" s="305" t="str">
        <f>IF(AF1087="","",AF1087)</f>
        <v>NA</v>
      </c>
      <c r="L1087" s="305" t="str">
        <f>IF(AG1087="","",AG1087)</f>
        <v>NA</v>
      </c>
      <c r="M1087" s="305" t="str">
        <f>IF(AH1087="","",AH1087)</f>
        <v>NA</v>
      </c>
      <c r="N1087" s="305" t="str">
        <f>IF(AI1087="","",AI1087)</f>
        <v>NA</v>
      </c>
      <c r="U1087" s="388" t="s">
        <v>5415</v>
      </c>
      <c r="V1087" s="421">
        <v>324681</v>
      </c>
      <c r="W1087" s="421" t="str">
        <f t="shared" si="17"/>
        <v>2014Y</v>
      </c>
      <c r="X1087" s="430" t="str">
        <f>[1]!SNLLabel(287,324681,,"&lt;&gt;326")</f>
        <v>AR: Individual Indexed Life</v>
      </c>
      <c r="Y1087" s="441" t="s">
        <v>29</v>
      </c>
      <c r="Z1087" s="441" t="s">
        <v>29</v>
      </c>
      <c r="AA1087" s="441" t="s">
        <v>29</v>
      </c>
      <c r="AB1087" s="441" t="s">
        <v>29</v>
      </c>
      <c r="AC1087" s="441" t="s">
        <v>29</v>
      </c>
      <c r="AD1087" s="441" t="s">
        <v>29</v>
      </c>
      <c r="AE1087" s="441" t="s">
        <v>29</v>
      </c>
      <c r="AF1087" s="441" t="s">
        <v>29</v>
      </c>
      <c r="AG1087" s="441" t="s">
        <v>29</v>
      </c>
      <c r="AH1087" s="441" t="s">
        <v>29</v>
      </c>
      <c r="AI1087" s="441" t="s">
        <v>29</v>
      </c>
    </row>
    <row r="1088" spans="2:35" ht="11.25" customHeight="1" x14ac:dyDescent="0.35">
      <c r="B1088" s="244" t="s">
        <v>5416</v>
      </c>
      <c r="C1088" s="247"/>
      <c r="D1088" s="305" t="str">
        <f>IF(Y1088="","",Y1088)</f>
        <v>NA</v>
      </c>
      <c r="E1088" s="305" t="str">
        <f>IF(Z1088="","",Z1088)</f>
        <v>NA</v>
      </c>
      <c r="F1088" s="305" t="str">
        <f>IF(AA1088="","",AA1088)</f>
        <v>NA</v>
      </c>
      <c r="G1088" s="305" t="str">
        <f>IF(AB1088="","",AB1088)</f>
        <v>NA</v>
      </c>
      <c r="H1088" s="305" t="str">
        <f>IF(AC1088="","",AC1088)</f>
        <v>NA</v>
      </c>
      <c r="I1088" s="305" t="str">
        <f>IF(AD1088="","",AD1088)</f>
        <v>NA</v>
      </c>
      <c r="J1088" s="305" t="str">
        <f>IF(AE1088="","",AE1088)</f>
        <v>NA</v>
      </c>
      <c r="K1088" s="305" t="str">
        <f>IF(AF1088="","",AF1088)</f>
        <v>NA</v>
      </c>
      <c r="L1088" s="305" t="str">
        <f>IF(AG1088="","",AG1088)</f>
        <v>NA</v>
      </c>
      <c r="M1088" s="305" t="str">
        <f>IF(AH1088="","",AH1088)</f>
        <v>NA</v>
      </c>
      <c r="N1088" s="305" t="str">
        <f>IF(AI1088="","",AI1088)</f>
        <v>NA</v>
      </c>
      <c r="U1088" s="388" t="s">
        <v>5416</v>
      </c>
      <c r="V1088" s="421">
        <v>324681</v>
      </c>
      <c r="W1088" s="421" t="str">
        <f t="shared" si="17"/>
        <v>2014Y</v>
      </c>
      <c r="X1088" s="430" t="str">
        <f>[1]!SNLLabel(287,324681,,"&lt;&gt;327")</f>
        <v>AR: Individual Universal Life</v>
      </c>
      <c r="Y1088" s="441" t="s">
        <v>29</v>
      </c>
      <c r="Z1088" s="441" t="s">
        <v>29</v>
      </c>
      <c r="AA1088" s="441" t="s">
        <v>29</v>
      </c>
      <c r="AB1088" s="441" t="s">
        <v>29</v>
      </c>
      <c r="AC1088" s="441" t="s">
        <v>29</v>
      </c>
      <c r="AD1088" s="441" t="s">
        <v>29</v>
      </c>
      <c r="AE1088" s="441" t="s">
        <v>29</v>
      </c>
      <c r="AF1088" s="441" t="s">
        <v>29</v>
      </c>
      <c r="AG1088" s="441" t="s">
        <v>29</v>
      </c>
      <c r="AH1088" s="441" t="s">
        <v>29</v>
      </c>
      <c r="AI1088" s="441" t="s">
        <v>29</v>
      </c>
    </row>
    <row r="1089" spans="2:35" ht="11.25" customHeight="1" x14ac:dyDescent="0.35">
      <c r="B1089" s="244" t="s">
        <v>5417</v>
      </c>
      <c r="C1089" s="247"/>
      <c r="D1089" s="305" t="str">
        <f>IF(Y1089="","",Y1089)</f>
        <v>NA</v>
      </c>
      <c r="E1089" s="305" t="str">
        <f>IF(Z1089="","",Z1089)</f>
        <v>NA</v>
      </c>
      <c r="F1089" s="305" t="str">
        <f>IF(AA1089="","",AA1089)</f>
        <v>NA</v>
      </c>
      <c r="G1089" s="305" t="str">
        <f>IF(AB1089="","",AB1089)</f>
        <v>NA</v>
      </c>
      <c r="H1089" s="305" t="str">
        <f>IF(AC1089="","",AC1089)</f>
        <v>NA</v>
      </c>
      <c r="I1089" s="305" t="str">
        <f>IF(AD1089="","",AD1089)</f>
        <v>NA</v>
      </c>
      <c r="J1089" s="305" t="str">
        <f>IF(AE1089="","",AE1089)</f>
        <v>NA</v>
      </c>
      <c r="K1089" s="305" t="str">
        <f>IF(AF1089="","",AF1089)</f>
        <v>NA</v>
      </c>
      <c r="L1089" s="305" t="str">
        <f>IF(AG1089="","",AG1089)</f>
        <v>NA</v>
      </c>
      <c r="M1089" s="305" t="str">
        <f>IF(AH1089="","",AH1089)</f>
        <v>NA</v>
      </c>
      <c r="N1089" s="305" t="str">
        <f>IF(AI1089="","",AI1089)</f>
        <v>NA</v>
      </c>
      <c r="U1089" s="388" t="s">
        <v>5417</v>
      </c>
      <c r="V1089" s="421">
        <v>324681</v>
      </c>
      <c r="W1089" s="421" t="str">
        <f t="shared" si="17"/>
        <v>2014Y</v>
      </c>
      <c r="X1089" s="430" t="str">
        <f>[1]!SNLLabel(287,324681,,"&lt;&gt;328")</f>
        <v>AR: Individual Universal Life with Sec Guar</v>
      </c>
      <c r="Y1089" s="441" t="s">
        <v>29</v>
      </c>
      <c r="Z1089" s="441" t="s">
        <v>29</v>
      </c>
      <c r="AA1089" s="441" t="s">
        <v>29</v>
      </c>
      <c r="AB1089" s="441" t="s">
        <v>29</v>
      </c>
      <c r="AC1089" s="441" t="s">
        <v>29</v>
      </c>
      <c r="AD1089" s="441" t="s">
        <v>29</v>
      </c>
      <c r="AE1089" s="441" t="s">
        <v>29</v>
      </c>
      <c r="AF1089" s="441" t="s">
        <v>29</v>
      </c>
      <c r="AG1089" s="441" t="s">
        <v>29</v>
      </c>
      <c r="AH1089" s="441" t="s">
        <v>29</v>
      </c>
      <c r="AI1089" s="441" t="s">
        <v>29</v>
      </c>
    </row>
    <row r="1090" spans="2:35" ht="11.25" customHeight="1" x14ac:dyDescent="0.35">
      <c r="B1090" s="244" t="s">
        <v>5418</v>
      </c>
      <c r="C1090" s="247"/>
      <c r="D1090" s="305" t="str">
        <f>IF(Y1090="","",Y1090)</f>
        <v>NA</v>
      </c>
      <c r="E1090" s="305" t="str">
        <f>IF(Z1090="","",Z1090)</f>
        <v>NA</v>
      </c>
      <c r="F1090" s="305" t="str">
        <f>IF(AA1090="","",AA1090)</f>
        <v>NA</v>
      </c>
      <c r="G1090" s="305" t="str">
        <f>IF(AB1090="","",AB1090)</f>
        <v>NA</v>
      </c>
      <c r="H1090" s="305" t="str">
        <f>IF(AC1090="","",AC1090)</f>
        <v>NA</v>
      </c>
      <c r="I1090" s="305" t="str">
        <f>IF(AD1090="","",AD1090)</f>
        <v>NA</v>
      </c>
      <c r="J1090" s="305" t="str">
        <f>IF(AE1090="","",AE1090)</f>
        <v>NA</v>
      </c>
      <c r="K1090" s="305" t="str">
        <f>IF(AF1090="","",AF1090)</f>
        <v>NA</v>
      </c>
      <c r="L1090" s="305" t="str">
        <f>IF(AG1090="","",AG1090)</f>
        <v>NA</v>
      </c>
      <c r="M1090" s="305" t="str">
        <f>IF(AH1090="","",AH1090)</f>
        <v>NA</v>
      </c>
      <c r="N1090" s="305" t="str">
        <f>IF(AI1090="","",AI1090)</f>
        <v>NA</v>
      </c>
      <c r="U1090" s="388" t="s">
        <v>5418</v>
      </c>
      <c r="V1090" s="421">
        <v>324681</v>
      </c>
      <c r="W1090" s="421" t="str">
        <f t="shared" si="17"/>
        <v>2014Y</v>
      </c>
      <c r="X1090" s="430" t="str">
        <f>[1]!SNLLabel(287,324681,,"&lt;&gt;329")</f>
        <v>AR: Individual Variable Life</v>
      </c>
      <c r="Y1090" s="441" t="s">
        <v>29</v>
      </c>
      <c r="Z1090" s="441" t="s">
        <v>29</v>
      </c>
      <c r="AA1090" s="441" t="s">
        <v>29</v>
      </c>
      <c r="AB1090" s="441" t="s">
        <v>29</v>
      </c>
      <c r="AC1090" s="441" t="s">
        <v>29</v>
      </c>
      <c r="AD1090" s="441" t="s">
        <v>29</v>
      </c>
      <c r="AE1090" s="441" t="s">
        <v>29</v>
      </c>
      <c r="AF1090" s="441" t="s">
        <v>29</v>
      </c>
      <c r="AG1090" s="441" t="s">
        <v>29</v>
      </c>
      <c r="AH1090" s="441" t="s">
        <v>29</v>
      </c>
      <c r="AI1090" s="441" t="s">
        <v>29</v>
      </c>
    </row>
    <row r="1091" spans="2:35" ht="11.25" customHeight="1" x14ac:dyDescent="0.35">
      <c r="B1091" s="244" t="s">
        <v>5419</v>
      </c>
      <c r="C1091" s="247"/>
      <c r="D1091" s="305" t="str">
        <f>IF(Y1091="","",Y1091)</f>
        <v>NA</v>
      </c>
      <c r="E1091" s="305" t="str">
        <f>IF(Z1091="","",Z1091)</f>
        <v>NA</v>
      </c>
      <c r="F1091" s="305" t="str">
        <f>IF(AA1091="","",AA1091)</f>
        <v>NA</v>
      </c>
      <c r="G1091" s="305" t="str">
        <f>IF(AB1091="","",AB1091)</f>
        <v>NA</v>
      </c>
      <c r="H1091" s="305" t="str">
        <f>IF(AC1091="","",AC1091)</f>
        <v>NA</v>
      </c>
      <c r="I1091" s="305" t="str">
        <f>IF(AD1091="","",AD1091)</f>
        <v>NA</v>
      </c>
      <c r="J1091" s="305" t="str">
        <f>IF(AE1091="","",AE1091)</f>
        <v>NA</v>
      </c>
      <c r="K1091" s="305" t="str">
        <f>IF(AF1091="","",AF1091)</f>
        <v>NA</v>
      </c>
      <c r="L1091" s="305" t="str">
        <f>IF(AG1091="","",AG1091)</f>
        <v>NA</v>
      </c>
      <c r="M1091" s="305" t="str">
        <f>IF(AH1091="","",AH1091)</f>
        <v>NA</v>
      </c>
      <c r="N1091" s="305" t="str">
        <f>IF(AI1091="","",AI1091)</f>
        <v>NA</v>
      </c>
      <c r="U1091" s="388" t="s">
        <v>5419</v>
      </c>
      <c r="V1091" s="421">
        <v>324681</v>
      </c>
      <c r="W1091" s="421" t="str">
        <f t="shared" si="17"/>
        <v>2014Y</v>
      </c>
      <c r="X1091" s="430" t="str">
        <f>[1]!SNLLabel(287,324681,,"&lt;&gt;330")</f>
        <v>AR: Individual Variable Universal Life</v>
      </c>
      <c r="Y1091" s="441" t="s">
        <v>29</v>
      </c>
      <c r="Z1091" s="441" t="s">
        <v>29</v>
      </c>
      <c r="AA1091" s="441" t="s">
        <v>29</v>
      </c>
      <c r="AB1091" s="441" t="s">
        <v>29</v>
      </c>
      <c r="AC1091" s="441" t="s">
        <v>29</v>
      </c>
      <c r="AD1091" s="441" t="s">
        <v>29</v>
      </c>
      <c r="AE1091" s="441" t="s">
        <v>29</v>
      </c>
      <c r="AF1091" s="441" t="s">
        <v>29</v>
      </c>
      <c r="AG1091" s="441" t="s">
        <v>29</v>
      </c>
      <c r="AH1091" s="441" t="s">
        <v>29</v>
      </c>
      <c r="AI1091" s="441" t="s">
        <v>29</v>
      </c>
    </row>
    <row r="1092" spans="2:35" ht="11.25" customHeight="1" x14ac:dyDescent="0.35">
      <c r="B1092" s="244" t="s">
        <v>5420</v>
      </c>
      <c r="C1092" s="247"/>
      <c r="D1092" s="305" t="str">
        <f>IF(Y1092="","",Y1092)</f>
        <v>NA</v>
      </c>
      <c r="E1092" s="305" t="str">
        <f>IF(Z1092="","",Z1092)</f>
        <v>NA</v>
      </c>
      <c r="F1092" s="305" t="str">
        <f>IF(AA1092="","",AA1092)</f>
        <v>NA</v>
      </c>
      <c r="G1092" s="305" t="str">
        <f>IF(AB1092="","",AB1092)</f>
        <v>NA</v>
      </c>
      <c r="H1092" s="305" t="str">
        <f>IF(AC1092="","",AC1092)</f>
        <v>NA</v>
      </c>
      <c r="I1092" s="305" t="str">
        <f>IF(AD1092="","",AD1092)</f>
        <v>NA</v>
      </c>
      <c r="J1092" s="305" t="str">
        <f>IF(AE1092="","",AE1092)</f>
        <v>NA</v>
      </c>
      <c r="K1092" s="305" t="str">
        <f>IF(AF1092="","",AF1092)</f>
        <v>NA</v>
      </c>
      <c r="L1092" s="305" t="str">
        <f>IF(AG1092="","",AG1092)</f>
        <v>NA</v>
      </c>
      <c r="M1092" s="305" t="str">
        <f>IF(AH1092="","",AH1092)</f>
        <v>NA</v>
      </c>
      <c r="N1092" s="305" t="str">
        <f>IF(AI1092="","",AI1092)</f>
        <v>NA</v>
      </c>
      <c r="U1092" s="388" t="s">
        <v>5420</v>
      </c>
      <c r="V1092" s="421">
        <v>324681</v>
      </c>
      <c r="W1092" s="421" t="str">
        <f t="shared" si="17"/>
        <v>2014Y</v>
      </c>
      <c r="X1092" s="430" t="str">
        <f>[1]!SNLLabel(287,324681,,"&lt;&gt;331")</f>
        <v>AR: Individual Credit Life</v>
      </c>
      <c r="Y1092" s="441" t="s">
        <v>29</v>
      </c>
      <c r="Z1092" s="441" t="s">
        <v>29</v>
      </c>
      <c r="AA1092" s="441" t="s">
        <v>29</v>
      </c>
      <c r="AB1092" s="441" t="s">
        <v>29</v>
      </c>
      <c r="AC1092" s="441" t="s">
        <v>29</v>
      </c>
      <c r="AD1092" s="441" t="s">
        <v>29</v>
      </c>
      <c r="AE1092" s="441" t="s">
        <v>29</v>
      </c>
      <c r="AF1092" s="441" t="s">
        <v>29</v>
      </c>
      <c r="AG1092" s="441" t="s">
        <v>29</v>
      </c>
      <c r="AH1092" s="441" t="s">
        <v>29</v>
      </c>
      <c r="AI1092" s="441" t="s">
        <v>29</v>
      </c>
    </row>
    <row r="1093" spans="2:35" ht="11.25" customHeight="1" x14ac:dyDescent="0.35">
      <c r="B1093" s="244" t="s">
        <v>5421</v>
      </c>
      <c r="C1093" s="247"/>
      <c r="D1093" s="305" t="str">
        <f>IF(Y1093="","",Y1093)</f>
        <v>NA</v>
      </c>
      <c r="E1093" s="305" t="str">
        <f>IF(Z1093="","",Z1093)</f>
        <v>NA</v>
      </c>
      <c r="F1093" s="305" t="str">
        <f>IF(AA1093="","",AA1093)</f>
        <v>NA</v>
      </c>
      <c r="G1093" s="305" t="str">
        <f>IF(AB1093="","",AB1093)</f>
        <v>NA</v>
      </c>
      <c r="H1093" s="305" t="str">
        <f>IF(AC1093="","",AC1093)</f>
        <v>NA</v>
      </c>
      <c r="I1093" s="305" t="str">
        <f>IF(AD1093="","",AD1093)</f>
        <v>NA</v>
      </c>
      <c r="J1093" s="305" t="str">
        <f>IF(AE1093="","",AE1093)</f>
        <v>NA</v>
      </c>
      <c r="K1093" s="305" t="str">
        <f>IF(AF1093="","",AF1093)</f>
        <v>NA</v>
      </c>
      <c r="L1093" s="305" t="str">
        <f>IF(AG1093="","",AG1093)</f>
        <v>NA</v>
      </c>
      <c r="M1093" s="305" t="str">
        <f>IF(AH1093="","",AH1093)</f>
        <v>NA</v>
      </c>
      <c r="N1093" s="305" t="str">
        <f>IF(AI1093="","",AI1093)</f>
        <v>NA</v>
      </c>
      <c r="U1093" s="388" t="s">
        <v>5421</v>
      </c>
      <c r="V1093" s="421">
        <v>324681</v>
      </c>
      <c r="W1093" s="421" t="str">
        <f t="shared" si="17"/>
        <v>2014Y</v>
      </c>
      <c r="X1093" s="430" t="str">
        <f>[1]!SNLLabel(287,324681,,"&lt;&gt;332")</f>
        <v>AR: Individual Other Life</v>
      </c>
      <c r="Y1093" s="441" t="s">
        <v>29</v>
      </c>
      <c r="Z1093" s="441" t="s">
        <v>29</v>
      </c>
      <c r="AA1093" s="441" t="s">
        <v>29</v>
      </c>
      <c r="AB1093" s="441" t="s">
        <v>29</v>
      </c>
      <c r="AC1093" s="441" t="s">
        <v>29</v>
      </c>
      <c r="AD1093" s="441" t="s">
        <v>29</v>
      </c>
      <c r="AE1093" s="441" t="s">
        <v>29</v>
      </c>
      <c r="AF1093" s="441" t="s">
        <v>29</v>
      </c>
      <c r="AG1093" s="441" t="s">
        <v>29</v>
      </c>
      <c r="AH1093" s="441" t="s">
        <v>29</v>
      </c>
      <c r="AI1093" s="441" t="s">
        <v>29</v>
      </c>
    </row>
    <row r="1094" spans="2:35" ht="11.25" customHeight="1" x14ac:dyDescent="0.35">
      <c r="B1094" s="244" t="s">
        <v>5422</v>
      </c>
      <c r="C1094" s="247"/>
      <c r="D1094" s="305" t="str">
        <f>IF(Y1094="","",Y1094)</f>
        <v>NA</v>
      </c>
      <c r="E1094" s="305" t="str">
        <f>IF(Z1094="","",Z1094)</f>
        <v>NA</v>
      </c>
      <c r="F1094" s="305" t="str">
        <f>IF(AA1094="","",AA1094)</f>
        <v>NA</v>
      </c>
      <c r="G1094" s="305" t="str">
        <f>IF(AB1094="","",AB1094)</f>
        <v>NA</v>
      </c>
      <c r="H1094" s="305" t="str">
        <f>IF(AC1094="","",AC1094)</f>
        <v>NA</v>
      </c>
      <c r="I1094" s="305" t="str">
        <f>IF(AD1094="","",AD1094)</f>
        <v>NA</v>
      </c>
      <c r="J1094" s="305" t="str">
        <f>IF(AE1094="","",AE1094)</f>
        <v>NA</v>
      </c>
      <c r="K1094" s="305" t="str">
        <f>IF(AF1094="","",AF1094)</f>
        <v>NA</v>
      </c>
      <c r="L1094" s="305" t="str">
        <f>IF(AG1094="","",AG1094)</f>
        <v>NA</v>
      </c>
      <c r="M1094" s="305" t="str">
        <f>IF(AH1094="","",AH1094)</f>
        <v>NA</v>
      </c>
      <c r="N1094" s="305" t="str">
        <f>IF(AI1094="","",AI1094)</f>
        <v>NA</v>
      </c>
      <c r="U1094" s="367" t="s">
        <v>5422</v>
      </c>
      <c r="V1094" s="425">
        <v>324681</v>
      </c>
      <c r="W1094" s="425" t="str">
        <f t="shared" si="17"/>
        <v>2014Y</v>
      </c>
      <c r="X1094" s="436" t="str">
        <f>[1]!SNLLabel(287,324681,,"&lt;&gt;333")</f>
        <v>AR: Individual YRT Mortality Risk Only</v>
      </c>
      <c r="Y1094" s="442" t="s">
        <v>29</v>
      </c>
      <c r="Z1094" s="442" t="s">
        <v>29</v>
      </c>
      <c r="AA1094" s="442" t="s">
        <v>29</v>
      </c>
      <c r="AB1094" s="442" t="s">
        <v>29</v>
      </c>
      <c r="AC1094" s="442" t="s">
        <v>29</v>
      </c>
      <c r="AD1094" s="442" t="s">
        <v>29</v>
      </c>
      <c r="AE1094" s="442" t="s">
        <v>29</v>
      </c>
      <c r="AF1094" s="442" t="s">
        <v>29</v>
      </c>
      <c r="AG1094" s="442" t="s">
        <v>29</v>
      </c>
      <c r="AH1094" s="442" t="s">
        <v>29</v>
      </c>
      <c r="AI1094" s="442" t="s">
        <v>29</v>
      </c>
    </row>
    <row r="1095" spans="2:35" ht="11.25" customHeight="1" x14ac:dyDescent="0.35">
      <c r="B1095" s="244"/>
      <c r="C1095" s="247"/>
      <c r="D1095" s="305"/>
      <c r="E1095" s="305"/>
      <c r="F1095" s="305"/>
      <c r="G1095" s="305"/>
      <c r="H1095" s="305"/>
      <c r="I1095" s="305"/>
      <c r="J1095" s="305"/>
      <c r="K1095" s="305"/>
      <c r="L1095" s="305"/>
      <c r="M1095" s="305"/>
      <c r="N1095" s="305"/>
      <c r="U1095" s="407"/>
      <c r="V1095" s="256"/>
      <c r="W1095" s="256"/>
      <c r="X1095" s="438"/>
    </row>
    <row r="1096" spans="2:35" ht="11.25" customHeight="1" x14ac:dyDescent="0.35">
      <c r="B1096" s="246" t="s">
        <v>5407</v>
      </c>
      <c r="C1096" s="247"/>
      <c r="D1096" s="305"/>
      <c r="E1096" s="305"/>
      <c r="F1096" s="305"/>
      <c r="G1096" s="305"/>
      <c r="H1096" s="305"/>
      <c r="I1096" s="305"/>
      <c r="J1096" s="305"/>
      <c r="K1096" s="305"/>
      <c r="L1096" s="305"/>
      <c r="M1096" s="305"/>
      <c r="N1096" s="305"/>
      <c r="U1096" s="437" t="s">
        <v>5407</v>
      </c>
      <c r="V1096" s="424"/>
      <c r="W1096" s="424"/>
      <c r="X1096" s="433"/>
      <c r="Y1096" s="431"/>
      <c r="Z1096" s="431"/>
      <c r="AA1096" s="431"/>
      <c r="AB1096" s="431"/>
      <c r="AC1096" s="431"/>
      <c r="AD1096" s="431"/>
      <c r="AE1096" s="431"/>
      <c r="AF1096" s="431"/>
      <c r="AG1096" s="431"/>
      <c r="AH1096" s="431"/>
      <c r="AI1096" s="431"/>
    </row>
    <row r="1097" spans="2:35" ht="11.25" customHeight="1" x14ac:dyDescent="0.35">
      <c r="B1097" s="244" t="s">
        <v>5423</v>
      </c>
      <c r="C1097" s="247"/>
      <c r="D1097" s="305" t="str">
        <f>IF(Y1097="","",Y1097)</f>
        <v>NA</v>
      </c>
      <c r="E1097" s="305" t="str">
        <f>IF(Z1097="","",Z1097)</f>
        <v>NA</v>
      </c>
      <c r="F1097" s="305" t="str">
        <f>IF(AA1097="","",AA1097)</f>
        <v>NA</v>
      </c>
      <c r="G1097" s="305" t="str">
        <f>IF(AB1097="","",AB1097)</f>
        <v>NA</v>
      </c>
      <c r="H1097" s="305" t="str">
        <f>IF(AC1097="","",AC1097)</f>
        <v>NA</v>
      </c>
      <c r="I1097" s="305" t="str">
        <f>IF(AD1097="","",AD1097)</f>
        <v>NA</v>
      </c>
      <c r="J1097" s="305" t="str">
        <f>IF(AE1097="","",AE1097)</f>
        <v>NA</v>
      </c>
      <c r="K1097" s="305" t="str">
        <f>IF(AF1097="","",AF1097)</f>
        <v>NA</v>
      </c>
      <c r="L1097" s="305" t="str">
        <f>IF(AG1097="","",AG1097)</f>
        <v>NA</v>
      </c>
      <c r="M1097" s="305" t="str">
        <f>IF(AH1097="","",AH1097)</f>
        <v>NA</v>
      </c>
      <c r="N1097" s="305" t="str">
        <f>IF(AI1097="","",AI1097)</f>
        <v>NA</v>
      </c>
      <c r="U1097" s="388" t="s">
        <v>5423</v>
      </c>
      <c r="V1097" s="421">
        <v>324681</v>
      </c>
      <c r="W1097" s="421" t="str">
        <f t="shared" ref="W1097:W1105" si="18">Period</f>
        <v>2014Y</v>
      </c>
      <c r="X1097" s="430" t="str">
        <f>[1]!SNLLabel(287,324681,,"&lt;&gt;334")</f>
        <v>AR: Total Group Life</v>
      </c>
      <c r="Y1097" s="441" t="s">
        <v>29</v>
      </c>
      <c r="Z1097" s="441" t="s">
        <v>29</v>
      </c>
      <c r="AA1097" s="441" t="s">
        <v>29</v>
      </c>
      <c r="AB1097" s="441" t="s">
        <v>29</v>
      </c>
      <c r="AC1097" s="441" t="s">
        <v>29</v>
      </c>
      <c r="AD1097" s="441" t="s">
        <v>29</v>
      </c>
      <c r="AE1097" s="441" t="s">
        <v>29</v>
      </c>
      <c r="AF1097" s="441" t="s">
        <v>29</v>
      </c>
      <c r="AG1097" s="441" t="s">
        <v>29</v>
      </c>
      <c r="AH1097" s="441" t="s">
        <v>29</v>
      </c>
      <c r="AI1097" s="441" t="s">
        <v>29</v>
      </c>
    </row>
    <row r="1098" spans="2:35" ht="11.25" customHeight="1" x14ac:dyDescent="0.35">
      <c r="B1098" s="244" t="s">
        <v>5424</v>
      </c>
      <c r="C1098" s="247"/>
      <c r="D1098" s="305" t="str">
        <f>IF(Y1098="","",Y1098)</f>
        <v>NA</v>
      </c>
      <c r="E1098" s="305" t="str">
        <f>IF(Z1098="","",Z1098)</f>
        <v>NA</v>
      </c>
      <c r="F1098" s="305" t="str">
        <f>IF(AA1098="","",AA1098)</f>
        <v>NA</v>
      </c>
      <c r="G1098" s="305" t="str">
        <f>IF(AB1098="","",AB1098)</f>
        <v>NA</v>
      </c>
      <c r="H1098" s="305" t="str">
        <f>IF(AC1098="","",AC1098)</f>
        <v>NA</v>
      </c>
      <c r="I1098" s="305" t="str">
        <f>IF(AD1098="","",AD1098)</f>
        <v>NA</v>
      </c>
      <c r="J1098" s="305" t="str">
        <f>IF(AE1098="","",AE1098)</f>
        <v>NA</v>
      </c>
      <c r="K1098" s="305" t="str">
        <f>IF(AF1098="","",AF1098)</f>
        <v>NA</v>
      </c>
      <c r="L1098" s="305" t="str">
        <f>IF(AG1098="","",AG1098)</f>
        <v>NA</v>
      </c>
      <c r="M1098" s="305" t="str">
        <f>IF(AH1098="","",AH1098)</f>
        <v>NA</v>
      </c>
      <c r="N1098" s="305" t="str">
        <f>IF(AI1098="","",AI1098)</f>
        <v>NA</v>
      </c>
      <c r="U1098" s="388" t="s">
        <v>5424</v>
      </c>
      <c r="V1098" s="421">
        <v>324681</v>
      </c>
      <c r="W1098" s="421" t="str">
        <f t="shared" si="18"/>
        <v>2014Y</v>
      </c>
      <c r="X1098" s="430" t="str">
        <f>[1]!SNLLabel(287,324681,,"&lt;&gt;335")</f>
        <v>AR: Group Whole Life</v>
      </c>
      <c r="Y1098" s="441" t="s">
        <v>29</v>
      </c>
      <c r="Z1098" s="441" t="s">
        <v>29</v>
      </c>
      <c r="AA1098" s="441" t="s">
        <v>29</v>
      </c>
      <c r="AB1098" s="441" t="s">
        <v>29</v>
      </c>
      <c r="AC1098" s="441" t="s">
        <v>29</v>
      </c>
      <c r="AD1098" s="441" t="s">
        <v>29</v>
      </c>
      <c r="AE1098" s="441" t="s">
        <v>29</v>
      </c>
      <c r="AF1098" s="441" t="s">
        <v>29</v>
      </c>
      <c r="AG1098" s="441" t="s">
        <v>29</v>
      </c>
      <c r="AH1098" s="441" t="s">
        <v>29</v>
      </c>
      <c r="AI1098" s="441" t="s">
        <v>29</v>
      </c>
    </row>
    <row r="1099" spans="2:35" ht="11.25" customHeight="1" x14ac:dyDescent="0.35">
      <c r="B1099" s="244" t="s">
        <v>5425</v>
      </c>
      <c r="C1099" s="247"/>
      <c r="D1099" s="305" t="str">
        <f>IF(Y1099="","",Y1099)</f>
        <v>NA</v>
      </c>
      <c r="E1099" s="305" t="str">
        <f>IF(Z1099="","",Z1099)</f>
        <v>NA</v>
      </c>
      <c r="F1099" s="305" t="str">
        <f>IF(AA1099="","",AA1099)</f>
        <v>NA</v>
      </c>
      <c r="G1099" s="305" t="str">
        <f>IF(AB1099="","",AB1099)</f>
        <v>NA</v>
      </c>
      <c r="H1099" s="305" t="str">
        <f>IF(AC1099="","",AC1099)</f>
        <v>NA</v>
      </c>
      <c r="I1099" s="305" t="str">
        <f>IF(AD1099="","",AD1099)</f>
        <v>NA</v>
      </c>
      <c r="J1099" s="305" t="str">
        <f>IF(AE1099="","",AE1099)</f>
        <v>NA</v>
      </c>
      <c r="K1099" s="305" t="str">
        <f>IF(AF1099="","",AF1099)</f>
        <v>NA</v>
      </c>
      <c r="L1099" s="305" t="str">
        <f>IF(AG1099="","",AG1099)</f>
        <v>NA</v>
      </c>
      <c r="M1099" s="305" t="str">
        <f>IF(AH1099="","",AH1099)</f>
        <v>NA</v>
      </c>
      <c r="N1099" s="305" t="str">
        <f>IF(AI1099="","",AI1099)</f>
        <v>NA</v>
      </c>
      <c r="U1099" s="388" t="s">
        <v>5425</v>
      </c>
      <c r="V1099" s="421">
        <v>324681</v>
      </c>
      <c r="W1099" s="421" t="str">
        <f t="shared" si="18"/>
        <v>2014Y</v>
      </c>
      <c r="X1099" s="430" t="str">
        <f>[1]!SNLLabel(287,324681,,"&lt;&gt;336")</f>
        <v>AR: Group Term Life</v>
      </c>
      <c r="Y1099" s="441" t="s">
        <v>29</v>
      </c>
      <c r="Z1099" s="441" t="s">
        <v>29</v>
      </c>
      <c r="AA1099" s="441" t="s">
        <v>29</v>
      </c>
      <c r="AB1099" s="441" t="s">
        <v>29</v>
      </c>
      <c r="AC1099" s="441" t="s">
        <v>29</v>
      </c>
      <c r="AD1099" s="441" t="s">
        <v>29</v>
      </c>
      <c r="AE1099" s="441" t="s">
        <v>29</v>
      </c>
      <c r="AF1099" s="441" t="s">
        <v>29</v>
      </c>
      <c r="AG1099" s="441" t="s">
        <v>29</v>
      </c>
      <c r="AH1099" s="441" t="s">
        <v>29</v>
      </c>
      <c r="AI1099" s="441" t="s">
        <v>29</v>
      </c>
    </row>
    <row r="1100" spans="2:35" ht="11.25" customHeight="1" x14ac:dyDescent="0.35">
      <c r="B1100" s="244" t="s">
        <v>5426</v>
      </c>
      <c r="C1100" s="247"/>
      <c r="D1100" s="305" t="str">
        <f>IF(Y1100="","",Y1100)</f>
        <v>NA</v>
      </c>
      <c r="E1100" s="305" t="str">
        <f>IF(Z1100="","",Z1100)</f>
        <v>NA</v>
      </c>
      <c r="F1100" s="305" t="str">
        <f>IF(AA1100="","",AA1100)</f>
        <v>NA</v>
      </c>
      <c r="G1100" s="305" t="str">
        <f>IF(AB1100="","",AB1100)</f>
        <v>NA</v>
      </c>
      <c r="H1100" s="305" t="str">
        <f>IF(AC1100="","",AC1100)</f>
        <v>NA</v>
      </c>
      <c r="I1100" s="305" t="str">
        <f>IF(AD1100="","",AD1100)</f>
        <v>NA</v>
      </c>
      <c r="J1100" s="305" t="str">
        <f>IF(AE1100="","",AE1100)</f>
        <v>NA</v>
      </c>
      <c r="K1100" s="305" t="str">
        <f>IF(AF1100="","",AF1100)</f>
        <v>NA</v>
      </c>
      <c r="L1100" s="305" t="str">
        <f>IF(AG1100="","",AG1100)</f>
        <v>NA</v>
      </c>
      <c r="M1100" s="305" t="str">
        <f>IF(AH1100="","",AH1100)</f>
        <v>NA</v>
      </c>
      <c r="N1100" s="305" t="str">
        <f>IF(AI1100="","",AI1100)</f>
        <v>NA</v>
      </c>
      <c r="U1100" s="388" t="s">
        <v>5426</v>
      </c>
      <c r="V1100" s="421">
        <v>324681</v>
      </c>
      <c r="W1100" s="421" t="str">
        <f t="shared" si="18"/>
        <v>2014Y</v>
      </c>
      <c r="X1100" s="430" t="str">
        <f>[1]!SNLLabel(287,324681,,"&lt;&gt;337")</f>
        <v>AR: Group Universal Life</v>
      </c>
      <c r="Y1100" s="441" t="s">
        <v>29</v>
      </c>
      <c r="Z1100" s="441" t="s">
        <v>29</v>
      </c>
      <c r="AA1100" s="441" t="s">
        <v>29</v>
      </c>
      <c r="AB1100" s="441" t="s">
        <v>29</v>
      </c>
      <c r="AC1100" s="441" t="s">
        <v>29</v>
      </c>
      <c r="AD1100" s="441" t="s">
        <v>29</v>
      </c>
      <c r="AE1100" s="441" t="s">
        <v>29</v>
      </c>
      <c r="AF1100" s="441" t="s">
        <v>29</v>
      </c>
      <c r="AG1100" s="441" t="s">
        <v>29</v>
      </c>
      <c r="AH1100" s="441" t="s">
        <v>29</v>
      </c>
      <c r="AI1100" s="441" t="s">
        <v>29</v>
      </c>
    </row>
    <row r="1101" spans="2:35" ht="11.25" customHeight="1" x14ac:dyDescent="0.35">
      <c r="B1101" s="244" t="s">
        <v>5427</v>
      </c>
      <c r="C1101" s="247"/>
      <c r="D1101" s="305" t="str">
        <f>IF(Y1101="","",Y1101)</f>
        <v>NA</v>
      </c>
      <c r="E1101" s="305" t="str">
        <f>IF(Z1101="","",Z1101)</f>
        <v>NA</v>
      </c>
      <c r="F1101" s="305" t="str">
        <f>IF(AA1101="","",AA1101)</f>
        <v>NA</v>
      </c>
      <c r="G1101" s="305" t="str">
        <f>IF(AB1101="","",AB1101)</f>
        <v>NA</v>
      </c>
      <c r="H1101" s="305" t="str">
        <f>IF(AC1101="","",AC1101)</f>
        <v>NA</v>
      </c>
      <c r="I1101" s="305" t="str">
        <f>IF(AD1101="","",AD1101)</f>
        <v>NA</v>
      </c>
      <c r="J1101" s="305" t="str">
        <f>IF(AE1101="","",AE1101)</f>
        <v>NA</v>
      </c>
      <c r="K1101" s="305" t="str">
        <f>IF(AF1101="","",AF1101)</f>
        <v>NA</v>
      </c>
      <c r="L1101" s="305" t="str">
        <f>IF(AG1101="","",AG1101)</f>
        <v>NA</v>
      </c>
      <c r="M1101" s="305" t="str">
        <f>IF(AH1101="","",AH1101)</f>
        <v>NA</v>
      </c>
      <c r="N1101" s="305" t="str">
        <f>IF(AI1101="","",AI1101)</f>
        <v>NA</v>
      </c>
      <c r="U1101" s="388" t="s">
        <v>5427</v>
      </c>
      <c r="V1101" s="421">
        <v>324681</v>
      </c>
      <c r="W1101" s="421" t="str">
        <f t="shared" si="18"/>
        <v>2014Y</v>
      </c>
      <c r="X1101" s="430" t="str">
        <f>[1]!SNLLabel(287,324681,,"&lt;&gt;338")</f>
        <v>AR: Group Variable Life</v>
      </c>
      <c r="Y1101" s="441" t="s">
        <v>29</v>
      </c>
      <c r="Z1101" s="441" t="s">
        <v>29</v>
      </c>
      <c r="AA1101" s="441" t="s">
        <v>29</v>
      </c>
      <c r="AB1101" s="441" t="s">
        <v>29</v>
      </c>
      <c r="AC1101" s="441" t="s">
        <v>29</v>
      </c>
      <c r="AD1101" s="441" t="s">
        <v>29</v>
      </c>
      <c r="AE1101" s="441" t="s">
        <v>29</v>
      </c>
      <c r="AF1101" s="441" t="s">
        <v>29</v>
      </c>
      <c r="AG1101" s="441" t="s">
        <v>29</v>
      </c>
      <c r="AH1101" s="441" t="s">
        <v>29</v>
      </c>
      <c r="AI1101" s="441" t="s">
        <v>29</v>
      </c>
    </row>
    <row r="1102" spans="2:35" ht="11.25" customHeight="1" x14ac:dyDescent="0.35">
      <c r="B1102" s="244" t="s">
        <v>5428</v>
      </c>
      <c r="C1102" s="247"/>
      <c r="D1102" s="305" t="str">
        <f>IF(Y1102="","",Y1102)</f>
        <v>NA</v>
      </c>
      <c r="E1102" s="305" t="str">
        <f>IF(Z1102="","",Z1102)</f>
        <v>NA</v>
      </c>
      <c r="F1102" s="305" t="str">
        <f>IF(AA1102="","",AA1102)</f>
        <v>NA</v>
      </c>
      <c r="G1102" s="305" t="str">
        <f>IF(AB1102="","",AB1102)</f>
        <v>NA</v>
      </c>
      <c r="H1102" s="305" t="str">
        <f>IF(AC1102="","",AC1102)</f>
        <v>NA</v>
      </c>
      <c r="I1102" s="305" t="str">
        <f>IF(AD1102="","",AD1102)</f>
        <v>NA</v>
      </c>
      <c r="J1102" s="305" t="str">
        <f>IF(AE1102="","",AE1102)</f>
        <v>NA</v>
      </c>
      <c r="K1102" s="305" t="str">
        <f>IF(AF1102="","",AF1102)</f>
        <v>NA</v>
      </c>
      <c r="L1102" s="305" t="str">
        <f>IF(AG1102="","",AG1102)</f>
        <v>NA</v>
      </c>
      <c r="M1102" s="305" t="str">
        <f>IF(AH1102="","",AH1102)</f>
        <v>NA</v>
      </c>
      <c r="N1102" s="305" t="str">
        <f>IF(AI1102="","",AI1102)</f>
        <v>NA</v>
      </c>
      <c r="U1102" s="388" t="s">
        <v>5428</v>
      </c>
      <c r="V1102" s="421">
        <v>324681</v>
      </c>
      <c r="W1102" s="421" t="str">
        <f t="shared" si="18"/>
        <v>2014Y</v>
      </c>
      <c r="X1102" s="430" t="str">
        <f>[1]!SNLLabel(287,324681,,"&lt;&gt;339")</f>
        <v>AR: Group Variable Universal Life</v>
      </c>
      <c r="Y1102" s="441" t="s">
        <v>29</v>
      </c>
      <c r="Z1102" s="441" t="s">
        <v>29</v>
      </c>
      <c r="AA1102" s="441" t="s">
        <v>29</v>
      </c>
      <c r="AB1102" s="441" t="s">
        <v>29</v>
      </c>
      <c r="AC1102" s="441" t="s">
        <v>29</v>
      </c>
      <c r="AD1102" s="441" t="s">
        <v>29</v>
      </c>
      <c r="AE1102" s="441" t="s">
        <v>29</v>
      </c>
      <c r="AF1102" s="441" t="s">
        <v>29</v>
      </c>
      <c r="AG1102" s="441" t="s">
        <v>29</v>
      </c>
      <c r="AH1102" s="441" t="s">
        <v>29</v>
      </c>
      <c r="AI1102" s="441" t="s">
        <v>29</v>
      </c>
    </row>
    <row r="1103" spans="2:35" ht="11.25" customHeight="1" x14ac:dyDescent="0.35">
      <c r="B1103" s="244" t="s">
        <v>5429</v>
      </c>
      <c r="C1103" s="247"/>
      <c r="D1103" s="305" t="str">
        <f>IF(Y1103="","",Y1103)</f>
        <v>NA</v>
      </c>
      <c r="E1103" s="305" t="str">
        <f>IF(Z1103="","",Z1103)</f>
        <v>NA</v>
      </c>
      <c r="F1103" s="305" t="str">
        <f>IF(AA1103="","",AA1103)</f>
        <v>NA</v>
      </c>
      <c r="G1103" s="305" t="str">
        <f>IF(AB1103="","",AB1103)</f>
        <v>NA</v>
      </c>
      <c r="H1103" s="305" t="str">
        <f>IF(AC1103="","",AC1103)</f>
        <v>NA</v>
      </c>
      <c r="I1103" s="305" t="str">
        <f>IF(AD1103="","",AD1103)</f>
        <v>NA</v>
      </c>
      <c r="J1103" s="305" t="str">
        <f>IF(AE1103="","",AE1103)</f>
        <v>NA</v>
      </c>
      <c r="K1103" s="305" t="str">
        <f>IF(AF1103="","",AF1103)</f>
        <v>NA</v>
      </c>
      <c r="L1103" s="305" t="str">
        <f>IF(AG1103="","",AG1103)</f>
        <v>NA</v>
      </c>
      <c r="M1103" s="305" t="str">
        <f>IF(AH1103="","",AH1103)</f>
        <v>NA</v>
      </c>
      <c r="N1103" s="305" t="str">
        <f>IF(AI1103="","",AI1103)</f>
        <v>NA</v>
      </c>
      <c r="U1103" s="388" t="s">
        <v>5429</v>
      </c>
      <c r="V1103" s="421">
        <v>324681</v>
      </c>
      <c r="W1103" s="421" t="str">
        <f t="shared" si="18"/>
        <v>2014Y</v>
      </c>
      <c r="X1103" s="430" t="str">
        <f>[1]!SNLLabel(287,324681,,"&lt;&gt;340")</f>
        <v>AR: Group Credit Life</v>
      </c>
      <c r="Y1103" s="441" t="s">
        <v>29</v>
      </c>
      <c r="Z1103" s="441" t="s">
        <v>29</v>
      </c>
      <c r="AA1103" s="441" t="s">
        <v>29</v>
      </c>
      <c r="AB1103" s="441" t="s">
        <v>29</v>
      </c>
      <c r="AC1103" s="441" t="s">
        <v>29</v>
      </c>
      <c r="AD1103" s="441" t="s">
        <v>29</v>
      </c>
      <c r="AE1103" s="441" t="s">
        <v>29</v>
      </c>
      <c r="AF1103" s="441" t="s">
        <v>29</v>
      </c>
      <c r="AG1103" s="441" t="s">
        <v>29</v>
      </c>
      <c r="AH1103" s="441" t="s">
        <v>29</v>
      </c>
      <c r="AI1103" s="441" t="s">
        <v>29</v>
      </c>
    </row>
    <row r="1104" spans="2:35" ht="11.25" customHeight="1" x14ac:dyDescent="0.35">
      <c r="B1104" s="244" t="s">
        <v>5430</v>
      </c>
      <c r="C1104" s="247"/>
      <c r="D1104" s="305" t="str">
        <f>IF(Y1104="","",Y1104)</f>
        <v>NA</v>
      </c>
      <c r="E1104" s="305" t="str">
        <f>IF(Z1104="","",Z1104)</f>
        <v>NA</v>
      </c>
      <c r="F1104" s="305" t="str">
        <f>IF(AA1104="","",AA1104)</f>
        <v>NA</v>
      </c>
      <c r="G1104" s="305" t="str">
        <f>IF(AB1104="","",AB1104)</f>
        <v>NA</v>
      </c>
      <c r="H1104" s="305" t="str">
        <f>IF(AC1104="","",AC1104)</f>
        <v>NA</v>
      </c>
      <c r="I1104" s="305" t="str">
        <f>IF(AD1104="","",AD1104)</f>
        <v>NA</v>
      </c>
      <c r="J1104" s="305" t="str">
        <f>IF(AE1104="","",AE1104)</f>
        <v>NA</v>
      </c>
      <c r="K1104" s="305" t="str">
        <f>IF(AF1104="","",AF1104)</f>
        <v>NA</v>
      </c>
      <c r="L1104" s="305" t="str">
        <f>IF(AG1104="","",AG1104)</f>
        <v>NA</v>
      </c>
      <c r="M1104" s="305" t="str">
        <f>IF(AH1104="","",AH1104)</f>
        <v>NA</v>
      </c>
      <c r="N1104" s="305" t="str">
        <f>IF(AI1104="","",AI1104)</f>
        <v>NA</v>
      </c>
      <c r="U1104" s="388" t="s">
        <v>5430</v>
      </c>
      <c r="V1104" s="421">
        <v>324681</v>
      </c>
      <c r="W1104" s="421" t="str">
        <f t="shared" si="18"/>
        <v>2014Y</v>
      </c>
      <c r="X1104" s="430" t="str">
        <f>[1]!SNLLabel(287,324681,,"&lt;&gt;341")</f>
        <v>AR: Group Other Life</v>
      </c>
      <c r="Y1104" s="441" t="s">
        <v>29</v>
      </c>
      <c r="Z1104" s="441" t="s">
        <v>29</v>
      </c>
      <c r="AA1104" s="441" t="s">
        <v>29</v>
      </c>
      <c r="AB1104" s="441" t="s">
        <v>29</v>
      </c>
      <c r="AC1104" s="441" t="s">
        <v>29</v>
      </c>
      <c r="AD1104" s="441" t="s">
        <v>29</v>
      </c>
      <c r="AE1104" s="441" t="s">
        <v>29</v>
      </c>
      <c r="AF1104" s="441" t="s">
        <v>29</v>
      </c>
      <c r="AG1104" s="441" t="s">
        <v>29</v>
      </c>
      <c r="AH1104" s="441" t="s">
        <v>29</v>
      </c>
      <c r="AI1104" s="441" t="s">
        <v>29</v>
      </c>
    </row>
    <row r="1105" spans="2:35" ht="11.25" customHeight="1" x14ac:dyDescent="0.35">
      <c r="B1105" s="244" t="s">
        <v>5431</v>
      </c>
      <c r="C1105" s="247"/>
      <c r="D1105" s="305" t="str">
        <f>IF(Y1105="","",Y1105)</f>
        <v>NA</v>
      </c>
      <c r="E1105" s="305" t="str">
        <f>IF(Z1105="","",Z1105)</f>
        <v>NA</v>
      </c>
      <c r="F1105" s="305" t="str">
        <f>IF(AA1105="","",AA1105)</f>
        <v>NA</v>
      </c>
      <c r="G1105" s="305" t="str">
        <f>IF(AB1105="","",AB1105)</f>
        <v>NA</v>
      </c>
      <c r="H1105" s="305" t="str">
        <f>IF(AC1105="","",AC1105)</f>
        <v>NA</v>
      </c>
      <c r="I1105" s="305" t="str">
        <f>IF(AD1105="","",AD1105)</f>
        <v>NA</v>
      </c>
      <c r="J1105" s="305" t="str">
        <f>IF(AE1105="","",AE1105)</f>
        <v>NA</v>
      </c>
      <c r="K1105" s="305" t="str">
        <f>IF(AF1105="","",AF1105)</f>
        <v>NA</v>
      </c>
      <c r="L1105" s="305" t="str">
        <f>IF(AG1105="","",AG1105)</f>
        <v>NA</v>
      </c>
      <c r="M1105" s="305" t="str">
        <f>IF(AH1105="","",AH1105)</f>
        <v>NA</v>
      </c>
      <c r="N1105" s="305" t="str">
        <f>IF(AI1105="","",AI1105)</f>
        <v>NA</v>
      </c>
      <c r="U1105" s="367" t="s">
        <v>5431</v>
      </c>
      <c r="V1105" s="425">
        <v>324681</v>
      </c>
      <c r="W1105" s="421" t="str">
        <f t="shared" si="18"/>
        <v>2014Y</v>
      </c>
      <c r="X1105" s="436" t="str">
        <f>[1]!SNLLabel(287,324681,,"&lt;&gt;342")</f>
        <v>AR: Group YRT Mortality Risk Only</v>
      </c>
      <c r="Y1105" s="442" t="s">
        <v>29</v>
      </c>
      <c r="Z1105" s="442" t="s">
        <v>29</v>
      </c>
      <c r="AA1105" s="442" t="s">
        <v>29</v>
      </c>
      <c r="AB1105" s="442" t="s">
        <v>29</v>
      </c>
      <c r="AC1105" s="442" t="s">
        <v>29</v>
      </c>
      <c r="AD1105" s="442" t="s">
        <v>29</v>
      </c>
      <c r="AE1105" s="442" t="s">
        <v>29</v>
      </c>
      <c r="AF1105" s="442" t="s">
        <v>29</v>
      </c>
      <c r="AG1105" s="442" t="s">
        <v>29</v>
      </c>
      <c r="AH1105" s="442" t="s">
        <v>29</v>
      </c>
      <c r="AI1105" s="442" t="s">
        <v>29</v>
      </c>
    </row>
    <row r="1106" spans="2:35" ht="11.25" customHeight="1" x14ac:dyDescent="0.35">
      <c r="B1106" s="244"/>
      <c r="C1106" s="247"/>
      <c r="D1106" s="305"/>
      <c r="E1106" s="305"/>
      <c r="F1106" s="305"/>
      <c r="G1106" s="305"/>
      <c r="H1106" s="305"/>
      <c r="I1106" s="305"/>
      <c r="J1106" s="305"/>
      <c r="K1106" s="305"/>
      <c r="L1106" s="305"/>
      <c r="M1106" s="305"/>
      <c r="N1106" s="305"/>
      <c r="U1106" s="407"/>
      <c r="V1106" s="256"/>
      <c r="W1106" s="256"/>
      <c r="X1106" s="438"/>
    </row>
    <row r="1107" spans="2:35" ht="11.25" customHeight="1" x14ac:dyDescent="0.35">
      <c r="B1107" s="246" t="s">
        <v>5408</v>
      </c>
      <c r="C1107" s="247"/>
      <c r="D1107" s="305"/>
      <c r="E1107" s="305"/>
      <c r="F1107" s="305"/>
      <c r="G1107" s="305"/>
      <c r="H1107" s="305"/>
      <c r="I1107" s="305"/>
      <c r="J1107" s="305"/>
      <c r="K1107" s="305"/>
      <c r="L1107" s="305"/>
      <c r="M1107" s="305"/>
      <c r="N1107" s="305"/>
      <c r="U1107" s="437" t="s">
        <v>5408</v>
      </c>
      <c r="V1107" s="424"/>
      <c r="W1107" s="424"/>
      <c r="X1107" s="433"/>
      <c r="Y1107" s="431"/>
      <c r="Z1107" s="431"/>
      <c r="AA1107" s="431"/>
      <c r="AB1107" s="431"/>
      <c r="AC1107" s="431"/>
      <c r="AD1107" s="431"/>
      <c r="AE1107" s="431"/>
      <c r="AF1107" s="431"/>
      <c r="AG1107" s="431"/>
      <c r="AH1107" s="431"/>
      <c r="AI1107" s="431"/>
    </row>
    <row r="1108" spans="2:35" ht="11.25" customHeight="1" x14ac:dyDescent="0.35">
      <c r="B1108" s="244" t="s">
        <v>5432</v>
      </c>
      <c r="C1108" s="247"/>
      <c r="D1108" s="305" t="str">
        <f>IF(Y1108="","",Y1108)</f>
        <v>NA</v>
      </c>
      <c r="E1108" s="305" t="str">
        <f>IF(Z1108="","",Z1108)</f>
        <v>NA</v>
      </c>
      <c r="F1108" s="305" t="str">
        <f>IF(AA1108="","",AA1108)</f>
        <v>NA</v>
      </c>
      <c r="G1108" s="305" t="str">
        <f>IF(AB1108="","",AB1108)</f>
        <v>NA</v>
      </c>
      <c r="H1108" s="305" t="str">
        <f>IF(AC1108="","",AC1108)</f>
        <v>NA</v>
      </c>
      <c r="I1108" s="305" t="str">
        <f>IF(AD1108="","",AD1108)</f>
        <v>NA</v>
      </c>
      <c r="J1108" s="305" t="str">
        <f>IF(AE1108="","",AE1108)</f>
        <v>NA</v>
      </c>
      <c r="K1108" s="305" t="str">
        <f>IF(AF1108="","",AF1108)</f>
        <v>NA</v>
      </c>
      <c r="L1108" s="305" t="str">
        <f>IF(AG1108="","",AG1108)</f>
        <v>NA</v>
      </c>
      <c r="M1108" s="305" t="str">
        <f>IF(AH1108="","",AH1108)</f>
        <v>NA</v>
      </c>
      <c r="N1108" s="305" t="str">
        <f>IF(AI1108="","",AI1108)</f>
        <v>NA</v>
      </c>
      <c r="U1108" s="388" t="s">
        <v>5432</v>
      </c>
      <c r="V1108" s="421">
        <v>324681</v>
      </c>
      <c r="W1108" s="421" t="str">
        <f t="shared" ref="W1108:W1114" si="19">Period</f>
        <v>2014Y</v>
      </c>
      <c r="X1108" s="430" t="str">
        <f>[1]!SNLLabel(287,324681,,"&lt;&gt;343")</f>
        <v>AR: Total Individual Annuities</v>
      </c>
      <c r="Y1108" s="441" t="s">
        <v>29</v>
      </c>
      <c r="Z1108" s="441" t="s">
        <v>29</v>
      </c>
      <c r="AA1108" s="441" t="s">
        <v>29</v>
      </c>
      <c r="AB1108" s="441" t="s">
        <v>29</v>
      </c>
      <c r="AC1108" s="441" t="s">
        <v>29</v>
      </c>
      <c r="AD1108" s="441" t="s">
        <v>29</v>
      </c>
      <c r="AE1108" s="441" t="s">
        <v>29</v>
      </c>
      <c r="AF1108" s="441" t="s">
        <v>29</v>
      </c>
      <c r="AG1108" s="441" t="s">
        <v>29</v>
      </c>
      <c r="AH1108" s="441" t="s">
        <v>29</v>
      </c>
      <c r="AI1108" s="441" t="s">
        <v>29</v>
      </c>
    </row>
    <row r="1109" spans="2:35" ht="11.25" customHeight="1" x14ac:dyDescent="0.35">
      <c r="B1109" s="244" t="s">
        <v>5433</v>
      </c>
      <c r="C1109" s="247"/>
      <c r="D1109" s="305" t="str">
        <f>IF(Y1109="","",Y1109)</f>
        <v>NA</v>
      </c>
      <c r="E1109" s="305" t="str">
        <f>IF(Z1109="","",Z1109)</f>
        <v>NA</v>
      </c>
      <c r="F1109" s="305" t="str">
        <f>IF(AA1109="","",AA1109)</f>
        <v>NA</v>
      </c>
      <c r="G1109" s="305" t="str">
        <f>IF(AB1109="","",AB1109)</f>
        <v>NA</v>
      </c>
      <c r="H1109" s="305" t="str">
        <f>IF(AC1109="","",AC1109)</f>
        <v>NA</v>
      </c>
      <c r="I1109" s="305" t="str">
        <f>IF(AD1109="","",AD1109)</f>
        <v>NA</v>
      </c>
      <c r="J1109" s="305" t="str">
        <f>IF(AE1109="","",AE1109)</f>
        <v>NA</v>
      </c>
      <c r="K1109" s="305" t="str">
        <f>IF(AF1109="","",AF1109)</f>
        <v>NA</v>
      </c>
      <c r="L1109" s="305" t="str">
        <f>IF(AG1109="","",AG1109)</f>
        <v>NA</v>
      </c>
      <c r="M1109" s="305" t="str">
        <f>IF(AH1109="","",AH1109)</f>
        <v>NA</v>
      </c>
      <c r="N1109" s="305" t="str">
        <f>IF(AI1109="","",AI1109)</f>
        <v>NA</v>
      </c>
      <c r="U1109" s="388" t="s">
        <v>5433</v>
      </c>
      <c r="V1109" s="421">
        <v>324681</v>
      </c>
      <c r="W1109" s="421" t="str">
        <f t="shared" si="19"/>
        <v>2014Y</v>
      </c>
      <c r="X1109" s="430" t="str">
        <f>[1]!SNLLabel(287,324681,,"&lt;&gt;344")</f>
        <v>AR: Individual Deferred Fixed Annuities</v>
      </c>
      <c r="Y1109" s="441" t="s">
        <v>29</v>
      </c>
      <c r="Z1109" s="441" t="s">
        <v>29</v>
      </c>
      <c r="AA1109" s="441" t="s">
        <v>29</v>
      </c>
      <c r="AB1109" s="441" t="s">
        <v>29</v>
      </c>
      <c r="AC1109" s="441" t="s">
        <v>29</v>
      </c>
      <c r="AD1109" s="441" t="s">
        <v>29</v>
      </c>
      <c r="AE1109" s="441" t="s">
        <v>29</v>
      </c>
      <c r="AF1109" s="441" t="s">
        <v>29</v>
      </c>
      <c r="AG1109" s="441" t="s">
        <v>29</v>
      </c>
      <c r="AH1109" s="441" t="s">
        <v>29</v>
      </c>
      <c r="AI1109" s="441" t="s">
        <v>29</v>
      </c>
    </row>
    <row r="1110" spans="2:35" ht="11.25" customHeight="1" x14ac:dyDescent="0.35">
      <c r="B1110" s="244" t="s">
        <v>5434</v>
      </c>
      <c r="C1110" s="247"/>
      <c r="D1110" s="305" t="str">
        <f>IF(Y1110="","",Y1110)</f>
        <v>NA</v>
      </c>
      <c r="E1110" s="305" t="str">
        <f>IF(Z1110="","",Z1110)</f>
        <v>NA</v>
      </c>
      <c r="F1110" s="305" t="str">
        <f>IF(AA1110="","",AA1110)</f>
        <v>NA</v>
      </c>
      <c r="G1110" s="305" t="str">
        <f>IF(AB1110="","",AB1110)</f>
        <v>NA</v>
      </c>
      <c r="H1110" s="305" t="str">
        <f>IF(AC1110="","",AC1110)</f>
        <v>NA</v>
      </c>
      <c r="I1110" s="305" t="str">
        <f>IF(AD1110="","",AD1110)</f>
        <v>NA</v>
      </c>
      <c r="J1110" s="305" t="str">
        <f>IF(AE1110="","",AE1110)</f>
        <v>NA</v>
      </c>
      <c r="K1110" s="305" t="str">
        <f>IF(AF1110="","",AF1110)</f>
        <v>NA</v>
      </c>
      <c r="L1110" s="305" t="str">
        <f>IF(AG1110="","",AG1110)</f>
        <v>NA</v>
      </c>
      <c r="M1110" s="305" t="str">
        <f>IF(AH1110="","",AH1110)</f>
        <v>NA</v>
      </c>
      <c r="N1110" s="305" t="str">
        <f>IF(AI1110="","",AI1110)</f>
        <v>NA</v>
      </c>
      <c r="U1110" s="388" t="s">
        <v>5434</v>
      </c>
      <c r="V1110" s="421">
        <v>324681</v>
      </c>
      <c r="W1110" s="421" t="str">
        <f t="shared" si="19"/>
        <v>2014Y</v>
      </c>
      <c r="X1110" s="430" t="str">
        <f>[1]!SNLLabel(287,324681,,"&lt;&gt;345")</f>
        <v>AR: Individual Deferred Indexed Annuities</v>
      </c>
      <c r="Y1110" s="441" t="s">
        <v>29</v>
      </c>
      <c r="Z1110" s="441" t="s">
        <v>29</v>
      </c>
      <c r="AA1110" s="441" t="s">
        <v>29</v>
      </c>
      <c r="AB1110" s="441" t="s">
        <v>29</v>
      </c>
      <c r="AC1110" s="441" t="s">
        <v>29</v>
      </c>
      <c r="AD1110" s="441" t="s">
        <v>29</v>
      </c>
      <c r="AE1110" s="441" t="s">
        <v>29</v>
      </c>
      <c r="AF1110" s="441" t="s">
        <v>29</v>
      </c>
      <c r="AG1110" s="441" t="s">
        <v>29</v>
      </c>
      <c r="AH1110" s="441" t="s">
        <v>29</v>
      </c>
      <c r="AI1110" s="441" t="s">
        <v>29</v>
      </c>
    </row>
    <row r="1111" spans="2:35" ht="11.25" customHeight="1" x14ac:dyDescent="0.35">
      <c r="B1111" s="244" t="s">
        <v>5435</v>
      </c>
      <c r="C1111" s="247"/>
      <c r="D1111" s="305" t="str">
        <f>IF(Y1111="","",Y1111)</f>
        <v>NA</v>
      </c>
      <c r="E1111" s="305" t="str">
        <f>IF(Z1111="","",Z1111)</f>
        <v>NA</v>
      </c>
      <c r="F1111" s="305" t="str">
        <f>IF(AA1111="","",AA1111)</f>
        <v>NA</v>
      </c>
      <c r="G1111" s="305" t="str">
        <f>IF(AB1111="","",AB1111)</f>
        <v>NA</v>
      </c>
      <c r="H1111" s="305" t="str">
        <f>IF(AC1111="","",AC1111)</f>
        <v>NA</v>
      </c>
      <c r="I1111" s="305" t="str">
        <f>IF(AD1111="","",AD1111)</f>
        <v>NA</v>
      </c>
      <c r="J1111" s="305" t="str">
        <f>IF(AE1111="","",AE1111)</f>
        <v>NA</v>
      </c>
      <c r="K1111" s="305" t="str">
        <f>IF(AF1111="","",AF1111)</f>
        <v>NA</v>
      </c>
      <c r="L1111" s="305" t="str">
        <f>IF(AG1111="","",AG1111)</f>
        <v>NA</v>
      </c>
      <c r="M1111" s="305" t="str">
        <f>IF(AH1111="","",AH1111)</f>
        <v>NA</v>
      </c>
      <c r="N1111" s="305" t="str">
        <f>IF(AI1111="","",AI1111)</f>
        <v>NA</v>
      </c>
      <c r="U1111" s="388" t="s">
        <v>5435</v>
      </c>
      <c r="V1111" s="421">
        <v>324681</v>
      </c>
      <c r="W1111" s="421" t="str">
        <f t="shared" si="19"/>
        <v>2014Y</v>
      </c>
      <c r="X1111" s="430" t="str">
        <f>[1]!SNLLabel(287,324681,,"&lt;&gt;346")</f>
        <v>AR: Ind Defrd Variable Annuities with Guar</v>
      </c>
      <c r="Y1111" s="441" t="s">
        <v>29</v>
      </c>
      <c r="Z1111" s="441" t="s">
        <v>29</v>
      </c>
      <c r="AA1111" s="441" t="s">
        <v>29</v>
      </c>
      <c r="AB1111" s="441" t="s">
        <v>29</v>
      </c>
      <c r="AC1111" s="441" t="s">
        <v>29</v>
      </c>
      <c r="AD1111" s="441" t="s">
        <v>29</v>
      </c>
      <c r="AE1111" s="441" t="s">
        <v>29</v>
      </c>
      <c r="AF1111" s="441" t="s">
        <v>29</v>
      </c>
      <c r="AG1111" s="441" t="s">
        <v>29</v>
      </c>
      <c r="AH1111" s="441" t="s">
        <v>29</v>
      </c>
      <c r="AI1111" s="441" t="s">
        <v>29</v>
      </c>
    </row>
    <row r="1112" spans="2:35" ht="11.25" customHeight="1" x14ac:dyDescent="0.35">
      <c r="B1112" s="244" t="s">
        <v>5436</v>
      </c>
      <c r="C1112" s="247"/>
      <c r="D1112" s="305" t="str">
        <f>IF(Y1112="","",Y1112)</f>
        <v>NA</v>
      </c>
      <c r="E1112" s="305" t="str">
        <f>IF(Z1112="","",Z1112)</f>
        <v>NA</v>
      </c>
      <c r="F1112" s="305" t="str">
        <f>IF(AA1112="","",AA1112)</f>
        <v>NA</v>
      </c>
      <c r="G1112" s="305" t="str">
        <f>IF(AB1112="","",AB1112)</f>
        <v>NA</v>
      </c>
      <c r="H1112" s="305" t="str">
        <f>IF(AC1112="","",AC1112)</f>
        <v>NA</v>
      </c>
      <c r="I1112" s="305" t="str">
        <f>IF(AD1112="","",AD1112)</f>
        <v>NA</v>
      </c>
      <c r="J1112" s="305" t="str">
        <f>IF(AE1112="","",AE1112)</f>
        <v>NA</v>
      </c>
      <c r="K1112" s="305" t="str">
        <f>IF(AF1112="","",AF1112)</f>
        <v>NA</v>
      </c>
      <c r="L1112" s="305" t="str">
        <f>IF(AG1112="","",AG1112)</f>
        <v>NA</v>
      </c>
      <c r="M1112" s="305" t="str">
        <f>IF(AH1112="","",AH1112)</f>
        <v>NA</v>
      </c>
      <c r="N1112" s="305" t="str">
        <f>IF(AI1112="","",AI1112)</f>
        <v>NA</v>
      </c>
      <c r="U1112" s="388" t="s">
        <v>5436</v>
      </c>
      <c r="V1112" s="421">
        <v>324681</v>
      </c>
      <c r="W1112" s="421" t="str">
        <f t="shared" si="19"/>
        <v>2014Y</v>
      </c>
      <c r="X1112" s="430" t="str">
        <f>[1]!SNLLabel(287,324681,,"&lt;&gt;347")</f>
        <v>AR: Ind Defrd Variable Annuities w/o Guar</v>
      </c>
      <c r="Y1112" s="441" t="s">
        <v>29</v>
      </c>
      <c r="Z1112" s="441" t="s">
        <v>29</v>
      </c>
      <c r="AA1112" s="441" t="s">
        <v>29</v>
      </c>
      <c r="AB1112" s="441" t="s">
        <v>29</v>
      </c>
      <c r="AC1112" s="441" t="s">
        <v>29</v>
      </c>
      <c r="AD1112" s="441" t="s">
        <v>29</v>
      </c>
      <c r="AE1112" s="441" t="s">
        <v>29</v>
      </c>
      <c r="AF1112" s="441" t="s">
        <v>29</v>
      </c>
      <c r="AG1112" s="441" t="s">
        <v>29</v>
      </c>
      <c r="AH1112" s="441" t="s">
        <v>29</v>
      </c>
      <c r="AI1112" s="441" t="s">
        <v>29</v>
      </c>
    </row>
    <row r="1113" spans="2:35" ht="11.25" customHeight="1" x14ac:dyDescent="0.35">
      <c r="B1113" s="244" t="s">
        <v>5437</v>
      </c>
      <c r="C1113" s="247"/>
      <c r="D1113" s="305" t="str">
        <f>IF(Y1113="","",Y1113)</f>
        <v>NA</v>
      </c>
      <c r="E1113" s="305" t="str">
        <f>IF(Z1113="","",Z1113)</f>
        <v>NA</v>
      </c>
      <c r="F1113" s="305" t="str">
        <f>IF(AA1113="","",AA1113)</f>
        <v>NA</v>
      </c>
      <c r="G1113" s="305" t="str">
        <f>IF(AB1113="","",AB1113)</f>
        <v>NA</v>
      </c>
      <c r="H1113" s="305" t="str">
        <f>IF(AC1113="","",AC1113)</f>
        <v>NA</v>
      </c>
      <c r="I1113" s="305" t="str">
        <f>IF(AD1113="","",AD1113)</f>
        <v>NA</v>
      </c>
      <c r="J1113" s="305" t="str">
        <f>IF(AE1113="","",AE1113)</f>
        <v>NA</v>
      </c>
      <c r="K1113" s="305" t="str">
        <f>IF(AF1113="","",AF1113)</f>
        <v>NA</v>
      </c>
      <c r="L1113" s="305" t="str">
        <f>IF(AG1113="","",AG1113)</f>
        <v>NA</v>
      </c>
      <c r="M1113" s="305" t="str">
        <f>IF(AH1113="","",AH1113)</f>
        <v>NA</v>
      </c>
      <c r="N1113" s="305" t="str">
        <f>IF(AI1113="","",AI1113)</f>
        <v>NA</v>
      </c>
      <c r="U1113" s="388" t="s">
        <v>5437</v>
      </c>
      <c r="V1113" s="421">
        <v>324681</v>
      </c>
      <c r="W1113" s="421" t="str">
        <f t="shared" si="19"/>
        <v>2014Y</v>
      </c>
      <c r="X1113" s="430" t="str">
        <f>[1]!SNLLabel(287,324681,,"&lt;&gt;348")</f>
        <v>AR: Individual Life Contingent Payout</v>
      </c>
      <c r="Y1113" s="441" t="s">
        <v>29</v>
      </c>
      <c r="Z1113" s="441" t="s">
        <v>29</v>
      </c>
      <c r="AA1113" s="441" t="s">
        <v>29</v>
      </c>
      <c r="AB1113" s="441" t="s">
        <v>29</v>
      </c>
      <c r="AC1113" s="441" t="s">
        <v>29</v>
      </c>
      <c r="AD1113" s="441" t="s">
        <v>29</v>
      </c>
      <c r="AE1113" s="441" t="s">
        <v>29</v>
      </c>
      <c r="AF1113" s="441" t="s">
        <v>29</v>
      </c>
      <c r="AG1113" s="441" t="s">
        <v>29</v>
      </c>
      <c r="AH1113" s="441" t="s">
        <v>29</v>
      </c>
      <c r="AI1113" s="441" t="s">
        <v>29</v>
      </c>
    </row>
    <row r="1114" spans="2:35" ht="11.25" customHeight="1" x14ac:dyDescent="0.35">
      <c r="B1114" s="244" t="s">
        <v>5438</v>
      </c>
      <c r="C1114" s="247"/>
      <c r="D1114" s="305" t="str">
        <f>IF(Y1114="","",Y1114)</f>
        <v>NA</v>
      </c>
      <c r="E1114" s="305" t="str">
        <f>IF(Z1114="","",Z1114)</f>
        <v>NA</v>
      </c>
      <c r="F1114" s="305" t="str">
        <f>IF(AA1114="","",AA1114)</f>
        <v>NA</v>
      </c>
      <c r="G1114" s="305" t="str">
        <f>IF(AB1114="","",AB1114)</f>
        <v>NA</v>
      </c>
      <c r="H1114" s="305" t="str">
        <f>IF(AC1114="","",AC1114)</f>
        <v>NA</v>
      </c>
      <c r="I1114" s="305" t="str">
        <f>IF(AD1114="","",AD1114)</f>
        <v>NA</v>
      </c>
      <c r="J1114" s="305" t="str">
        <f>IF(AE1114="","",AE1114)</f>
        <v>NA</v>
      </c>
      <c r="K1114" s="305" t="str">
        <f>IF(AF1114="","",AF1114)</f>
        <v>NA</v>
      </c>
      <c r="L1114" s="305" t="str">
        <f>IF(AG1114="","",AG1114)</f>
        <v>NA</v>
      </c>
      <c r="M1114" s="305" t="str">
        <f>IF(AH1114="","",AH1114)</f>
        <v>NA</v>
      </c>
      <c r="N1114" s="305" t="str">
        <f>IF(AI1114="","",AI1114)</f>
        <v>NA</v>
      </c>
      <c r="U1114" s="367" t="s">
        <v>5438</v>
      </c>
      <c r="V1114" s="425">
        <v>324681</v>
      </c>
      <c r="W1114" s="425" t="str">
        <f t="shared" si="19"/>
        <v>2014Y</v>
      </c>
      <c r="X1114" s="436" t="str">
        <f>[1]!SNLLabel(287,324681,,"&lt;&gt;349")</f>
        <v>AR: Individual Other Annuities</v>
      </c>
      <c r="Y1114" s="442" t="s">
        <v>29</v>
      </c>
      <c r="Z1114" s="442" t="s">
        <v>29</v>
      </c>
      <c r="AA1114" s="442" t="s">
        <v>29</v>
      </c>
      <c r="AB1114" s="442" t="s">
        <v>29</v>
      </c>
      <c r="AC1114" s="442" t="s">
        <v>29</v>
      </c>
      <c r="AD1114" s="442" t="s">
        <v>29</v>
      </c>
      <c r="AE1114" s="442" t="s">
        <v>29</v>
      </c>
      <c r="AF1114" s="442" t="s">
        <v>29</v>
      </c>
      <c r="AG1114" s="442" t="s">
        <v>29</v>
      </c>
      <c r="AH1114" s="442" t="s">
        <v>29</v>
      </c>
      <c r="AI1114" s="442" t="s">
        <v>29</v>
      </c>
    </row>
    <row r="1115" spans="2:35" ht="11.25" customHeight="1" x14ac:dyDescent="0.35">
      <c r="B1115" s="244"/>
      <c r="C1115" s="247"/>
      <c r="D1115" s="305"/>
      <c r="E1115" s="305"/>
      <c r="F1115" s="305"/>
      <c r="G1115" s="305"/>
      <c r="H1115" s="305"/>
      <c r="I1115" s="305"/>
      <c r="J1115" s="305"/>
      <c r="K1115" s="305"/>
      <c r="L1115" s="305"/>
      <c r="M1115" s="305"/>
      <c r="N1115" s="305"/>
      <c r="U1115" s="258"/>
      <c r="V1115" s="351"/>
      <c r="W1115" s="351"/>
      <c r="X1115" s="358"/>
    </row>
    <row r="1116" spans="2:35" ht="11.25" customHeight="1" x14ac:dyDescent="0.35">
      <c r="B1116" s="246" t="s">
        <v>5409</v>
      </c>
      <c r="C1116" s="247"/>
      <c r="D1116" s="305"/>
      <c r="E1116" s="305"/>
      <c r="F1116" s="305"/>
      <c r="G1116" s="305"/>
      <c r="H1116" s="305"/>
      <c r="I1116" s="305"/>
      <c r="J1116" s="305"/>
      <c r="K1116" s="305"/>
      <c r="L1116" s="305"/>
      <c r="M1116" s="305"/>
      <c r="N1116" s="305"/>
      <c r="U1116" s="437" t="s">
        <v>5409</v>
      </c>
      <c r="V1116" s="424"/>
      <c r="W1116" s="424"/>
      <c r="X1116" s="433"/>
      <c r="Y1116" s="431"/>
      <c r="Z1116" s="431"/>
      <c r="AA1116" s="431"/>
      <c r="AB1116" s="431"/>
      <c r="AC1116" s="431"/>
      <c r="AD1116" s="431"/>
      <c r="AE1116" s="431"/>
      <c r="AF1116" s="431"/>
      <c r="AG1116" s="431"/>
      <c r="AH1116" s="431"/>
      <c r="AI1116" s="431"/>
    </row>
    <row r="1117" spans="2:35" ht="11.25" customHeight="1" x14ac:dyDescent="0.35">
      <c r="B1117" s="244" t="s">
        <v>5439</v>
      </c>
      <c r="C1117" s="247"/>
      <c r="D1117" s="305" t="str">
        <f>IF(Y1117="","",Y1117)</f>
        <v>NA</v>
      </c>
      <c r="E1117" s="305" t="str">
        <f>IF(Z1117="","",Z1117)</f>
        <v>NA</v>
      </c>
      <c r="F1117" s="305" t="str">
        <f>IF(AA1117="","",AA1117)</f>
        <v>NA</v>
      </c>
      <c r="G1117" s="305" t="str">
        <f>IF(AB1117="","",AB1117)</f>
        <v>NA</v>
      </c>
      <c r="H1117" s="305" t="str">
        <f>IF(AC1117="","",AC1117)</f>
        <v>NA</v>
      </c>
      <c r="I1117" s="305" t="str">
        <f>IF(AD1117="","",AD1117)</f>
        <v>NA</v>
      </c>
      <c r="J1117" s="305" t="str">
        <f>IF(AE1117="","",AE1117)</f>
        <v>NA</v>
      </c>
      <c r="K1117" s="305" t="str">
        <f>IF(AF1117="","",AF1117)</f>
        <v>NA</v>
      </c>
      <c r="L1117" s="305" t="str">
        <f>IF(AG1117="","",AG1117)</f>
        <v>NA</v>
      </c>
      <c r="M1117" s="305" t="str">
        <f>IF(AH1117="","",AH1117)</f>
        <v>NA</v>
      </c>
      <c r="N1117" s="305" t="str">
        <f>IF(AI1117="","",AI1117)</f>
        <v>NA</v>
      </c>
      <c r="U1117" s="388" t="s">
        <v>5439</v>
      </c>
      <c r="V1117" s="421">
        <v>324681</v>
      </c>
      <c r="W1117" s="421" t="str">
        <f t="shared" ref="W1117:W1123" si="20">Period</f>
        <v>2014Y</v>
      </c>
      <c r="X1117" s="430" t="str">
        <f>[1]!SNLLabel(287,324681,,"&lt;&gt;350")</f>
        <v>AR: Total Group Annuities</v>
      </c>
      <c r="Y1117" s="441" t="s">
        <v>29</v>
      </c>
      <c r="Z1117" s="441" t="s">
        <v>29</v>
      </c>
      <c r="AA1117" s="441" t="s">
        <v>29</v>
      </c>
      <c r="AB1117" s="441" t="s">
        <v>29</v>
      </c>
      <c r="AC1117" s="441" t="s">
        <v>29</v>
      </c>
      <c r="AD1117" s="441" t="s">
        <v>29</v>
      </c>
      <c r="AE1117" s="441" t="s">
        <v>29</v>
      </c>
      <c r="AF1117" s="441" t="s">
        <v>29</v>
      </c>
      <c r="AG1117" s="441" t="s">
        <v>29</v>
      </c>
      <c r="AH1117" s="441" t="s">
        <v>29</v>
      </c>
      <c r="AI1117" s="441" t="s">
        <v>29</v>
      </c>
    </row>
    <row r="1118" spans="2:35" ht="11.25" customHeight="1" x14ac:dyDescent="0.35">
      <c r="B1118" s="244" t="s">
        <v>5440</v>
      </c>
      <c r="C1118" s="247"/>
      <c r="D1118" s="305" t="str">
        <f>IF(Y1118="","",Y1118)</f>
        <v>NA</v>
      </c>
      <c r="E1118" s="305" t="str">
        <f>IF(Z1118="","",Z1118)</f>
        <v>NA</v>
      </c>
      <c r="F1118" s="305" t="str">
        <f>IF(AA1118="","",AA1118)</f>
        <v>NA</v>
      </c>
      <c r="G1118" s="305" t="str">
        <f>IF(AB1118="","",AB1118)</f>
        <v>NA</v>
      </c>
      <c r="H1118" s="305" t="str">
        <f>IF(AC1118="","",AC1118)</f>
        <v>NA</v>
      </c>
      <c r="I1118" s="305" t="str">
        <f>IF(AD1118="","",AD1118)</f>
        <v>NA</v>
      </c>
      <c r="J1118" s="305" t="str">
        <f>IF(AE1118="","",AE1118)</f>
        <v>NA</v>
      </c>
      <c r="K1118" s="305" t="str">
        <f>IF(AF1118="","",AF1118)</f>
        <v>NA</v>
      </c>
      <c r="L1118" s="305" t="str">
        <f>IF(AG1118="","",AG1118)</f>
        <v>NA</v>
      </c>
      <c r="M1118" s="305" t="str">
        <f>IF(AH1118="","",AH1118)</f>
        <v>NA</v>
      </c>
      <c r="N1118" s="305" t="str">
        <f>IF(AI1118="","",AI1118)</f>
        <v>NA</v>
      </c>
      <c r="U1118" s="388" t="s">
        <v>5440</v>
      </c>
      <c r="V1118" s="421">
        <v>324681</v>
      </c>
      <c r="W1118" s="421" t="str">
        <f t="shared" si="20"/>
        <v>2014Y</v>
      </c>
      <c r="X1118" s="430" t="str">
        <f>[1]!SNLLabel(287,324681,,"&lt;&gt;351")</f>
        <v>AR: Group Deferred Fixed Annuities</v>
      </c>
      <c r="Y1118" s="441" t="s">
        <v>29</v>
      </c>
      <c r="Z1118" s="441" t="s">
        <v>29</v>
      </c>
      <c r="AA1118" s="441" t="s">
        <v>29</v>
      </c>
      <c r="AB1118" s="441" t="s">
        <v>29</v>
      </c>
      <c r="AC1118" s="441" t="s">
        <v>29</v>
      </c>
      <c r="AD1118" s="441" t="s">
        <v>29</v>
      </c>
      <c r="AE1118" s="441" t="s">
        <v>29</v>
      </c>
      <c r="AF1118" s="441" t="s">
        <v>29</v>
      </c>
      <c r="AG1118" s="441" t="s">
        <v>29</v>
      </c>
      <c r="AH1118" s="441" t="s">
        <v>29</v>
      </c>
      <c r="AI1118" s="441" t="s">
        <v>29</v>
      </c>
    </row>
    <row r="1119" spans="2:35" ht="11.25" customHeight="1" x14ac:dyDescent="0.35">
      <c r="B1119" s="244" t="s">
        <v>5441</v>
      </c>
      <c r="C1119" s="247"/>
      <c r="D1119" s="305" t="str">
        <f>IF(Y1119="","",Y1119)</f>
        <v>NA</v>
      </c>
      <c r="E1119" s="305" t="str">
        <f>IF(Z1119="","",Z1119)</f>
        <v>NA</v>
      </c>
      <c r="F1119" s="305" t="str">
        <f>IF(AA1119="","",AA1119)</f>
        <v>NA</v>
      </c>
      <c r="G1119" s="305" t="str">
        <f>IF(AB1119="","",AB1119)</f>
        <v>NA</v>
      </c>
      <c r="H1119" s="305" t="str">
        <f>IF(AC1119="","",AC1119)</f>
        <v>NA</v>
      </c>
      <c r="I1119" s="305" t="str">
        <f>IF(AD1119="","",AD1119)</f>
        <v>NA</v>
      </c>
      <c r="J1119" s="305" t="str">
        <f>IF(AE1119="","",AE1119)</f>
        <v>NA</v>
      </c>
      <c r="K1119" s="305" t="str">
        <f>IF(AF1119="","",AF1119)</f>
        <v>NA</v>
      </c>
      <c r="L1119" s="305" t="str">
        <f>IF(AG1119="","",AG1119)</f>
        <v>NA</v>
      </c>
      <c r="M1119" s="305" t="str">
        <f>IF(AH1119="","",AH1119)</f>
        <v>NA</v>
      </c>
      <c r="N1119" s="305" t="str">
        <f>IF(AI1119="","",AI1119)</f>
        <v>NA</v>
      </c>
      <c r="U1119" s="388" t="s">
        <v>5441</v>
      </c>
      <c r="V1119" s="421">
        <v>324681</v>
      </c>
      <c r="W1119" s="421" t="str">
        <f t="shared" si="20"/>
        <v>2014Y</v>
      </c>
      <c r="X1119" s="430" t="str">
        <f>[1]!SNLLabel(287,324681,,"&lt;&gt;352")</f>
        <v>AR: Group Deferred Indexed Annuities</v>
      </c>
      <c r="Y1119" s="441" t="s">
        <v>29</v>
      </c>
      <c r="Z1119" s="441" t="s">
        <v>29</v>
      </c>
      <c r="AA1119" s="441" t="s">
        <v>29</v>
      </c>
      <c r="AB1119" s="441" t="s">
        <v>29</v>
      </c>
      <c r="AC1119" s="441" t="s">
        <v>29</v>
      </c>
      <c r="AD1119" s="441" t="s">
        <v>29</v>
      </c>
      <c r="AE1119" s="441" t="s">
        <v>29</v>
      </c>
      <c r="AF1119" s="441" t="s">
        <v>29</v>
      </c>
      <c r="AG1119" s="441" t="s">
        <v>29</v>
      </c>
      <c r="AH1119" s="441" t="s">
        <v>29</v>
      </c>
      <c r="AI1119" s="441" t="s">
        <v>29</v>
      </c>
    </row>
    <row r="1120" spans="2:35" ht="11.25" customHeight="1" x14ac:dyDescent="0.35">
      <c r="B1120" s="244" t="s">
        <v>5442</v>
      </c>
      <c r="C1120" s="247"/>
      <c r="D1120" s="305" t="str">
        <f>IF(Y1120="","",Y1120)</f>
        <v>NA</v>
      </c>
      <c r="E1120" s="305" t="str">
        <f>IF(Z1120="","",Z1120)</f>
        <v>NA</v>
      </c>
      <c r="F1120" s="305" t="str">
        <f>IF(AA1120="","",AA1120)</f>
        <v>NA</v>
      </c>
      <c r="G1120" s="305" t="str">
        <f>IF(AB1120="","",AB1120)</f>
        <v>NA</v>
      </c>
      <c r="H1120" s="305" t="str">
        <f>IF(AC1120="","",AC1120)</f>
        <v>NA</v>
      </c>
      <c r="I1120" s="305" t="str">
        <f>IF(AD1120="","",AD1120)</f>
        <v>NA</v>
      </c>
      <c r="J1120" s="305" t="str">
        <f>IF(AE1120="","",AE1120)</f>
        <v>NA</v>
      </c>
      <c r="K1120" s="305" t="str">
        <f>IF(AF1120="","",AF1120)</f>
        <v>NA</v>
      </c>
      <c r="L1120" s="305" t="str">
        <f>IF(AG1120="","",AG1120)</f>
        <v>NA</v>
      </c>
      <c r="M1120" s="305" t="str">
        <f>IF(AH1120="","",AH1120)</f>
        <v>NA</v>
      </c>
      <c r="N1120" s="305" t="str">
        <f>IF(AI1120="","",AI1120)</f>
        <v>NA</v>
      </c>
      <c r="U1120" s="388" t="s">
        <v>5442</v>
      </c>
      <c r="V1120" s="421">
        <v>324681</v>
      </c>
      <c r="W1120" s="421" t="str">
        <f t="shared" si="20"/>
        <v>2014Y</v>
      </c>
      <c r="X1120" s="430" t="str">
        <f>[1]!SNLLabel(287,324681,,"&lt;&gt;353")</f>
        <v>AR: Grp Defrd Variable Annuities with Guar</v>
      </c>
      <c r="Y1120" s="441" t="s">
        <v>29</v>
      </c>
      <c r="Z1120" s="441" t="s">
        <v>29</v>
      </c>
      <c r="AA1120" s="441" t="s">
        <v>29</v>
      </c>
      <c r="AB1120" s="441" t="s">
        <v>29</v>
      </c>
      <c r="AC1120" s="441" t="s">
        <v>29</v>
      </c>
      <c r="AD1120" s="441" t="s">
        <v>29</v>
      </c>
      <c r="AE1120" s="441" t="s">
        <v>29</v>
      </c>
      <c r="AF1120" s="441" t="s">
        <v>29</v>
      </c>
      <c r="AG1120" s="441" t="s">
        <v>29</v>
      </c>
      <c r="AH1120" s="441" t="s">
        <v>29</v>
      </c>
      <c r="AI1120" s="441" t="s">
        <v>29</v>
      </c>
    </row>
    <row r="1121" spans="2:35" ht="11.25" customHeight="1" x14ac:dyDescent="0.35">
      <c r="B1121" s="244" t="s">
        <v>5443</v>
      </c>
      <c r="C1121" s="247"/>
      <c r="D1121" s="305" t="str">
        <f>IF(Y1121="","",Y1121)</f>
        <v>NA</v>
      </c>
      <c r="E1121" s="305" t="str">
        <f>IF(Z1121="","",Z1121)</f>
        <v>NA</v>
      </c>
      <c r="F1121" s="305" t="str">
        <f>IF(AA1121="","",AA1121)</f>
        <v>NA</v>
      </c>
      <c r="G1121" s="305" t="str">
        <f>IF(AB1121="","",AB1121)</f>
        <v>NA</v>
      </c>
      <c r="H1121" s="305" t="str">
        <f>IF(AC1121="","",AC1121)</f>
        <v>NA</v>
      </c>
      <c r="I1121" s="305" t="str">
        <f>IF(AD1121="","",AD1121)</f>
        <v>NA</v>
      </c>
      <c r="J1121" s="305" t="str">
        <f>IF(AE1121="","",AE1121)</f>
        <v>NA</v>
      </c>
      <c r="K1121" s="305" t="str">
        <f>IF(AF1121="","",AF1121)</f>
        <v>NA</v>
      </c>
      <c r="L1121" s="305" t="str">
        <f>IF(AG1121="","",AG1121)</f>
        <v>NA</v>
      </c>
      <c r="M1121" s="305" t="str">
        <f>IF(AH1121="","",AH1121)</f>
        <v>NA</v>
      </c>
      <c r="N1121" s="305" t="str">
        <f>IF(AI1121="","",AI1121)</f>
        <v>NA</v>
      </c>
      <c r="U1121" s="388" t="s">
        <v>5443</v>
      </c>
      <c r="V1121" s="421">
        <v>324681</v>
      </c>
      <c r="W1121" s="421" t="str">
        <f t="shared" si="20"/>
        <v>2014Y</v>
      </c>
      <c r="X1121" s="430" t="str">
        <f>[1]!SNLLabel(287,324681,,"&lt;&gt;354")</f>
        <v>AR: Grp Defrd Variable Annuities w/o Guar</v>
      </c>
      <c r="Y1121" s="441" t="s">
        <v>29</v>
      </c>
      <c r="Z1121" s="441" t="s">
        <v>29</v>
      </c>
      <c r="AA1121" s="441" t="s">
        <v>29</v>
      </c>
      <c r="AB1121" s="441" t="s">
        <v>29</v>
      </c>
      <c r="AC1121" s="441" t="s">
        <v>29</v>
      </c>
      <c r="AD1121" s="441" t="s">
        <v>29</v>
      </c>
      <c r="AE1121" s="441" t="s">
        <v>29</v>
      </c>
      <c r="AF1121" s="441" t="s">
        <v>29</v>
      </c>
      <c r="AG1121" s="441" t="s">
        <v>29</v>
      </c>
      <c r="AH1121" s="441" t="s">
        <v>29</v>
      </c>
      <c r="AI1121" s="441" t="s">
        <v>29</v>
      </c>
    </row>
    <row r="1122" spans="2:35" ht="11.25" customHeight="1" x14ac:dyDescent="0.35">
      <c r="B1122" s="244" t="s">
        <v>5444</v>
      </c>
      <c r="C1122" s="247"/>
      <c r="D1122" s="305" t="str">
        <f>IF(Y1122="","",Y1122)</f>
        <v>NA</v>
      </c>
      <c r="E1122" s="305" t="str">
        <f>IF(Z1122="","",Z1122)</f>
        <v>NA</v>
      </c>
      <c r="F1122" s="305" t="str">
        <f>IF(AA1122="","",AA1122)</f>
        <v>NA</v>
      </c>
      <c r="G1122" s="305" t="str">
        <f>IF(AB1122="","",AB1122)</f>
        <v>NA</v>
      </c>
      <c r="H1122" s="305" t="str">
        <f>IF(AC1122="","",AC1122)</f>
        <v>NA</v>
      </c>
      <c r="I1122" s="305" t="str">
        <f>IF(AD1122="","",AD1122)</f>
        <v>NA</v>
      </c>
      <c r="J1122" s="305" t="str">
        <f>IF(AE1122="","",AE1122)</f>
        <v>NA</v>
      </c>
      <c r="K1122" s="305" t="str">
        <f>IF(AF1122="","",AF1122)</f>
        <v>NA</v>
      </c>
      <c r="L1122" s="305" t="str">
        <f>IF(AG1122="","",AG1122)</f>
        <v>NA</v>
      </c>
      <c r="M1122" s="305" t="str">
        <f>IF(AH1122="","",AH1122)</f>
        <v>NA</v>
      </c>
      <c r="N1122" s="305" t="str">
        <f>IF(AI1122="","",AI1122)</f>
        <v>NA</v>
      </c>
      <c r="U1122" s="388" t="s">
        <v>5444</v>
      </c>
      <c r="V1122" s="421">
        <v>324681</v>
      </c>
      <c r="W1122" s="421" t="str">
        <f t="shared" si="20"/>
        <v>2014Y</v>
      </c>
      <c r="X1122" s="430" t="str">
        <f>[1]!SNLLabel(287,324681,,"&lt;&gt;355")</f>
        <v>AR: Group Life Contingent Payout</v>
      </c>
      <c r="Y1122" s="441" t="s">
        <v>29</v>
      </c>
      <c r="Z1122" s="441" t="s">
        <v>29</v>
      </c>
      <c r="AA1122" s="441" t="s">
        <v>29</v>
      </c>
      <c r="AB1122" s="441" t="s">
        <v>29</v>
      </c>
      <c r="AC1122" s="441" t="s">
        <v>29</v>
      </c>
      <c r="AD1122" s="441" t="s">
        <v>29</v>
      </c>
      <c r="AE1122" s="441" t="s">
        <v>29</v>
      </c>
      <c r="AF1122" s="441" t="s">
        <v>29</v>
      </c>
      <c r="AG1122" s="441" t="s">
        <v>29</v>
      </c>
      <c r="AH1122" s="441" t="s">
        <v>29</v>
      </c>
      <c r="AI1122" s="441" t="s">
        <v>29</v>
      </c>
    </row>
    <row r="1123" spans="2:35" ht="11.25" customHeight="1" x14ac:dyDescent="0.35">
      <c r="B1123" s="244" t="s">
        <v>5445</v>
      </c>
      <c r="C1123" s="247"/>
      <c r="D1123" s="305" t="str">
        <f>IF(Y1123="","",Y1123)</f>
        <v>NA</v>
      </c>
      <c r="E1123" s="305" t="str">
        <f>IF(Z1123="","",Z1123)</f>
        <v>NA</v>
      </c>
      <c r="F1123" s="305" t="str">
        <f>IF(AA1123="","",AA1123)</f>
        <v>NA</v>
      </c>
      <c r="G1123" s="305" t="str">
        <f>IF(AB1123="","",AB1123)</f>
        <v>NA</v>
      </c>
      <c r="H1123" s="305" t="str">
        <f>IF(AC1123="","",AC1123)</f>
        <v>NA</v>
      </c>
      <c r="I1123" s="305" t="str">
        <f>IF(AD1123="","",AD1123)</f>
        <v>NA</v>
      </c>
      <c r="J1123" s="305" t="str">
        <f>IF(AE1123="","",AE1123)</f>
        <v>NA</v>
      </c>
      <c r="K1123" s="305" t="str">
        <f>IF(AF1123="","",AF1123)</f>
        <v>NA</v>
      </c>
      <c r="L1123" s="305" t="str">
        <f>IF(AG1123="","",AG1123)</f>
        <v>NA</v>
      </c>
      <c r="M1123" s="305" t="str">
        <f>IF(AH1123="","",AH1123)</f>
        <v>NA</v>
      </c>
      <c r="N1123" s="305" t="str">
        <f>IF(AI1123="","",AI1123)</f>
        <v>NA</v>
      </c>
      <c r="U1123" s="367" t="s">
        <v>5445</v>
      </c>
      <c r="V1123" s="425">
        <v>324681</v>
      </c>
      <c r="W1123" s="425" t="str">
        <f t="shared" si="20"/>
        <v>2014Y</v>
      </c>
      <c r="X1123" s="436" t="str">
        <f>[1]!SNLLabel(287,324681,,"&lt;&gt;356")</f>
        <v>AR: Group Other Annuities</v>
      </c>
      <c r="Y1123" s="442" t="s">
        <v>29</v>
      </c>
      <c r="Z1123" s="442" t="s">
        <v>29</v>
      </c>
      <c r="AA1123" s="442" t="s">
        <v>29</v>
      </c>
      <c r="AB1123" s="442" t="s">
        <v>29</v>
      </c>
      <c r="AC1123" s="442" t="s">
        <v>29</v>
      </c>
      <c r="AD1123" s="442" t="s">
        <v>29</v>
      </c>
      <c r="AE1123" s="442" t="s">
        <v>29</v>
      </c>
      <c r="AF1123" s="442" t="s">
        <v>29</v>
      </c>
      <c r="AG1123" s="442" t="s">
        <v>29</v>
      </c>
      <c r="AH1123" s="442" t="s">
        <v>29</v>
      </c>
      <c r="AI1123" s="442" t="s">
        <v>29</v>
      </c>
    </row>
    <row r="1124" spans="2:35" ht="11.25" customHeight="1" x14ac:dyDescent="0.35">
      <c r="B1124" s="244"/>
      <c r="C1124" s="247"/>
      <c r="D1124" s="305"/>
      <c r="E1124" s="305"/>
      <c r="F1124" s="305"/>
      <c r="G1124" s="305"/>
      <c r="H1124" s="305"/>
      <c r="I1124" s="305"/>
      <c r="J1124" s="305"/>
      <c r="K1124" s="305"/>
      <c r="L1124" s="305"/>
      <c r="M1124" s="305"/>
      <c r="N1124" s="305"/>
      <c r="U1124" s="258"/>
      <c r="V1124" s="351"/>
      <c r="W1124" s="351"/>
      <c r="X1124" s="358"/>
    </row>
    <row r="1125" spans="2:35" ht="11.25" customHeight="1" x14ac:dyDescent="0.35">
      <c r="B1125" s="246" t="s">
        <v>5410</v>
      </c>
      <c r="C1125" s="247"/>
      <c r="D1125" s="305"/>
      <c r="E1125" s="305"/>
      <c r="F1125" s="305"/>
      <c r="G1125" s="305"/>
      <c r="H1125" s="305"/>
      <c r="I1125" s="305"/>
      <c r="J1125" s="305"/>
      <c r="K1125" s="305"/>
      <c r="L1125" s="305"/>
      <c r="M1125" s="305"/>
      <c r="N1125" s="305"/>
      <c r="U1125" s="437" t="s">
        <v>5410</v>
      </c>
      <c r="V1125" s="424"/>
      <c r="W1125" s="424"/>
      <c r="X1125" s="433"/>
      <c r="Y1125" s="431"/>
      <c r="Z1125" s="431"/>
      <c r="AA1125" s="431"/>
      <c r="AB1125" s="431"/>
      <c r="AC1125" s="431"/>
      <c r="AD1125" s="431"/>
      <c r="AE1125" s="431"/>
      <c r="AF1125" s="431"/>
      <c r="AG1125" s="431"/>
      <c r="AH1125" s="431"/>
      <c r="AI1125" s="431"/>
    </row>
    <row r="1126" spans="2:35" ht="11.25" customHeight="1" x14ac:dyDescent="0.35">
      <c r="B1126" s="244" t="s">
        <v>5446</v>
      </c>
      <c r="C1126" s="247"/>
      <c r="D1126" s="305" t="str">
        <f>IF(Y1126="","",Y1126)</f>
        <v>NA</v>
      </c>
      <c r="E1126" s="305" t="str">
        <f>IF(Z1126="","",Z1126)</f>
        <v>NA</v>
      </c>
      <c r="F1126" s="305" t="str">
        <f>IF(AA1126="","",AA1126)</f>
        <v>NA</v>
      </c>
      <c r="G1126" s="305" t="str">
        <f>IF(AB1126="","",AB1126)</f>
        <v>NA</v>
      </c>
      <c r="H1126" s="305" t="str">
        <f>IF(AC1126="","",AC1126)</f>
        <v>NA</v>
      </c>
      <c r="I1126" s="305" t="str">
        <f>IF(AD1126="","",AD1126)</f>
        <v>NA</v>
      </c>
      <c r="J1126" s="305" t="str">
        <f>IF(AE1126="","",AE1126)</f>
        <v>NA</v>
      </c>
      <c r="K1126" s="305" t="str">
        <f>IF(AF1126="","",AF1126)</f>
        <v>NA</v>
      </c>
      <c r="L1126" s="305" t="str">
        <f>IF(AG1126="","",AG1126)</f>
        <v>NA</v>
      </c>
      <c r="M1126" s="305" t="str">
        <f>IF(AH1126="","",AH1126)</f>
        <v>NA</v>
      </c>
      <c r="N1126" s="305" t="str">
        <f>IF(AI1126="","",AI1126)</f>
        <v>NA</v>
      </c>
      <c r="U1126" s="388" t="s">
        <v>5446</v>
      </c>
      <c r="V1126" s="421">
        <v>324681</v>
      </c>
      <c r="W1126" s="421" t="str">
        <f t="shared" ref="W1126:W1138" si="21">Period</f>
        <v>2014Y</v>
      </c>
      <c r="X1126" s="430" t="str">
        <f>[1]!SNLLabel(287,324681,,"&lt;&gt;357")</f>
        <v>AR: Total Accident and Health</v>
      </c>
      <c r="Y1126" s="441" t="s">
        <v>29</v>
      </c>
      <c r="Z1126" s="441" t="s">
        <v>29</v>
      </c>
      <c r="AA1126" s="441" t="s">
        <v>29</v>
      </c>
      <c r="AB1126" s="441" t="s">
        <v>29</v>
      </c>
      <c r="AC1126" s="441" t="s">
        <v>29</v>
      </c>
      <c r="AD1126" s="441" t="s">
        <v>29</v>
      </c>
      <c r="AE1126" s="441" t="s">
        <v>29</v>
      </c>
      <c r="AF1126" s="441" t="s">
        <v>29</v>
      </c>
      <c r="AG1126" s="441" t="s">
        <v>29</v>
      </c>
      <c r="AH1126" s="441" t="s">
        <v>29</v>
      </c>
      <c r="AI1126" s="441" t="s">
        <v>29</v>
      </c>
    </row>
    <row r="1127" spans="2:35" ht="11.25" customHeight="1" x14ac:dyDescent="0.35">
      <c r="B1127" s="244" t="s">
        <v>5447</v>
      </c>
      <c r="C1127" s="247"/>
      <c r="D1127" s="305" t="str">
        <f>IF(Y1127="","",Y1127)</f>
        <v>NA</v>
      </c>
      <c r="E1127" s="305" t="str">
        <f>IF(Z1127="","",Z1127)</f>
        <v>NA</v>
      </c>
      <c r="F1127" s="305" t="str">
        <f>IF(AA1127="","",AA1127)</f>
        <v>NA</v>
      </c>
      <c r="G1127" s="305" t="str">
        <f>IF(AB1127="","",AB1127)</f>
        <v>NA</v>
      </c>
      <c r="H1127" s="305" t="str">
        <f>IF(AC1127="","",AC1127)</f>
        <v>NA</v>
      </c>
      <c r="I1127" s="305" t="str">
        <f>IF(AD1127="","",AD1127)</f>
        <v>NA</v>
      </c>
      <c r="J1127" s="305" t="str">
        <f>IF(AE1127="","",AE1127)</f>
        <v>NA</v>
      </c>
      <c r="K1127" s="305" t="str">
        <f>IF(AF1127="","",AF1127)</f>
        <v>NA</v>
      </c>
      <c r="L1127" s="305" t="str">
        <f>IF(AG1127="","",AG1127)</f>
        <v>NA</v>
      </c>
      <c r="M1127" s="305" t="str">
        <f>IF(AH1127="","",AH1127)</f>
        <v>NA</v>
      </c>
      <c r="N1127" s="305" t="str">
        <f>IF(AI1127="","",AI1127)</f>
        <v>NA</v>
      </c>
      <c r="U1127" s="388" t="s">
        <v>5447</v>
      </c>
      <c r="V1127" s="421">
        <v>324681</v>
      </c>
      <c r="W1127" s="421" t="str">
        <f t="shared" si="21"/>
        <v>2014Y</v>
      </c>
      <c r="X1127" s="430" t="str">
        <f>[1]!SNLLabel(287,324681,,"&lt;&gt;50")</f>
        <v>AR: Cmprhsv (Hosp, Med) Grp</v>
      </c>
      <c r="Y1127" s="441" t="s">
        <v>29</v>
      </c>
      <c r="Z1127" s="441" t="s">
        <v>29</v>
      </c>
      <c r="AA1127" s="441" t="s">
        <v>29</v>
      </c>
      <c r="AB1127" s="441" t="s">
        <v>29</v>
      </c>
      <c r="AC1127" s="441" t="s">
        <v>29</v>
      </c>
      <c r="AD1127" s="441" t="s">
        <v>29</v>
      </c>
      <c r="AE1127" s="441" t="s">
        <v>29</v>
      </c>
      <c r="AF1127" s="441" t="s">
        <v>29</v>
      </c>
      <c r="AG1127" s="441" t="s">
        <v>29</v>
      </c>
      <c r="AH1127" s="441" t="s">
        <v>29</v>
      </c>
      <c r="AI1127" s="441" t="s">
        <v>29</v>
      </c>
    </row>
    <row r="1128" spans="2:35" ht="11.25" customHeight="1" x14ac:dyDescent="0.35">
      <c r="B1128" s="244" t="s">
        <v>5448</v>
      </c>
      <c r="C1128" s="247"/>
      <c r="D1128" s="305" t="str">
        <f>IF(Y1128="","",Y1128)</f>
        <v>NA</v>
      </c>
      <c r="E1128" s="305" t="str">
        <f>IF(Z1128="","",Z1128)</f>
        <v>NA</v>
      </c>
      <c r="F1128" s="305" t="str">
        <f>IF(AA1128="","",AA1128)</f>
        <v>NA</v>
      </c>
      <c r="G1128" s="305" t="str">
        <f>IF(AB1128="","",AB1128)</f>
        <v>NA</v>
      </c>
      <c r="H1128" s="305" t="str">
        <f>IF(AC1128="","",AC1128)</f>
        <v>NA</v>
      </c>
      <c r="I1128" s="305" t="str">
        <f>IF(AD1128="","",AD1128)</f>
        <v>NA</v>
      </c>
      <c r="J1128" s="305" t="str">
        <f>IF(AE1128="","",AE1128)</f>
        <v>NA</v>
      </c>
      <c r="K1128" s="305" t="str">
        <f>IF(AF1128="","",AF1128)</f>
        <v>NA</v>
      </c>
      <c r="L1128" s="305" t="str">
        <f>IF(AG1128="","",AG1128)</f>
        <v>NA</v>
      </c>
      <c r="M1128" s="305" t="str">
        <f>IF(AH1128="","",AH1128)</f>
        <v>NA</v>
      </c>
      <c r="N1128" s="305" t="str">
        <f>IF(AI1128="","",AI1128)</f>
        <v>NA</v>
      </c>
      <c r="U1128" s="388" t="s">
        <v>5448</v>
      </c>
      <c r="V1128" s="421">
        <v>324681</v>
      </c>
      <c r="W1128" s="421" t="str">
        <f t="shared" si="21"/>
        <v>2014Y</v>
      </c>
      <c r="X1128" s="430" t="str">
        <f>[1]!SNLLabel(287,324681,,"&lt;&gt;49")</f>
        <v>AR: Cmprhsv (Hosp, Med) Ind</v>
      </c>
      <c r="Y1128" s="441" t="s">
        <v>29</v>
      </c>
      <c r="Z1128" s="441" t="s">
        <v>29</v>
      </c>
      <c r="AA1128" s="441" t="s">
        <v>29</v>
      </c>
      <c r="AB1128" s="441" t="s">
        <v>29</v>
      </c>
      <c r="AC1128" s="441" t="s">
        <v>29</v>
      </c>
      <c r="AD1128" s="441" t="s">
        <v>29</v>
      </c>
      <c r="AE1128" s="441" t="s">
        <v>29</v>
      </c>
      <c r="AF1128" s="441" t="s">
        <v>29</v>
      </c>
      <c r="AG1128" s="441" t="s">
        <v>29</v>
      </c>
      <c r="AH1128" s="441" t="s">
        <v>29</v>
      </c>
      <c r="AI1128" s="441" t="s">
        <v>29</v>
      </c>
    </row>
    <row r="1129" spans="2:35" ht="11.25" customHeight="1" x14ac:dyDescent="0.35">
      <c r="B1129" s="244" t="s">
        <v>5449</v>
      </c>
      <c r="C1129" s="247"/>
      <c r="D1129" s="305">
        <f>IF(Y1129="","",Y1129)</f>
        <v>0</v>
      </c>
      <c r="E1129" s="305" t="str">
        <f>IF(Z1129="","",Z1129)</f>
        <v>NA</v>
      </c>
      <c r="F1129" s="305" t="str">
        <f>IF(AA1129="","",AA1129)</f>
        <v>NA</v>
      </c>
      <c r="G1129" s="305" t="str">
        <f>IF(AB1129="","",AB1129)</f>
        <v>NA</v>
      </c>
      <c r="H1129" s="305" t="str">
        <f>IF(AC1129="","",AC1129)</f>
        <v>NA</v>
      </c>
      <c r="I1129" s="305" t="str">
        <f>IF(AD1129="","",AD1129)</f>
        <v>NA</v>
      </c>
      <c r="J1129" s="305" t="str">
        <f>IF(AE1129="","",AE1129)</f>
        <v>NA</v>
      </c>
      <c r="K1129" s="305" t="str">
        <f>IF(AF1129="","",AF1129)</f>
        <v>NA</v>
      </c>
      <c r="L1129" s="305" t="str">
        <f>IF(AG1129="","",AG1129)</f>
        <v>NA</v>
      </c>
      <c r="M1129" s="305" t="str">
        <f>IF(AH1129="","",AH1129)</f>
        <v>NA</v>
      </c>
      <c r="N1129" s="305" t="str">
        <f>IF(AI1129="","",AI1129)</f>
        <v>NA</v>
      </c>
      <c r="U1129" s="388" t="s">
        <v>5449</v>
      </c>
      <c r="V1129" s="421">
        <v>324681</v>
      </c>
      <c r="W1129" s="421" t="str">
        <f t="shared" si="21"/>
        <v>2014Y</v>
      </c>
      <c r="X1129" s="430" t="str">
        <f>[1]!SNLLabel(287,324681,,"&lt;&gt;53")</f>
        <v>AR: Dental Only</v>
      </c>
      <c r="Y1129" s="441">
        <v>0</v>
      </c>
      <c r="Z1129" s="441" t="s">
        <v>29</v>
      </c>
      <c r="AA1129" s="441" t="s">
        <v>29</v>
      </c>
      <c r="AB1129" s="441" t="s">
        <v>29</v>
      </c>
      <c r="AC1129" s="441" t="s">
        <v>29</v>
      </c>
      <c r="AD1129" s="441" t="s">
        <v>29</v>
      </c>
      <c r="AE1129" s="441" t="s">
        <v>29</v>
      </c>
      <c r="AF1129" s="441" t="s">
        <v>29</v>
      </c>
      <c r="AG1129" s="441" t="s">
        <v>29</v>
      </c>
      <c r="AH1129" s="441" t="s">
        <v>29</v>
      </c>
      <c r="AI1129" s="441" t="s">
        <v>29</v>
      </c>
    </row>
    <row r="1130" spans="2:35" ht="11.25" customHeight="1" x14ac:dyDescent="0.35">
      <c r="B1130" s="244" t="s">
        <v>5450</v>
      </c>
      <c r="C1130" s="247"/>
      <c r="D1130" s="305" t="str">
        <f>IF(Y1130="","",Y1130)</f>
        <v>NA</v>
      </c>
      <c r="E1130" s="305" t="str">
        <f>IF(Z1130="","",Z1130)</f>
        <v>NA</v>
      </c>
      <c r="F1130" s="305" t="str">
        <f>IF(AA1130="","",AA1130)</f>
        <v>NA</v>
      </c>
      <c r="G1130" s="305" t="str">
        <f>IF(AB1130="","",AB1130)</f>
        <v>NA</v>
      </c>
      <c r="H1130" s="305" t="str">
        <f>IF(AC1130="","",AC1130)</f>
        <v>NA</v>
      </c>
      <c r="I1130" s="305" t="str">
        <f>IF(AD1130="","",AD1130)</f>
        <v>NA</v>
      </c>
      <c r="J1130" s="305" t="str">
        <f>IF(AE1130="","",AE1130)</f>
        <v>NA</v>
      </c>
      <c r="K1130" s="305" t="str">
        <f>IF(AF1130="","",AF1130)</f>
        <v>NA</v>
      </c>
      <c r="L1130" s="305" t="str">
        <f>IF(AG1130="","",AG1130)</f>
        <v>NA</v>
      </c>
      <c r="M1130" s="305" t="str">
        <f>IF(AH1130="","",AH1130)</f>
        <v>NA</v>
      </c>
      <c r="N1130" s="305" t="str">
        <f>IF(AI1130="","",AI1130)</f>
        <v>NA</v>
      </c>
      <c r="U1130" s="388" t="s">
        <v>5450</v>
      </c>
      <c r="V1130" s="421">
        <v>324681</v>
      </c>
      <c r="W1130" s="421" t="str">
        <f t="shared" si="21"/>
        <v>2014Y</v>
      </c>
      <c r="X1130" s="430" t="str">
        <f>[1]!SNLLabel(287,324681,,"&lt;&gt;70")</f>
        <v>AR: Disability Income</v>
      </c>
      <c r="Y1130" s="441" t="s">
        <v>29</v>
      </c>
      <c r="Z1130" s="441" t="s">
        <v>29</v>
      </c>
      <c r="AA1130" s="441" t="s">
        <v>29</v>
      </c>
      <c r="AB1130" s="441" t="s">
        <v>29</v>
      </c>
      <c r="AC1130" s="441" t="s">
        <v>29</v>
      </c>
      <c r="AD1130" s="441" t="s">
        <v>29</v>
      </c>
      <c r="AE1130" s="441" t="s">
        <v>29</v>
      </c>
      <c r="AF1130" s="441" t="s">
        <v>29</v>
      </c>
      <c r="AG1130" s="441" t="s">
        <v>29</v>
      </c>
      <c r="AH1130" s="441" t="s">
        <v>29</v>
      </c>
      <c r="AI1130" s="441" t="s">
        <v>29</v>
      </c>
    </row>
    <row r="1131" spans="2:35" ht="11.25" customHeight="1" x14ac:dyDescent="0.35">
      <c r="B1131" s="244" t="s">
        <v>5451</v>
      </c>
      <c r="C1131" s="247"/>
      <c r="D1131" s="305">
        <f>IF(Y1131="","",Y1131)</f>
        <v>0</v>
      </c>
      <c r="E1131" s="305" t="str">
        <f>IF(Z1131="","",Z1131)</f>
        <v>NA</v>
      </c>
      <c r="F1131" s="305" t="str">
        <f>IF(AA1131="","",AA1131)</f>
        <v>NA</v>
      </c>
      <c r="G1131" s="305" t="str">
        <f>IF(AB1131="","",AB1131)</f>
        <v>NA</v>
      </c>
      <c r="H1131" s="305" t="str">
        <f>IF(AC1131="","",AC1131)</f>
        <v>NA</v>
      </c>
      <c r="I1131" s="305" t="str">
        <f>IF(AD1131="","",AD1131)</f>
        <v>NA</v>
      </c>
      <c r="J1131" s="305" t="str">
        <f>IF(AE1131="","",AE1131)</f>
        <v>NA</v>
      </c>
      <c r="K1131" s="305" t="str">
        <f>IF(AF1131="","",AF1131)</f>
        <v>NA</v>
      </c>
      <c r="L1131" s="305" t="str">
        <f>IF(AG1131="","",AG1131)</f>
        <v>NA</v>
      </c>
      <c r="M1131" s="305" t="str">
        <f>IF(AH1131="","",AH1131)</f>
        <v>NA</v>
      </c>
      <c r="N1131" s="305" t="str">
        <f>IF(AI1131="","",AI1131)</f>
        <v>NA</v>
      </c>
      <c r="U1131" s="388" t="s">
        <v>5451</v>
      </c>
      <c r="V1131" s="421">
        <v>324681</v>
      </c>
      <c r="W1131" s="421" t="str">
        <f t="shared" si="21"/>
        <v>2014Y</v>
      </c>
      <c r="X1131" s="430" t="str">
        <f>[1]!SNLLabel(287,324681,,"&lt;&gt;89")</f>
        <v>AR: Fed Emp Health Ben</v>
      </c>
      <c r="Y1131" s="441">
        <v>0</v>
      </c>
      <c r="Z1131" s="441" t="s">
        <v>29</v>
      </c>
      <c r="AA1131" s="441" t="s">
        <v>29</v>
      </c>
      <c r="AB1131" s="441" t="s">
        <v>29</v>
      </c>
      <c r="AC1131" s="441" t="s">
        <v>29</v>
      </c>
      <c r="AD1131" s="441" t="s">
        <v>29</v>
      </c>
      <c r="AE1131" s="441" t="s">
        <v>29</v>
      </c>
      <c r="AF1131" s="441" t="s">
        <v>29</v>
      </c>
      <c r="AG1131" s="441" t="s">
        <v>29</v>
      </c>
      <c r="AH1131" s="441" t="s">
        <v>29</v>
      </c>
      <c r="AI1131" s="441" t="s">
        <v>29</v>
      </c>
    </row>
    <row r="1132" spans="2:35" ht="11.25" customHeight="1" x14ac:dyDescent="0.35">
      <c r="B1132" s="244" t="s">
        <v>5452</v>
      </c>
      <c r="C1132" s="247"/>
      <c r="D1132" s="305" t="str">
        <f>IF(Y1132="","",Y1132)</f>
        <v>NA</v>
      </c>
      <c r="E1132" s="305" t="str">
        <f>IF(Z1132="","",Z1132)</f>
        <v>NA</v>
      </c>
      <c r="F1132" s="305" t="str">
        <f>IF(AA1132="","",AA1132)</f>
        <v>NA</v>
      </c>
      <c r="G1132" s="305" t="str">
        <f>IF(AB1132="","",AB1132)</f>
        <v>NA</v>
      </c>
      <c r="H1132" s="305" t="str">
        <f>IF(AC1132="","",AC1132)</f>
        <v>NA</v>
      </c>
      <c r="I1132" s="305" t="str">
        <f>IF(AD1132="","",AD1132)</f>
        <v>NA</v>
      </c>
      <c r="J1132" s="305" t="str">
        <f>IF(AE1132="","",AE1132)</f>
        <v>NA</v>
      </c>
      <c r="K1132" s="305" t="str">
        <f>IF(AF1132="","",AF1132)</f>
        <v>NA</v>
      </c>
      <c r="L1132" s="305" t="str">
        <f>IF(AG1132="","",AG1132)</f>
        <v>NA</v>
      </c>
      <c r="M1132" s="305" t="str">
        <f>IF(AH1132="","",AH1132)</f>
        <v>NA</v>
      </c>
      <c r="N1132" s="305" t="str">
        <f>IF(AI1132="","",AI1132)</f>
        <v>NA</v>
      </c>
      <c r="U1132" s="388" t="s">
        <v>5452</v>
      </c>
      <c r="V1132" s="421">
        <v>324681</v>
      </c>
      <c r="W1132" s="421" t="str">
        <f t="shared" si="21"/>
        <v>2014Y</v>
      </c>
      <c r="X1132" s="430" t="str">
        <f>[1]!SNLLabel(287,324681,,"&lt;&gt;71")</f>
        <v>AR: Long-Term Care</v>
      </c>
      <c r="Y1132" s="441" t="s">
        <v>29</v>
      </c>
      <c r="Z1132" s="441" t="s">
        <v>29</v>
      </c>
      <c r="AA1132" s="441" t="s">
        <v>29</v>
      </c>
      <c r="AB1132" s="441" t="s">
        <v>29</v>
      </c>
      <c r="AC1132" s="441" t="s">
        <v>29</v>
      </c>
      <c r="AD1132" s="441" t="s">
        <v>29</v>
      </c>
      <c r="AE1132" s="441" t="s">
        <v>29</v>
      </c>
      <c r="AF1132" s="441" t="s">
        <v>29</v>
      </c>
      <c r="AG1132" s="441" t="s">
        <v>29</v>
      </c>
      <c r="AH1132" s="441" t="s">
        <v>29</v>
      </c>
      <c r="AI1132" s="441" t="s">
        <v>29</v>
      </c>
    </row>
    <row r="1133" spans="2:35" ht="11.25" customHeight="1" x14ac:dyDescent="0.35">
      <c r="B1133" s="244" t="s">
        <v>5453</v>
      </c>
      <c r="C1133" s="247"/>
      <c r="D1133" s="305">
        <f>IF(Y1133="","",Y1133)</f>
        <v>727.89</v>
      </c>
      <c r="E1133" s="305" t="str">
        <f>IF(Z1133="","",Z1133)</f>
        <v>NA</v>
      </c>
      <c r="F1133" s="305" t="str">
        <f>IF(AA1133="","",AA1133)</f>
        <v>NA</v>
      </c>
      <c r="G1133" s="305" t="str">
        <f>IF(AB1133="","",AB1133)</f>
        <v>NA</v>
      </c>
      <c r="H1133" s="305" t="str">
        <f>IF(AC1133="","",AC1133)</f>
        <v>NA</v>
      </c>
      <c r="I1133" s="305" t="str">
        <f>IF(AD1133="","",AD1133)</f>
        <v>NA</v>
      </c>
      <c r="J1133" s="305" t="str">
        <f>IF(AE1133="","",AE1133)</f>
        <v>NA</v>
      </c>
      <c r="K1133" s="305" t="str">
        <f>IF(AF1133="","",AF1133)</f>
        <v>NA</v>
      </c>
      <c r="L1133" s="305" t="str">
        <f>IF(AG1133="","",AG1133)</f>
        <v>NA</v>
      </c>
      <c r="M1133" s="305" t="str">
        <f>IF(AH1133="","",AH1133)</f>
        <v>NA</v>
      </c>
      <c r="N1133" s="305" t="str">
        <f>IF(AI1133="","",AI1133)</f>
        <v>NA</v>
      </c>
      <c r="U1133" s="388" t="s">
        <v>5453</v>
      </c>
      <c r="V1133" s="421">
        <v>324681</v>
      </c>
      <c r="W1133" s="421" t="str">
        <f t="shared" si="21"/>
        <v>2014Y</v>
      </c>
      <c r="X1133" s="430" t="str">
        <f>[1]!SNLLabel(287,324681,,"&lt;&gt;51")</f>
        <v>AR: Medicare Supplement</v>
      </c>
      <c r="Y1133" s="441">
        <v>727.89</v>
      </c>
      <c r="Z1133" s="441" t="s">
        <v>29</v>
      </c>
      <c r="AA1133" s="441" t="s">
        <v>29</v>
      </c>
      <c r="AB1133" s="441" t="s">
        <v>29</v>
      </c>
      <c r="AC1133" s="441" t="s">
        <v>29</v>
      </c>
      <c r="AD1133" s="441" t="s">
        <v>29</v>
      </c>
      <c r="AE1133" s="441" t="s">
        <v>29</v>
      </c>
      <c r="AF1133" s="441" t="s">
        <v>29</v>
      </c>
      <c r="AG1133" s="441" t="s">
        <v>29</v>
      </c>
      <c r="AH1133" s="441" t="s">
        <v>29</v>
      </c>
      <c r="AI1133" s="441" t="s">
        <v>29</v>
      </c>
    </row>
    <row r="1134" spans="2:35" ht="11.25" customHeight="1" x14ac:dyDescent="0.35">
      <c r="B1134" s="244" t="s">
        <v>5454</v>
      </c>
      <c r="C1134" s="247"/>
      <c r="D1134" s="305">
        <f>IF(Y1134="","",Y1134)</f>
        <v>0</v>
      </c>
      <c r="E1134" s="305" t="str">
        <f>IF(Z1134="","",Z1134)</f>
        <v>NA</v>
      </c>
      <c r="F1134" s="305" t="str">
        <f>IF(AA1134="","",AA1134)</f>
        <v>NA</v>
      </c>
      <c r="G1134" s="305" t="str">
        <f>IF(AB1134="","",AB1134)</f>
        <v>NA</v>
      </c>
      <c r="H1134" s="305" t="str">
        <f>IF(AC1134="","",AC1134)</f>
        <v>NA</v>
      </c>
      <c r="I1134" s="305" t="str">
        <f>IF(AD1134="","",AD1134)</f>
        <v>NA</v>
      </c>
      <c r="J1134" s="305" t="str">
        <f>IF(AE1134="","",AE1134)</f>
        <v>NA</v>
      </c>
      <c r="K1134" s="305" t="str">
        <f>IF(AF1134="","",AF1134)</f>
        <v>NA</v>
      </c>
      <c r="L1134" s="305" t="str">
        <f>IF(AG1134="","",AG1134)</f>
        <v>NA</v>
      </c>
      <c r="M1134" s="305" t="str">
        <f>IF(AH1134="","",AH1134)</f>
        <v>NA</v>
      </c>
      <c r="N1134" s="305" t="str">
        <f>IF(AI1134="","",AI1134)</f>
        <v>NA</v>
      </c>
      <c r="U1134" s="388" t="s">
        <v>5454</v>
      </c>
      <c r="V1134" s="421">
        <v>324681</v>
      </c>
      <c r="W1134" s="421" t="str">
        <f t="shared" si="21"/>
        <v>2014Y</v>
      </c>
      <c r="X1134" s="430" t="str">
        <f>[1]!SNLLabel(287,324681,,"&lt;&gt;56")</f>
        <v>AR: Title XIX Medicaid</v>
      </c>
      <c r="Y1134" s="441">
        <v>0</v>
      </c>
      <c r="Z1134" s="441" t="s">
        <v>29</v>
      </c>
      <c r="AA1134" s="441" t="s">
        <v>29</v>
      </c>
      <c r="AB1134" s="441" t="s">
        <v>29</v>
      </c>
      <c r="AC1134" s="441" t="s">
        <v>29</v>
      </c>
      <c r="AD1134" s="441" t="s">
        <v>29</v>
      </c>
      <c r="AE1134" s="441" t="s">
        <v>29</v>
      </c>
      <c r="AF1134" s="441" t="s">
        <v>29</v>
      </c>
      <c r="AG1134" s="441" t="s">
        <v>29</v>
      </c>
      <c r="AH1134" s="441" t="s">
        <v>29</v>
      </c>
      <c r="AI1134" s="441" t="s">
        <v>29</v>
      </c>
    </row>
    <row r="1135" spans="2:35" ht="11.25" customHeight="1" x14ac:dyDescent="0.35">
      <c r="B1135" s="244" t="s">
        <v>5455</v>
      </c>
      <c r="C1135" s="247"/>
      <c r="D1135" s="305">
        <f>IF(Y1135="","",Y1135)</f>
        <v>0</v>
      </c>
      <c r="E1135" s="305" t="str">
        <f>IF(Z1135="","",Z1135)</f>
        <v>NA</v>
      </c>
      <c r="F1135" s="305" t="str">
        <f>IF(AA1135="","",AA1135)</f>
        <v>NA</v>
      </c>
      <c r="G1135" s="305" t="str">
        <f>IF(AB1135="","",AB1135)</f>
        <v>NA</v>
      </c>
      <c r="H1135" s="305" t="str">
        <f>IF(AC1135="","",AC1135)</f>
        <v>NA</v>
      </c>
      <c r="I1135" s="305" t="str">
        <f>IF(AD1135="","",AD1135)</f>
        <v>NA</v>
      </c>
      <c r="J1135" s="305" t="str">
        <f>IF(AE1135="","",AE1135)</f>
        <v>NA</v>
      </c>
      <c r="K1135" s="305" t="str">
        <f>IF(AF1135="","",AF1135)</f>
        <v>NA</v>
      </c>
      <c r="L1135" s="305" t="str">
        <f>IF(AG1135="","",AG1135)</f>
        <v>NA</v>
      </c>
      <c r="M1135" s="305" t="str">
        <f>IF(AH1135="","",AH1135)</f>
        <v>NA</v>
      </c>
      <c r="N1135" s="305" t="str">
        <f>IF(AI1135="","",AI1135)</f>
        <v>NA</v>
      </c>
      <c r="U1135" s="388" t="s">
        <v>5455</v>
      </c>
      <c r="V1135" s="421">
        <v>324681</v>
      </c>
      <c r="W1135" s="421" t="str">
        <f t="shared" si="21"/>
        <v>2014Y</v>
      </c>
      <c r="X1135" s="430" t="str">
        <f>[1]!SNLLabel(287,324681,,"&lt;&gt;55")</f>
        <v>AR: Title XVIII Medicare</v>
      </c>
      <c r="Y1135" s="441">
        <v>0</v>
      </c>
      <c r="Z1135" s="441" t="s">
        <v>29</v>
      </c>
      <c r="AA1135" s="441" t="s">
        <v>29</v>
      </c>
      <c r="AB1135" s="441" t="s">
        <v>29</v>
      </c>
      <c r="AC1135" s="441" t="s">
        <v>29</v>
      </c>
      <c r="AD1135" s="441" t="s">
        <v>29</v>
      </c>
      <c r="AE1135" s="441" t="s">
        <v>29</v>
      </c>
      <c r="AF1135" s="441" t="s">
        <v>29</v>
      </c>
      <c r="AG1135" s="441" t="s">
        <v>29</v>
      </c>
      <c r="AH1135" s="441" t="s">
        <v>29</v>
      </c>
      <c r="AI1135" s="441" t="s">
        <v>29</v>
      </c>
    </row>
    <row r="1136" spans="2:35" ht="11.25" customHeight="1" x14ac:dyDescent="0.35">
      <c r="B1136" s="244" t="s">
        <v>5456</v>
      </c>
      <c r="C1136" s="247"/>
      <c r="D1136" s="305">
        <f>IF(Y1136="","",Y1136)</f>
        <v>0</v>
      </c>
      <c r="E1136" s="305" t="str">
        <f>IF(Z1136="","",Z1136)</f>
        <v>NA</v>
      </c>
      <c r="F1136" s="305" t="str">
        <f>IF(AA1136="","",AA1136)</f>
        <v>NA</v>
      </c>
      <c r="G1136" s="305" t="str">
        <f>IF(AB1136="","",AB1136)</f>
        <v>NA</v>
      </c>
      <c r="H1136" s="305" t="str">
        <f>IF(AC1136="","",AC1136)</f>
        <v>NA</v>
      </c>
      <c r="I1136" s="305" t="str">
        <f>IF(AD1136="","",AD1136)</f>
        <v>NA</v>
      </c>
      <c r="J1136" s="305" t="str">
        <f>IF(AE1136="","",AE1136)</f>
        <v>NA</v>
      </c>
      <c r="K1136" s="305" t="str">
        <f>IF(AF1136="","",AF1136)</f>
        <v>NA</v>
      </c>
      <c r="L1136" s="305" t="str">
        <f>IF(AG1136="","",AG1136)</f>
        <v>NA</v>
      </c>
      <c r="M1136" s="305" t="str">
        <f>IF(AH1136="","",AH1136)</f>
        <v>NA</v>
      </c>
      <c r="N1136" s="305" t="str">
        <f>IF(AI1136="","",AI1136)</f>
        <v>NA</v>
      </c>
      <c r="U1136" s="388" t="s">
        <v>5456</v>
      </c>
      <c r="V1136" s="421">
        <v>324681</v>
      </c>
      <c r="W1136" s="421" t="str">
        <f t="shared" si="21"/>
        <v>2014Y</v>
      </c>
      <c r="X1136" s="430" t="str">
        <f>[1]!SNLLabel(287,324681,,"&lt;&gt;52")</f>
        <v>AR: Vision Only</v>
      </c>
      <c r="Y1136" s="441">
        <v>0</v>
      </c>
      <c r="Z1136" s="441" t="s">
        <v>29</v>
      </c>
      <c r="AA1136" s="441" t="s">
        <v>29</v>
      </c>
      <c r="AB1136" s="441" t="s">
        <v>29</v>
      </c>
      <c r="AC1136" s="441" t="s">
        <v>29</v>
      </c>
      <c r="AD1136" s="441" t="s">
        <v>29</v>
      </c>
      <c r="AE1136" s="441" t="s">
        <v>29</v>
      </c>
      <c r="AF1136" s="441" t="s">
        <v>29</v>
      </c>
      <c r="AG1136" s="441" t="s">
        <v>29</v>
      </c>
      <c r="AH1136" s="441" t="s">
        <v>29</v>
      </c>
      <c r="AI1136" s="441" t="s">
        <v>29</v>
      </c>
    </row>
    <row r="1137" spans="2:35" ht="11.25" customHeight="1" x14ac:dyDescent="0.35">
      <c r="B1137" s="244" t="s">
        <v>5400</v>
      </c>
      <c r="C1137" s="247"/>
      <c r="D1137" s="305" t="str">
        <f>IF(Y1137="","",Y1137)</f>
        <v>NA</v>
      </c>
      <c r="E1137" s="305" t="str">
        <f>IF(Z1137="","",Z1137)</f>
        <v>NA</v>
      </c>
      <c r="F1137" s="305" t="str">
        <f>IF(AA1137="","",AA1137)</f>
        <v>NA</v>
      </c>
      <c r="G1137" s="305" t="str">
        <f>IF(AB1137="","",AB1137)</f>
        <v>NA</v>
      </c>
      <c r="H1137" s="305" t="str">
        <f>IF(AC1137="","",AC1137)</f>
        <v>NA</v>
      </c>
      <c r="I1137" s="305" t="str">
        <f>IF(AD1137="","",AD1137)</f>
        <v>NA</v>
      </c>
      <c r="J1137" s="305" t="str">
        <f>IF(AE1137="","",AE1137)</f>
        <v>NA</v>
      </c>
      <c r="K1137" s="305" t="str">
        <f>IF(AF1137="","",AF1137)</f>
        <v>NA</v>
      </c>
      <c r="L1137" s="305" t="str">
        <f>IF(AG1137="","",AG1137)</f>
        <v>NA</v>
      </c>
      <c r="M1137" s="305" t="str">
        <f>IF(AH1137="","",AH1137)</f>
        <v>NA</v>
      </c>
      <c r="N1137" s="305" t="str">
        <f>IF(AI1137="","",AI1137)</f>
        <v>NA</v>
      </c>
      <c r="U1137" s="388" t="s">
        <v>5400</v>
      </c>
      <c r="V1137" s="421">
        <v>324681</v>
      </c>
      <c r="W1137" s="421" t="str">
        <f t="shared" si="21"/>
        <v>2014Y</v>
      </c>
      <c r="X1137" s="430" t="str">
        <f>[1]!SNLLabel(287,324681,,"&lt;&gt;358")</f>
        <v>AR: Credit A&amp;H</v>
      </c>
      <c r="Y1137" s="441" t="s">
        <v>29</v>
      </c>
      <c r="Z1137" s="441" t="s">
        <v>29</v>
      </c>
      <c r="AA1137" s="441" t="s">
        <v>29</v>
      </c>
      <c r="AB1137" s="441" t="s">
        <v>29</v>
      </c>
      <c r="AC1137" s="441" t="s">
        <v>29</v>
      </c>
      <c r="AD1137" s="441" t="s">
        <v>29</v>
      </c>
      <c r="AE1137" s="441" t="s">
        <v>29</v>
      </c>
      <c r="AF1137" s="441" t="s">
        <v>29</v>
      </c>
      <c r="AG1137" s="441" t="s">
        <v>29</v>
      </c>
      <c r="AH1137" s="441" t="s">
        <v>29</v>
      </c>
      <c r="AI1137" s="441" t="s">
        <v>29</v>
      </c>
    </row>
    <row r="1138" spans="2:35" ht="11.25" customHeight="1" x14ac:dyDescent="0.35">
      <c r="B1138" s="244" t="s">
        <v>5401</v>
      </c>
      <c r="C1138" s="247"/>
      <c r="D1138" s="305" t="str">
        <f>IF(Y1138="","",Y1138)</f>
        <v>NA</v>
      </c>
      <c r="E1138" s="305" t="str">
        <f>IF(Z1138="","",Z1138)</f>
        <v>NA</v>
      </c>
      <c r="F1138" s="305" t="str">
        <f>IF(AA1138="","",AA1138)</f>
        <v>NA</v>
      </c>
      <c r="G1138" s="305" t="str">
        <f>IF(AB1138="","",AB1138)</f>
        <v>NA</v>
      </c>
      <c r="H1138" s="305" t="str">
        <f>IF(AC1138="","",AC1138)</f>
        <v>NA</v>
      </c>
      <c r="I1138" s="305" t="str">
        <f>IF(AD1138="","",AD1138)</f>
        <v>NA</v>
      </c>
      <c r="J1138" s="305" t="str">
        <f>IF(AE1138="","",AE1138)</f>
        <v>NA</v>
      </c>
      <c r="K1138" s="305" t="str">
        <f>IF(AF1138="","",AF1138)</f>
        <v>NA</v>
      </c>
      <c r="L1138" s="305" t="str">
        <f>IF(AG1138="","",AG1138)</f>
        <v>NA</v>
      </c>
      <c r="M1138" s="305" t="str">
        <f>IF(AH1138="","",AH1138)</f>
        <v>NA</v>
      </c>
      <c r="N1138" s="305" t="str">
        <f>IF(AI1138="","",AI1138)</f>
        <v>NA</v>
      </c>
      <c r="U1138" s="367" t="s">
        <v>5401</v>
      </c>
      <c r="V1138" s="425">
        <v>324681</v>
      </c>
      <c r="W1138" s="425" t="str">
        <f t="shared" si="21"/>
        <v>2014Y</v>
      </c>
      <c r="X1138" s="436" t="str">
        <f>[1]!SNLLabel(287,324681,,"&lt;&gt;359")</f>
        <v>AR: Other Health</v>
      </c>
      <c r="Y1138" s="442" t="s">
        <v>29</v>
      </c>
      <c r="Z1138" s="442" t="s">
        <v>29</v>
      </c>
      <c r="AA1138" s="442" t="s">
        <v>29</v>
      </c>
      <c r="AB1138" s="442" t="s">
        <v>29</v>
      </c>
      <c r="AC1138" s="442" t="s">
        <v>29</v>
      </c>
      <c r="AD1138" s="442" t="s">
        <v>29</v>
      </c>
      <c r="AE1138" s="442" t="s">
        <v>29</v>
      </c>
      <c r="AF1138" s="442" t="s">
        <v>29</v>
      </c>
      <c r="AG1138" s="442" t="s">
        <v>29</v>
      </c>
      <c r="AH1138" s="442" t="s">
        <v>29</v>
      </c>
      <c r="AI1138" s="442" t="s">
        <v>29</v>
      </c>
    </row>
    <row r="1139" spans="2:35" ht="11.25" customHeight="1" x14ac:dyDescent="0.35">
      <c r="B1139" s="294"/>
      <c r="C1139" s="329"/>
      <c r="D1139" s="305"/>
      <c r="E1139" s="305"/>
      <c r="F1139" s="305"/>
      <c r="G1139" s="305"/>
      <c r="H1139" s="305"/>
      <c r="I1139" s="305"/>
      <c r="J1139" s="305"/>
      <c r="K1139" s="305"/>
      <c r="L1139" s="305"/>
      <c r="M1139" s="305"/>
      <c r="N1139" s="305"/>
    </row>
    <row r="1140" spans="2:35" ht="11.25" customHeight="1" x14ac:dyDescent="0.4">
      <c r="B1140" s="332" t="s">
        <v>5397</v>
      </c>
      <c r="C1140" s="329"/>
      <c r="D1140" s="305"/>
      <c r="E1140" s="305"/>
      <c r="F1140" s="305"/>
      <c r="G1140" s="305"/>
      <c r="H1140" s="305"/>
      <c r="I1140" s="305"/>
      <c r="J1140" s="305"/>
      <c r="K1140" s="305"/>
      <c r="L1140" s="305"/>
      <c r="M1140" s="305"/>
      <c r="N1140" s="305"/>
    </row>
    <row r="1141" spans="2:35" ht="11.25" customHeight="1" x14ac:dyDescent="0.35">
      <c r="B1141" s="294" t="s">
        <v>5126</v>
      </c>
      <c r="C1141" s="329">
        <v>123684</v>
      </c>
      <c r="D1141" s="305">
        <v>6203628.9939999999</v>
      </c>
      <c r="E1141" s="305">
        <v>0</v>
      </c>
      <c r="F1141" s="305">
        <v>0</v>
      </c>
      <c r="G1141" s="305">
        <v>0</v>
      </c>
      <c r="H1141" s="305">
        <v>0</v>
      </c>
      <c r="I1141" s="305">
        <v>0</v>
      </c>
      <c r="J1141" s="305">
        <v>0</v>
      </c>
      <c r="K1141" s="305">
        <v>15.8</v>
      </c>
      <c r="L1141" s="305">
        <v>0</v>
      </c>
      <c r="M1141" s="305">
        <v>0</v>
      </c>
      <c r="N1141" s="305">
        <v>0</v>
      </c>
    </row>
    <row r="1142" spans="2:35" ht="11.25" customHeight="1" x14ac:dyDescent="0.35">
      <c r="B1142" s="294" t="s">
        <v>5125</v>
      </c>
      <c r="C1142" s="329">
        <v>123685</v>
      </c>
      <c r="D1142" s="305">
        <v>997184234.84300005</v>
      </c>
      <c r="E1142" s="305">
        <v>53036.332000000002</v>
      </c>
      <c r="F1142" s="305">
        <v>1860964.7210000001</v>
      </c>
      <c r="G1142" s="305">
        <v>16973785.129999999</v>
      </c>
      <c r="H1142" s="305">
        <v>0</v>
      </c>
      <c r="I1142" s="305">
        <v>1223106.2050000001</v>
      </c>
      <c r="J1142" s="305">
        <v>636486.12600000005</v>
      </c>
      <c r="K1142" s="305">
        <v>313939.64900000003</v>
      </c>
      <c r="L1142" s="305">
        <v>32614.726999999999</v>
      </c>
      <c r="M1142" s="305">
        <v>41873.792000000001</v>
      </c>
      <c r="N1142" s="305">
        <v>983081.46</v>
      </c>
    </row>
    <row r="1143" spans="2:35" ht="11.25" customHeight="1" x14ac:dyDescent="0.35">
      <c r="B1143" s="294" t="s">
        <v>5277</v>
      </c>
      <c r="C1143" s="329">
        <v>123686</v>
      </c>
      <c r="D1143" s="305">
        <v>1037197168.344</v>
      </c>
      <c r="E1143" s="305">
        <v>10444461.392000001</v>
      </c>
      <c r="F1143" s="305">
        <v>58333.785000000003</v>
      </c>
      <c r="G1143" s="305">
        <v>3329484.514</v>
      </c>
      <c r="H1143" s="305">
        <v>0</v>
      </c>
      <c r="I1143" s="305">
        <v>132.64400000000001</v>
      </c>
      <c r="J1143" s="305">
        <v>3251140.9780000001</v>
      </c>
      <c r="K1143" s="305">
        <v>536668.49900000007</v>
      </c>
      <c r="L1143" s="305">
        <v>33057.81</v>
      </c>
      <c r="M1143" s="305">
        <v>0</v>
      </c>
      <c r="N1143" s="305">
        <v>22.405999999999999</v>
      </c>
    </row>
    <row r="1144" spans="2:35" ht="11.25" customHeight="1" x14ac:dyDescent="0.35">
      <c r="B1144" s="294" t="s">
        <v>5276</v>
      </c>
      <c r="C1144" s="329">
        <v>123687</v>
      </c>
      <c r="D1144" s="305">
        <v>17291012.626000002</v>
      </c>
      <c r="E1144" s="305">
        <v>0</v>
      </c>
      <c r="F1144" s="305">
        <v>2451.1849999999999</v>
      </c>
      <c r="G1144" s="305">
        <v>0</v>
      </c>
      <c r="H1144" s="305">
        <v>0</v>
      </c>
      <c r="I1144" s="305">
        <v>167.45500000000001</v>
      </c>
      <c r="J1144" s="305">
        <v>48994.154000000002</v>
      </c>
      <c r="K1144" s="305">
        <v>46775.811000000002</v>
      </c>
      <c r="L1144" s="305">
        <v>421.416</v>
      </c>
      <c r="M1144" s="305">
        <v>0</v>
      </c>
      <c r="N1144" s="305">
        <v>0</v>
      </c>
    </row>
    <row r="1145" spans="2:35" ht="11.25" customHeight="1" x14ac:dyDescent="0.35">
      <c r="B1145" s="294" t="s">
        <v>5123</v>
      </c>
      <c r="C1145" s="329">
        <v>123688</v>
      </c>
      <c r="D1145" s="305">
        <v>621075.33200000005</v>
      </c>
      <c r="E1145" s="305">
        <v>4.5270000000000001</v>
      </c>
      <c r="F1145" s="305">
        <v>0</v>
      </c>
      <c r="G1145" s="305">
        <v>0</v>
      </c>
      <c r="H1145" s="305">
        <v>0</v>
      </c>
      <c r="I1145" s="305">
        <v>0</v>
      </c>
      <c r="J1145" s="305">
        <v>0</v>
      </c>
      <c r="K1145" s="305">
        <v>0</v>
      </c>
      <c r="L1145" s="305">
        <v>0</v>
      </c>
      <c r="M1145" s="305">
        <v>0</v>
      </c>
      <c r="N1145" s="305">
        <v>0</v>
      </c>
    </row>
    <row r="1146" spans="2:35" ht="11.25" customHeight="1" x14ac:dyDescent="0.35">
      <c r="B1146" s="294" t="s">
        <v>5275</v>
      </c>
      <c r="C1146" s="329">
        <v>123689</v>
      </c>
      <c r="D1146" s="305">
        <v>56693552.075000003</v>
      </c>
      <c r="E1146" s="305">
        <v>110267.617</v>
      </c>
      <c r="F1146" s="305">
        <v>324.40899999999999</v>
      </c>
      <c r="G1146" s="305">
        <v>19984.588</v>
      </c>
      <c r="H1146" s="305">
        <v>0</v>
      </c>
      <c r="I1146" s="305">
        <v>111219.25</v>
      </c>
      <c r="J1146" s="305">
        <v>191.30100000000002</v>
      </c>
      <c r="K1146" s="305">
        <v>13744.322</v>
      </c>
      <c r="L1146" s="305">
        <v>0</v>
      </c>
      <c r="M1146" s="305">
        <v>0</v>
      </c>
      <c r="N1146" s="305">
        <v>2961.0920000000001</v>
      </c>
    </row>
    <row r="1147" spans="2:35" ht="11.25" customHeight="1" x14ac:dyDescent="0.35">
      <c r="B1147" s="294" t="s">
        <v>5121</v>
      </c>
      <c r="C1147" s="329">
        <v>123690</v>
      </c>
      <c r="D1147" s="305">
        <v>352436349.70499998</v>
      </c>
      <c r="E1147" s="305">
        <v>228.596</v>
      </c>
      <c r="F1147" s="305">
        <v>0</v>
      </c>
      <c r="G1147" s="305">
        <v>0</v>
      </c>
      <c r="H1147" s="305">
        <v>0</v>
      </c>
      <c r="I1147" s="305">
        <v>734471.88699999999</v>
      </c>
      <c r="J1147" s="305">
        <v>85116.865000000005</v>
      </c>
      <c r="K1147" s="305">
        <v>128603.553</v>
      </c>
      <c r="L1147" s="305">
        <v>0</v>
      </c>
      <c r="M1147" s="305">
        <v>0</v>
      </c>
      <c r="N1147" s="305">
        <v>5.5680000000000005</v>
      </c>
    </row>
    <row r="1148" spans="2:35" ht="11.25" customHeight="1" x14ac:dyDescent="0.35">
      <c r="B1148" s="294" t="s">
        <v>5120</v>
      </c>
      <c r="C1148" s="329">
        <v>123691</v>
      </c>
      <c r="D1148" s="305">
        <v>60463589.289999999</v>
      </c>
      <c r="E1148" s="305">
        <v>47128.207999999999</v>
      </c>
      <c r="F1148" s="305">
        <v>0</v>
      </c>
      <c r="G1148" s="305">
        <v>25795.788</v>
      </c>
      <c r="H1148" s="305">
        <v>531965.20200000005</v>
      </c>
      <c r="I1148" s="305">
        <v>71659.604999999996</v>
      </c>
      <c r="J1148" s="305">
        <v>78616.487000000008</v>
      </c>
      <c r="K1148" s="305">
        <v>669207.74400000006</v>
      </c>
      <c r="L1148" s="305">
        <v>0</v>
      </c>
      <c r="M1148" s="305">
        <v>0</v>
      </c>
      <c r="N1148" s="305">
        <v>28880.507000000001</v>
      </c>
    </row>
    <row r="1149" spans="2:35" ht="11.25" customHeight="1" x14ac:dyDescent="0.35">
      <c r="B1149" s="294" t="s">
        <v>5119</v>
      </c>
      <c r="C1149" s="329">
        <v>123692</v>
      </c>
      <c r="D1149" s="305">
        <v>1016398.1730000001</v>
      </c>
      <c r="E1149" s="305">
        <v>0.76400000000000001</v>
      </c>
      <c r="F1149" s="305">
        <v>0</v>
      </c>
      <c r="G1149" s="305">
        <v>0</v>
      </c>
      <c r="H1149" s="305">
        <v>0</v>
      </c>
      <c r="I1149" s="305">
        <v>0</v>
      </c>
      <c r="J1149" s="305">
        <v>0</v>
      </c>
      <c r="K1149" s="305">
        <v>0</v>
      </c>
      <c r="L1149" s="305">
        <v>0</v>
      </c>
      <c r="M1149" s="305">
        <v>0</v>
      </c>
      <c r="N1149" s="305">
        <v>0</v>
      </c>
    </row>
    <row r="1150" spans="2:35" ht="11.25" customHeight="1" x14ac:dyDescent="0.55000000000000004">
      <c r="B1150" s="294" t="s">
        <v>5107</v>
      </c>
      <c r="C1150" s="329">
        <v>123693</v>
      </c>
      <c r="D1150" s="305">
        <v>162069848.426</v>
      </c>
      <c r="E1150" s="305">
        <v>5649963.0269999998</v>
      </c>
      <c r="F1150" s="305">
        <v>2185.4450000000002</v>
      </c>
      <c r="G1150" s="305">
        <v>48636943.564000003</v>
      </c>
      <c r="H1150" s="305">
        <v>1776617.28</v>
      </c>
      <c r="I1150" s="305">
        <v>4898705.2980000004</v>
      </c>
      <c r="J1150" s="305">
        <v>1874963.3870000001</v>
      </c>
      <c r="K1150" s="305">
        <v>1641896.7480000001</v>
      </c>
      <c r="L1150" s="305">
        <v>144540.057</v>
      </c>
      <c r="M1150" s="305">
        <v>599151.81900000002</v>
      </c>
      <c r="N1150" s="305">
        <v>981595.05900000001</v>
      </c>
      <c r="U1150" s="396" t="str">
        <f ca="1">[1]!snltable(287,$Y$1150:$AI$1150,$V$1152:$V$1201,$W$1152:$W$1201,,"Options:Curr=USD, Mag=Thousands, ConvMethod=SNLrecommended")</f>
        <v>SNLTable</v>
      </c>
      <c r="V1150" s="397"/>
      <c r="W1150" s="397"/>
      <c r="X1150" s="397"/>
      <c r="Y1150" s="298" t="str">
        <f ca="1">IF(Entity_Code="","",Entity_Code)</f>
        <v>I36</v>
      </c>
      <c r="Z1150" s="298" t="str">
        <f ca="1">IF(Entity_C1="","",Entity_C1)</f>
        <v>C2874</v>
      </c>
      <c r="AA1150" s="298" t="str">
        <f ca="1">IF(Entity_C2="","",Entity_C2)</f>
        <v>C5004</v>
      </c>
      <c r="AB1150" s="298" t="str">
        <f ca="1">IF(Entity_C3="","",Entity_C3)</f>
        <v>C2093</v>
      </c>
      <c r="AC1150" s="298" t="str">
        <f ca="1">IF(Entity_C4="","",Entity_C4)</f>
        <v>C2623</v>
      </c>
      <c r="AD1150" s="298" t="str">
        <f ca="1">IF(Entity_C5="","",Entity_C5)</f>
        <v>C3048</v>
      </c>
      <c r="AE1150" s="298" t="str">
        <f ca="1">IF(Entity_C6="","",Entity_C6)</f>
        <v>C2409</v>
      </c>
      <c r="AF1150" s="298" t="str">
        <f ca="1">IF(Entity_C7="","",Entity_C7)</f>
        <v>C2921</v>
      </c>
      <c r="AG1150" s="298" t="str">
        <f ca="1">IF(Entity_C8="","",Entity_C8)</f>
        <v>C2284</v>
      </c>
      <c r="AH1150" s="298" t="str">
        <f ca="1">IF(Entity_C9="","",Entity_C9)</f>
        <v>C3613</v>
      </c>
      <c r="AI1150" s="298" t="str">
        <f ca="1">IF(Entity_C10="","",Entity_C10)</f>
        <v>C2253</v>
      </c>
    </row>
    <row r="1151" spans="2:35" ht="11.25" customHeight="1" x14ac:dyDescent="0.55000000000000004">
      <c r="B1151" s="294" t="s">
        <v>4946</v>
      </c>
      <c r="C1151" s="329"/>
      <c r="D1151" s="305"/>
      <c r="E1151" s="305"/>
      <c r="F1151" s="305"/>
      <c r="G1151" s="305"/>
      <c r="H1151" s="305"/>
      <c r="I1151" s="305"/>
      <c r="J1151" s="305"/>
      <c r="K1151" s="305"/>
      <c r="L1151" s="305"/>
      <c r="M1151" s="305"/>
      <c r="N1151" s="305"/>
      <c r="U1151" s="403"/>
      <c r="V1151" s="400"/>
      <c r="W1151" s="400"/>
      <c r="X1151" s="400"/>
      <c r="Y1151" s="402"/>
      <c r="Z1151" s="402"/>
      <c r="AA1151" s="402"/>
      <c r="AB1151" s="402"/>
      <c r="AC1151" s="402"/>
      <c r="AD1151" s="402"/>
      <c r="AE1151" s="402"/>
      <c r="AF1151" s="402"/>
      <c r="AG1151" s="402"/>
      <c r="AH1151" s="402"/>
      <c r="AI1151" s="402"/>
    </row>
    <row r="1152" spans="2:35" ht="11.25" customHeight="1" x14ac:dyDescent="0.4">
      <c r="B1152" s="332" t="s">
        <v>5499</v>
      </c>
      <c r="C1152" s="329"/>
      <c r="D1152" s="305"/>
      <c r="E1152" s="305"/>
      <c r="F1152" s="305"/>
      <c r="G1152" s="305"/>
      <c r="H1152" s="305"/>
      <c r="I1152" s="305"/>
      <c r="J1152" s="305"/>
      <c r="K1152" s="305"/>
      <c r="L1152" s="305"/>
      <c r="M1152" s="305"/>
      <c r="N1152" s="305"/>
      <c r="U1152" s="443" t="s">
        <v>5499</v>
      </c>
      <c r="V1152" s="432"/>
      <c r="W1152" s="432"/>
      <c r="X1152" s="433"/>
      <c r="Y1152" s="431"/>
      <c r="Z1152" s="431"/>
      <c r="AA1152" s="431"/>
      <c r="AB1152" s="431"/>
      <c r="AC1152" s="431"/>
      <c r="AD1152" s="431"/>
      <c r="AE1152" s="431"/>
      <c r="AF1152" s="431"/>
      <c r="AG1152" s="431"/>
      <c r="AH1152" s="431"/>
      <c r="AI1152" s="431"/>
    </row>
    <row r="1153" spans="2:35" ht="11.25" customHeight="1" x14ac:dyDescent="0.35">
      <c r="B1153" s="294" t="s">
        <v>5398</v>
      </c>
      <c r="C1153" s="329"/>
      <c r="D1153" s="305" t="str">
        <f>IF(Y1153="","",Y1153)</f>
        <v>NA</v>
      </c>
      <c r="E1153" s="305" t="str">
        <f>IF(Z1153="","",Z1153)</f>
        <v>NA</v>
      </c>
      <c r="F1153" s="305" t="str">
        <f>IF(AA1153="","",AA1153)</f>
        <v>NA</v>
      </c>
      <c r="G1153" s="305" t="str">
        <f>IF(AB1153="","",AB1153)</f>
        <v>NA</v>
      </c>
      <c r="H1153" s="305" t="str">
        <f>IF(AC1153="","",AC1153)</f>
        <v>NA</v>
      </c>
      <c r="I1153" s="305" t="str">
        <f>IF(AD1153="","",AD1153)</f>
        <v>NA</v>
      </c>
      <c r="J1153" s="305" t="str">
        <f>IF(AE1153="","",AE1153)</f>
        <v>NA</v>
      </c>
      <c r="K1153" s="305" t="str">
        <f>IF(AF1153="","",AF1153)</f>
        <v>NA</v>
      </c>
      <c r="L1153" s="305" t="str">
        <f>IF(AG1153="","",AG1153)</f>
        <v>NA</v>
      </c>
      <c r="M1153" s="305" t="str">
        <f>IF(AH1153="","",AH1153)</f>
        <v>NA</v>
      </c>
      <c r="N1153" s="305" t="str">
        <f>IF(AI1153="","",AI1153)</f>
        <v>NA</v>
      </c>
      <c r="U1153" s="428" t="s">
        <v>5398</v>
      </c>
      <c r="V1153" s="429">
        <v>325026</v>
      </c>
      <c r="W1153" s="429" t="str">
        <f>Period</f>
        <v>2014Y</v>
      </c>
      <c r="X1153" s="430" t="str">
        <f>[1]!SNLLabel(287,325026,,"&lt;&gt;49","Options:Curr=Reported currency,Mag=MIstandard,ConvMethod=MIrecommended")</f>
        <v>AR: Cmprhsv (Hosp, Med) Ind</v>
      </c>
      <c r="Y1153" s="441" t="s">
        <v>29</v>
      </c>
      <c r="Z1153" s="441" t="s">
        <v>29</v>
      </c>
      <c r="AA1153" s="441" t="s">
        <v>29</v>
      </c>
      <c r="AB1153" s="441" t="s">
        <v>29</v>
      </c>
      <c r="AC1153" s="441" t="s">
        <v>29</v>
      </c>
      <c r="AD1153" s="441" t="s">
        <v>29</v>
      </c>
      <c r="AE1153" s="441" t="s">
        <v>29</v>
      </c>
      <c r="AF1153" s="441" t="s">
        <v>29</v>
      </c>
      <c r="AG1153" s="441" t="s">
        <v>29</v>
      </c>
      <c r="AH1153" s="441" t="s">
        <v>29</v>
      </c>
      <c r="AI1153" s="441" t="s">
        <v>29</v>
      </c>
    </row>
    <row r="1154" spans="2:35" ht="11.25" customHeight="1" x14ac:dyDescent="0.35">
      <c r="B1154" s="294" t="s">
        <v>5399</v>
      </c>
      <c r="C1154" s="329"/>
      <c r="D1154" s="305" t="str">
        <f>IF(Y1154="","",Y1154)</f>
        <v>NA</v>
      </c>
      <c r="E1154" s="305" t="str">
        <f>IF(Z1154="","",Z1154)</f>
        <v>NA</v>
      </c>
      <c r="F1154" s="305" t="str">
        <f>IF(AA1154="","",AA1154)</f>
        <v>NA</v>
      </c>
      <c r="G1154" s="305" t="str">
        <f>IF(AB1154="","",AB1154)</f>
        <v>NA</v>
      </c>
      <c r="H1154" s="305" t="str">
        <f>IF(AC1154="","",AC1154)</f>
        <v>NA</v>
      </c>
      <c r="I1154" s="305" t="str">
        <f>IF(AD1154="","",AD1154)</f>
        <v>NA</v>
      </c>
      <c r="J1154" s="305" t="str">
        <f>IF(AE1154="","",AE1154)</f>
        <v>NA</v>
      </c>
      <c r="K1154" s="305" t="str">
        <f>IF(AF1154="","",AF1154)</f>
        <v>NA</v>
      </c>
      <c r="L1154" s="305" t="str">
        <f>IF(AG1154="","",AG1154)</f>
        <v>NA</v>
      </c>
      <c r="M1154" s="305" t="str">
        <f>IF(AH1154="","",AH1154)</f>
        <v>NA</v>
      </c>
      <c r="N1154" s="305" t="str">
        <f>IF(AI1154="","",AI1154)</f>
        <v>NA</v>
      </c>
      <c r="U1154" s="428" t="s">
        <v>5399</v>
      </c>
      <c r="V1154" s="429">
        <v>325026</v>
      </c>
      <c r="W1154" s="429" t="str">
        <f>Period</f>
        <v>2014Y</v>
      </c>
      <c r="X1154" s="430" t="str">
        <f>[1]!SNLLabel(287,325026,,"&lt;&gt;50","Options:Curr=Reported currency,Mag=MIstandard,ConvMethod=MIrecommended")</f>
        <v>AR: Cmprhsv (Hosp, Med) Grp</v>
      </c>
      <c r="Y1154" s="441" t="s">
        <v>29</v>
      </c>
      <c r="Z1154" s="441" t="s">
        <v>29</v>
      </c>
      <c r="AA1154" s="441" t="s">
        <v>29</v>
      </c>
      <c r="AB1154" s="441" t="s">
        <v>29</v>
      </c>
      <c r="AC1154" s="441" t="s">
        <v>29</v>
      </c>
      <c r="AD1154" s="441" t="s">
        <v>29</v>
      </c>
      <c r="AE1154" s="441" t="s">
        <v>29</v>
      </c>
      <c r="AF1154" s="441" t="s">
        <v>29</v>
      </c>
      <c r="AG1154" s="441" t="s">
        <v>29</v>
      </c>
      <c r="AH1154" s="441" t="s">
        <v>29</v>
      </c>
      <c r="AI1154" s="441" t="s">
        <v>29</v>
      </c>
    </row>
    <row r="1155" spans="2:35" ht="11.25" customHeight="1" x14ac:dyDescent="0.35">
      <c r="B1155" s="294" t="s">
        <v>5400</v>
      </c>
      <c r="C1155" s="329"/>
      <c r="D1155" s="305" t="str">
        <f>IF(Y1155="","",Y1155)</f>
        <v>NA</v>
      </c>
      <c r="E1155" s="305" t="str">
        <f>IF(Z1155="","",Z1155)</f>
        <v>NA</v>
      </c>
      <c r="F1155" s="305" t="str">
        <f>IF(AA1155="","",AA1155)</f>
        <v>NA</v>
      </c>
      <c r="G1155" s="305" t="str">
        <f>IF(AB1155="","",AB1155)</f>
        <v>NA</v>
      </c>
      <c r="H1155" s="305" t="str">
        <f>IF(AC1155="","",AC1155)</f>
        <v>NA</v>
      </c>
      <c r="I1155" s="305" t="str">
        <f>IF(AD1155="","",AD1155)</f>
        <v>NA</v>
      </c>
      <c r="J1155" s="305" t="str">
        <f>IF(AE1155="","",AE1155)</f>
        <v>NA</v>
      </c>
      <c r="K1155" s="305" t="str">
        <f>IF(AF1155="","",AF1155)</f>
        <v>NA</v>
      </c>
      <c r="L1155" s="305" t="str">
        <f>IF(AG1155="","",AG1155)</f>
        <v>NA</v>
      </c>
      <c r="M1155" s="305" t="str">
        <f>IF(AH1155="","",AH1155)</f>
        <v>NA</v>
      </c>
      <c r="N1155" s="305" t="str">
        <f>IF(AI1155="","",AI1155)</f>
        <v>NA</v>
      </c>
      <c r="U1155" s="428" t="s">
        <v>5400</v>
      </c>
      <c r="V1155" s="429">
        <v>325026</v>
      </c>
      <c r="W1155" s="429" t="str">
        <f>Period</f>
        <v>2014Y</v>
      </c>
      <c r="X1155" s="430" t="str">
        <f>[1]!SNLLabel(287,325026,,"&lt;&gt;358","Options:Curr=Reported currency,Mag=MIstandard,ConvMethod=MIrecommended")</f>
        <v>AR: Credit A&amp;H</v>
      </c>
      <c r="Y1155" s="441" t="s">
        <v>29</v>
      </c>
      <c r="Z1155" s="441" t="s">
        <v>29</v>
      </c>
      <c r="AA1155" s="441" t="s">
        <v>29</v>
      </c>
      <c r="AB1155" s="441" t="s">
        <v>29</v>
      </c>
      <c r="AC1155" s="441" t="s">
        <v>29</v>
      </c>
      <c r="AD1155" s="441" t="s">
        <v>29</v>
      </c>
      <c r="AE1155" s="441" t="s">
        <v>29</v>
      </c>
      <c r="AF1155" s="441" t="s">
        <v>29</v>
      </c>
      <c r="AG1155" s="441" t="s">
        <v>29</v>
      </c>
      <c r="AH1155" s="441" t="s">
        <v>29</v>
      </c>
      <c r="AI1155" s="441" t="s">
        <v>29</v>
      </c>
    </row>
    <row r="1156" spans="2:35" ht="11.25" customHeight="1" x14ac:dyDescent="0.35">
      <c r="B1156" s="294" t="s">
        <v>5401</v>
      </c>
      <c r="C1156" s="329"/>
      <c r="D1156" s="305" t="str">
        <f>IF(Y1156="","",Y1156)</f>
        <v>NA</v>
      </c>
      <c r="E1156" s="305" t="str">
        <f>IF(Z1156="","",Z1156)</f>
        <v>NA</v>
      </c>
      <c r="F1156" s="305" t="str">
        <f>IF(AA1156="","",AA1156)</f>
        <v>NA</v>
      </c>
      <c r="G1156" s="305" t="str">
        <f>IF(AB1156="","",AB1156)</f>
        <v>NA</v>
      </c>
      <c r="H1156" s="305" t="str">
        <f>IF(AC1156="","",AC1156)</f>
        <v>NA</v>
      </c>
      <c r="I1156" s="305" t="str">
        <f>IF(AD1156="","",AD1156)</f>
        <v>NA</v>
      </c>
      <c r="J1156" s="305" t="str">
        <f>IF(AE1156="","",AE1156)</f>
        <v>NA</v>
      </c>
      <c r="K1156" s="305" t="str">
        <f>IF(AF1156="","",AF1156)</f>
        <v>NA</v>
      </c>
      <c r="L1156" s="305" t="str">
        <f>IF(AG1156="","",AG1156)</f>
        <v>NA</v>
      </c>
      <c r="M1156" s="305" t="str">
        <f>IF(AH1156="","",AH1156)</f>
        <v>NA</v>
      </c>
      <c r="N1156" s="305" t="str">
        <f>IF(AI1156="","",AI1156)</f>
        <v>NA</v>
      </c>
      <c r="U1156" s="428" t="s">
        <v>5401</v>
      </c>
      <c r="V1156" s="429">
        <v>325026</v>
      </c>
      <c r="W1156" s="429" t="str">
        <f>Period</f>
        <v>2014Y</v>
      </c>
      <c r="X1156" s="430" t="str">
        <f>[1]!SNLLabel(287,325026,,"&lt;&gt;359","Options:Curr=Reported currency,Mag=MIstandard,ConvMethod=MIrecommended")</f>
        <v>AR: Other Health</v>
      </c>
      <c r="Y1156" s="441" t="s">
        <v>29</v>
      </c>
      <c r="Z1156" s="441" t="s">
        <v>29</v>
      </c>
      <c r="AA1156" s="441" t="s">
        <v>29</v>
      </c>
      <c r="AB1156" s="441" t="s">
        <v>29</v>
      </c>
      <c r="AC1156" s="441" t="s">
        <v>29</v>
      </c>
      <c r="AD1156" s="441" t="s">
        <v>29</v>
      </c>
      <c r="AE1156" s="441" t="s">
        <v>29</v>
      </c>
      <c r="AF1156" s="441" t="s">
        <v>29</v>
      </c>
      <c r="AG1156" s="441" t="s">
        <v>29</v>
      </c>
      <c r="AH1156" s="441" t="s">
        <v>29</v>
      </c>
      <c r="AI1156" s="441" t="s">
        <v>29</v>
      </c>
    </row>
    <row r="1157" spans="2:35" ht="11.25" customHeight="1" x14ac:dyDescent="0.35">
      <c r="B1157" s="294" t="s">
        <v>5402</v>
      </c>
      <c r="C1157" s="329"/>
      <c r="D1157" s="305" t="str">
        <f>IF(Y1157="","",Y1157)</f>
        <v>NA</v>
      </c>
      <c r="E1157" s="305" t="str">
        <f>IF(Z1157="","",Z1157)</f>
        <v>NA</v>
      </c>
      <c r="F1157" s="305" t="str">
        <f>IF(AA1157="","",AA1157)</f>
        <v>NA</v>
      </c>
      <c r="G1157" s="305" t="str">
        <f>IF(AB1157="","",AB1157)</f>
        <v>NA</v>
      </c>
      <c r="H1157" s="305" t="str">
        <f>IF(AC1157="","",AC1157)</f>
        <v>NA</v>
      </c>
      <c r="I1157" s="305" t="str">
        <f>IF(AD1157="","",AD1157)</f>
        <v>NA</v>
      </c>
      <c r="J1157" s="305" t="str">
        <f>IF(AE1157="","",AE1157)</f>
        <v>NA</v>
      </c>
      <c r="K1157" s="305" t="str">
        <f>IF(AF1157="","",AF1157)</f>
        <v>NA</v>
      </c>
      <c r="L1157" s="305" t="str">
        <f>IF(AG1157="","",AG1157)</f>
        <v>NA</v>
      </c>
      <c r="M1157" s="305" t="str">
        <f>IF(AH1157="","",AH1157)</f>
        <v>NA</v>
      </c>
      <c r="N1157" s="305" t="str">
        <f>IF(AI1157="","",AI1157)</f>
        <v>NA</v>
      </c>
      <c r="U1157" s="434" t="s">
        <v>5402</v>
      </c>
      <c r="V1157" s="435">
        <v>325026</v>
      </c>
      <c r="W1157" s="435" t="str">
        <f>Period</f>
        <v>2014Y</v>
      </c>
      <c r="X1157" s="436" t="str">
        <f>[1]!SNLLabel(287,325026,,"&lt;&gt;357","Options:Curr=Reported currency,Mag=MIstandard,ConvMethod=MIrecommended")</f>
        <v>AR: Total Accident and Health</v>
      </c>
      <c r="Y1157" s="442" t="s">
        <v>29</v>
      </c>
      <c r="Z1157" s="442" t="s">
        <v>29</v>
      </c>
      <c r="AA1157" s="442" t="s">
        <v>29</v>
      </c>
      <c r="AB1157" s="442" t="s">
        <v>29</v>
      </c>
      <c r="AC1157" s="442" t="s">
        <v>29</v>
      </c>
      <c r="AD1157" s="442" t="s">
        <v>29</v>
      </c>
      <c r="AE1157" s="442" t="s">
        <v>29</v>
      </c>
      <c r="AF1157" s="442" t="s">
        <v>29</v>
      </c>
      <c r="AG1157" s="442" t="s">
        <v>29</v>
      </c>
      <c r="AH1157" s="442" t="s">
        <v>29</v>
      </c>
      <c r="AI1157" s="442" t="s">
        <v>29</v>
      </c>
    </row>
    <row r="1158" spans="2:35" ht="11.25" customHeight="1" x14ac:dyDescent="0.35">
      <c r="B1158" s="294"/>
      <c r="C1158" s="329"/>
      <c r="D1158" s="305"/>
      <c r="E1158" s="305"/>
      <c r="F1158" s="305"/>
      <c r="G1158" s="305"/>
      <c r="H1158" s="305"/>
      <c r="I1158" s="305"/>
      <c r="J1158" s="305"/>
      <c r="K1158" s="305"/>
      <c r="L1158" s="305"/>
      <c r="M1158" s="305"/>
      <c r="N1158" s="305"/>
    </row>
    <row r="1159" spans="2:35" ht="11.25" customHeight="1" x14ac:dyDescent="0.4">
      <c r="B1159" s="332" t="s">
        <v>5500</v>
      </c>
      <c r="C1159" s="329"/>
      <c r="D1159" s="305"/>
      <c r="E1159" s="305"/>
      <c r="F1159" s="305"/>
      <c r="G1159" s="305"/>
      <c r="H1159" s="305"/>
      <c r="I1159" s="305"/>
      <c r="J1159" s="305"/>
      <c r="K1159" s="305"/>
      <c r="L1159" s="305"/>
      <c r="M1159" s="305"/>
      <c r="N1159" s="305"/>
    </row>
    <row r="1160" spans="2:35" ht="11.25" customHeight="1" x14ac:dyDescent="0.35">
      <c r="B1160" s="294" t="s">
        <v>5398</v>
      </c>
      <c r="C1160" s="329"/>
      <c r="D1160" s="305" t="str">
        <f>IF(COUNT(D1166,D1172,D1178,D1184,D1190)=0,"NA",SUM(D1166,D1172,D1178,D1184,D1190))</f>
        <v>NA</v>
      </c>
      <c r="E1160" s="305" t="str">
        <f>IF(COUNT(E1166,E1172,E1178,E1184,E1190)=0,"NA",SUM(E1166,E1172,E1178,E1184,E1190))</f>
        <v>NA</v>
      </c>
      <c r="F1160" s="305" t="str">
        <f>IF(COUNT(F1166,F1172,F1178,F1184,F1190)=0,"NA",SUM(F1166,F1172,F1178,F1184,F1190))</f>
        <v>NA</v>
      </c>
      <c r="G1160" s="305" t="str">
        <f>IF(COUNT(G1166,G1172,G1178,G1184,G1190)=0,"NA",SUM(G1166,G1172,G1178,G1184,G1190))</f>
        <v>NA</v>
      </c>
      <c r="H1160" s="305" t="str">
        <f>IF(COUNT(H1166,H1172,H1178,H1184,H1190)=0,"NA",SUM(H1166,H1172,H1178,H1184,H1190))</f>
        <v>NA</v>
      </c>
      <c r="I1160" s="305" t="str">
        <f>IF(COUNT(I1166,I1172,I1178,I1184,I1190)=0,"NA",SUM(I1166,I1172,I1178,I1184,I1190))</f>
        <v>NA</v>
      </c>
      <c r="J1160" s="305" t="str">
        <f>IF(COUNT(J1166,J1172,J1178,J1184,J1190)=0,"NA",SUM(J1166,J1172,J1178,J1184,J1190))</f>
        <v>NA</v>
      </c>
      <c r="K1160" s="305" t="str">
        <f>IF(COUNT(K1166,K1172,K1178,K1184,K1190)=0,"NA",SUM(K1166,K1172,K1178,K1184,K1190))</f>
        <v>NA</v>
      </c>
      <c r="L1160" s="305" t="str">
        <f>IF(COUNT(L1166,L1172,L1178,L1184,L1190)=0,"NA",SUM(L1166,L1172,L1178,L1184,L1190))</f>
        <v>NA</v>
      </c>
      <c r="M1160" s="305" t="str">
        <f>IF(COUNT(M1166,M1172,M1178,M1184,M1190)=0,"NA",SUM(M1166,M1172,M1178,M1184,M1190))</f>
        <v>NA</v>
      </c>
      <c r="N1160" s="305" t="str">
        <f>IF(COUNT(N1166,N1172,N1178,N1184,N1190)=0,"NA",SUM(N1166,N1172,N1178,N1184,N1190))</f>
        <v>NA</v>
      </c>
    </row>
    <row r="1161" spans="2:35" ht="11.25" customHeight="1" x14ac:dyDescent="0.35">
      <c r="B1161" s="294" t="s">
        <v>5399</v>
      </c>
      <c r="C1161" s="329"/>
      <c r="D1161" s="305" t="str">
        <f>IF(COUNT(D1167,D1173,D1179,D1185,D1191)=0,"NA",SUM(D1167,D1173,D1179,D1185,D1191))</f>
        <v>NA</v>
      </c>
      <c r="E1161" s="305" t="str">
        <f>IF(COUNT(E1167,E1173,E1179,E1185,E1191)=0,"NA",SUM(E1167,E1173,E1179,E1185,E1191))</f>
        <v>NA</v>
      </c>
      <c r="F1161" s="305" t="str">
        <f>IF(COUNT(F1167,F1173,F1179,F1185,F1191)=0,"NA",SUM(F1167,F1173,F1179,F1185,F1191))</f>
        <v>NA</v>
      </c>
      <c r="G1161" s="305" t="str">
        <f>IF(COUNT(G1167,G1173,G1179,G1185,G1191)=0,"NA",SUM(G1167,G1173,G1179,G1185,G1191))</f>
        <v>NA</v>
      </c>
      <c r="H1161" s="305" t="str">
        <f>IF(COUNT(H1167,H1173,H1179,H1185,H1191)=0,"NA",SUM(H1167,H1173,H1179,H1185,H1191))</f>
        <v>NA</v>
      </c>
      <c r="I1161" s="305" t="str">
        <f>IF(COUNT(I1167,I1173,I1179,I1185,I1191)=0,"NA",SUM(I1167,I1173,I1179,I1185,I1191))</f>
        <v>NA</v>
      </c>
      <c r="J1161" s="305" t="str">
        <f>IF(COUNT(J1167,J1173,J1179,J1185,J1191)=0,"NA",SUM(J1167,J1173,J1179,J1185,J1191))</f>
        <v>NA</v>
      </c>
      <c r="K1161" s="305" t="str">
        <f>IF(COUNT(K1167,K1173,K1179,K1185,K1191)=0,"NA",SUM(K1167,K1173,K1179,K1185,K1191))</f>
        <v>NA</v>
      </c>
      <c r="L1161" s="305" t="str">
        <f>IF(COUNT(L1167,L1173,L1179,L1185,L1191)=0,"NA",SUM(L1167,L1173,L1179,L1185,L1191))</f>
        <v>NA</v>
      </c>
      <c r="M1161" s="305" t="str">
        <f>IF(COUNT(M1167,M1173,M1179,M1185,M1191)=0,"NA",SUM(M1167,M1173,M1179,M1185,M1191))</f>
        <v>NA</v>
      </c>
      <c r="N1161" s="305" t="str">
        <f>IF(COUNT(N1167,N1173,N1179,N1185,N1191)=0,"NA",SUM(N1167,N1173,N1179,N1185,N1191))</f>
        <v>NA</v>
      </c>
    </row>
    <row r="1162" spans="2:35" ht="11.25" customHeight="1" x14ac:dyDescent="0.35">
      <c r="B1162" s="294" t="s">
        <v>5400</v>
      </c>
      <c r="C1162" s="329"/>
      <c r="D1162" s="305" t="str">
        <f>IF(COUNT(D1168,D1174,D1180,D1186,D1192)=0,"NA",SUM(D1168,D1174,D1180,D1186,D1192))</f>
        <v>NA</v>
      </c>
      <c r="E1162" s="305" t="str">
        <f>IF(COUNT(E1168,E1174,E1180,E1186,E1192)=0,"NA",SUM(E1168,E1174,E1180,E1186,E1192))</f>
        <v>NA</v>
      </c>
      <c r="F1162" s="305" t="str">
        <f>IF(COUNT(F1168,F1174,F1180,F1186,F1192)=0,"NA",SUM(F1168,F1174,F1180,F1186,F1192))</f>
        <v>NA</v>
      </c>
      <c r="G1162" s="305" t="str">
        <f>IF(COUNT(G1168,G1174,G1180,G1186,G1192)=0,"NA",SUM(G1168,G1174,G1180,G1186,G1192))</f>
        <v>NA</v>
      </c>
      <c r="H1162" s="305" t="str">
        <f>IF(COUNT(H1168,H1174,H1180,H1186,H1192)=0,"NA",SUM(H1168,H1174,H1180,H1186,H1192))</f>
        <v>NA</v>
      </c>
      <c r="I1162" s="305" t="str">
        <f>IF(COUNT(I1168,I1174,I1180,I1186,I1192)=0,"NA",SUM(I1168,I1174,I1180,I1186,I1192))</f>
        <v>NA</v>
      </c>
      <c r="J1162" s="305" t="str">
        <f>IF(COUNT(J1168,J1174,J1180,J1186,J1192)=0,"NA",SUM(J1168,J1174,J1180,J1186,J1192))</f>
        <v>NA</v>
      </c>
      <c r="K1162" s="305" t="str">
        <f>IF(COUNT(K1168,K1174,K1180,K1186,K1192)=0,"NA",SUM(K1168,K1174,K1180,K1186,K1192))</f>
        <v>NA</v>
      </c>
      <c r="L1162" s="305" t="str">
        <f>IF(COUNT(L1168,L1174,L1180,L1186,L1192)=0,"NA",SUM(L1168,L1174,L1180,L1186,L1192))</f>
        <v>NA</v>
      </c>
      <c r="M1162" s="305" t="str">
        <f>IF(COUNT(M1168,M1174,M1180,M1186,M1192)=0,"NA",SUM(M1168,M1174,M1180,M1186,M1192))</f>
        <v>NA</v>
      </c>
      <c r="N1162" s="305" t="str">
        <f>IF(COUNT(N1168,N1174,N1180,N1186,N1192)=0,"NA",SUM(N1168,N1174,N1180,N1186,N1192))</f>
        <v>NA</v>
      </c>
    </row>
    <row r="1163" spans="2:35" ht="11.25" customHeight="1" x14ac:dyDescent="0.35">
      <c r="B1163" s="294" t="s">
        <v>5401</v>
      </c>
      <c r="C1163" s="329"/>
      <c r="D1163" s="305" t="str">
        <f>IF(COUNT(D1169,D1175,D1181,D1187,D1193)=0,"NA",SUM(D1169,D1175,D1181,D1187,D1193))</f>
        <v>NA</v>
      </c>
      <c r="E1163" s="305" t="str">
        <f>IF(COUNT(E1169,E1175,E1181,E1187,E1193)=0,"NA",SUM(E1169,E1175,E1181,E1187,E1193))</f>
        <v>NA</v>
      </c>
      <c r="F1163" s="305" t="str">
        <f>IF(COUNT(F1169,F1175,F1181,F1187,F1193)=0,"NA",SUM(F1169,F1175,F1181,F1187,F1193))</f>
        <v>NA</v>
      </c>
      <c r="G1163" s="305" t="str">
        <f>IF(COUNT(G1169,G1175,G1181,G1187,G1193)=0,"NA",SUM(G1169,G1175,G1181,G1187,G1193))</f>
        <v>NA</v>
      </c>
      <c r="H1163" s="305" t="str">
        <f>IF(COUNT(H1169,H1175,H1181,H1187,H1193)=0,"NA",SUM(H1169,H1175,H1181,H1187,H1193))</f>
        <v>NA</v>
      </c>
      <c r="I1163" s="305" t="str">
        <f>IF(COUNT(I1169,I1175,I1181,I1187,I1193)=0,"NA",SUM(I1169,I1175,I1181,I1187,I1193))</f>
        <v>NA</v>
      </c>
      <c r="J1163" s="305" t="str">
        <f>IF(COUNT(J1169,J1175,J1181,J1187,J1193)=0,"NA",SUM(J1169,J1175,J1181,J1187,J1193))</f>
        <v>NA</v>
      </c>
      <c r="K1163" s="305" t="str">
        <f>IF(COUNT(K1169,K1175,K1181,K1187,K1193)=0,"NA",SUM(K1169,K1175,K1181,K1187,K1193))</f>
        <v>NA</v>
      </c>
      <c r="L1163" s="305" t="str">
        <f>IF(COUNT(L1169,L1175,L1181,L1187,L1193)=0,"NA",SUM(L1169,L1175,L1181,L1187,L1193))</f>
        <v>NA</v>
      </c>
      <c r="M1163" s="305" t="str">
        <f>IF(COUNT(M1169,M1175,M1181,M1187,M1193)=0,"NA",SUM(M1169,M1175,M1181,M1187,M1193))</f>
        <v>NA</v>
      </c>
      <c r="N1163" s="305" t="str">
        <f>IF(COUNT(N1169,N1175,N1181,N1187,N1193)=0,"NA",SUM(N1169,N1175,N1181,N1187,N1193))</f>
        <v>NA</v>
      </c>
    </row>
    <row r="1164" spans="2:35" ht="11.25" customHeight="1" x14ac:dyDescent="0.35">
      <c r="B1164" s="294" t="s">
        <v>5402</v>
      </c>
      <c r="C1164" s="329"/>
      <c r="D1164" s="305" t="str">
        <f>IF(COUNT(D1170,D1176,D1182,D1188,D1194)=0,"NA",SUM(D1170,D1176,D1182,D1188,D1194))</f>
        <v>NA</v>
      </c>
      <c r="E1164" s="305" t="str">
        <f>IF(COUNT(E1170,E1176,E1182,E1188,E1194)=0,"NA",SUM(E1170,E1176,E1182,E1188,E1194))</f>
        <v>NA</v>
      </c>
      <c r="F1164" s="305" t="str">
        <f>IF(COUNT(F1170,F1176,F1182,F1188,F1194)=0,"NA",SUM(F1170,F1176,F1182,F1188,F1194))</f>
        <v>NA</v>
      </c>
      <c r="G1164" s="305" t="str">
        <f>IF(COUNT(G1170,G1176,G1182,G1188,G1194)=0,"NA",SUM(G1170,G1176,G1182,G1188,G1194))</f>
        <v>NA</v>
      </c>
      <c r="H1164" s="305" t="str">
        <f>IF(COUNT(H1170,H1176,H1182,H1188,H1194)=0,"NA",SUM(H1170,H1176,H1182,H1188,H1194))</f>
        <v>NA</v>
      </c>
      <c r="I1164" s="305" t="str">
        <f>IF(COUNT(I1170,I1176,I1182,I1188,I1194)=0,"NA",SUM(I1170,I1176,I1182,I1188,I1194))</f>
        <v>NA</v>
      </c>
      <c r="J1164" s="305" t="str">
        <f>IF(COUNT(J1170,J1176,J1182,J1188,J1194)=0,"NA",SUM(J1170,J1176,J1182,J1188,J1194))</f>
        <v>NA</v>
      </c>
      <c r="K1164" s="305" t="str">
        <f>IF(COUNT(K1170,K1176,K1182,K1188,K1194)=0,"NA",SUM(K1170,K1176,K1182,K1188,K1194))</f>
        <v>NA</v>
      </c>
      <c r="L1164" s="305" t="str">
        <f>IF(COUNT(L1170,L1176,L1182,L1188,L1194)=0,"NA",SUM(L1170,L1176,L1182,L1188,L1194))</f>
        <v>NA</v>
      </c>
      <c r="M1164" s="305" t="str">
        <f>IF(COUNT(M1170,M1176,M1182,M1188,M1194)=0,"NA",SUM(M1170,M1176,M1182,M1188,M1194))</f>
        <v>NA</v>
      </c>
      <c r="N1164" s="305" t="str">
        <f>IF(COUNT(N1170,N1176,N1182,N1188,N1194)=0,"NA",SUM(N1170,N1176,N1182,N1188,N1194))</f>
        <v>NA</v>
      </c>
    </row>
    <row r="1165" spans="2:35" ht="11.25" customHeight="1" x14ac:dyDescent="0.35">
      <c r="B1165" s="294"/>
      <c r="C1165" s="329"/>
      <c r="D1165" s="305"/>
      <c r="E1165" s="305"/>
      <c r="F1165" s="305"/>
      <c r="G1165" s="305"/>
      <c r="H1165" s="305"/>
      <c r="I1165" s="305"/>
      <c r="J1165" s="305"/>
      <c r="K1165" s="305"/>
      <c r="L1165" s="305"/>
      <c r="M1165" s="305"/>
      <c r="N1165" s="305"/>
    </row>
    <row r="1166" spans="2:35" ht="11.25" hidden="1" customHeight="1" outlineLevel="1" x14ac:dyDescent="0.35">
      <c r="B1166" s="294" t="s">
        <v>5492</v>
      </c>
      <c r="C1166" s="329"/>
      <c r="D1166" s="305" t="str">
        <f>IF(Y1166="","",Y1166)</f>
        <v>NA</v>
      </c>
      <c r="E1166" s="305" t="str">
        <f>IF(Z1166="","",Z1166)</f>
        <v>NA</v>
      </c>
      <c r="F1166" s="305" t="str">
        <f>IF(AA1166="","",AA1166)</f>
        <v>NA</v>
      </c>
      <c r="G1166" s="305" t="str">
        <f>IF(AB1166="","",AB1166)</f>
        <v>NA</v>
      </c>
      <c r="H1166" s="305" t="str">
        <f>IF(AC1166="","",AC1166)</f>
        <v>NA</v>
      </c>
      <c r="I1166" s="305" t="str">
        <f>IF(AD1166="","",AD1166)</f>
        <v>NA</v>
      </c>
      <c r="J1166" s="305" t="str">
        <f>IF(AE1166="","",AE1166)</f>
        <v>NA</v>
      </c>
      <c r="K1166" s="305" t="str">
        <f>IF(AF1166="","",AF1166)</f>
        <v>NA</v>
      </c>
      <c r="L1166" s="305" t="str">
        <f>IF(AG1166="","",AG1166)</f>
        <v>NA</v>
      </c>
      <c r="M1166" s="305" t="str">
        <f>IF(AH1166="","",AH1166)</f>
        <v>NA</v>
      </c>
      <c r="N1166" s="305" t="str">
        <f>IF(AI1166="","",AI1166)</f>
        <v>NA</v>
      </c>
      <c r="U1166" s="431" t="s">
        <v>5492</v>
      </c>
      <c r="V1166" s="432">
        <v>325027</v>
      </c>
      <c r="W1166" s="432" t="str">
        <f>Period</f>
        <v>2014Y</v>
      </c>
      <c r="X1166" s="433" t="str">
        <f>[1]!SNLLabel(287,325027,,"&lt;&gt;49","Options:Curr=Reported currency,Mag=MIstandard,ConvMethod=MIrecommended")</f>
        <v>AR: Cmprhsv (Hosp, Med) Ind</v>
      </c>
      <c r="Y1166" s="440" t="s">
        <v>29</v>
      </c>
      <c r="Z1166" s="440" t="s">
        <v>29</v>
      </c>
      <c r="AA1166" s="440" t="s">
        <v>29</v>
      </c>
      <c r="AB1166" s="440" t="s">
        <v>29</v>
      </c>
      <c r="AC1166" s="440" t="s">
        <v>29</v>
      </c>
      <c r="AD1166" s="440" t="s">
        <v>29</v>
      </c>
      <c r="AE1166" s="440" t="s">
        <v>29</v>
      </c>
      <c r="AF1166" s="440" t="s">
        <v>29</v>
      </c>
      <c r="AG1166" s="440" t="s">
        <v>29</v>
      </c>
      <c r="AH1166" s="440" t="s">
        <v>29</v>
      </c>
      <c r="AI1166" s="440" t="s">
        <v>29</v>
      </c>
    </row>
    <row r="1167" spans="2:35" ht="11.25" hidden="1" customHeight="1" outlineLevel="1" x14ac:dyDescent="0.35">
      <c r="B1167" s="294" t="s">
        <v>5492</v>
      </c>
      <c r="C1167" s="329"/>
      <c r="D1167" s="305" t="str">
        <f>IF(Y1167="","",Y1167)</f>
        <v>NA</v>
      </c>
      <c r="E1167" s="305" t="str">
        <f>IF(Z1167="","",Z1167)</f>
        <v>NA</v>
      </c>
      <c r="F1167" s="305" t="str">
        <f>IF(AA1167="","",AA1167)</f>
        <v>NA</v>
      </c>
      <c r="G1167" s="305" t="str">
        <f>IF(AB1167="","",AB1167)</f>
        <v>NA</v>
      </c>
      <c r="H1167" s="305" t="str">
        <f>IF(AC1167="","",AC1167)</f>
        <v>NA</v>
      </c>
      <c r="I1167" s="305" t="str">
        <f>IF(AD1167="","",AD1167)</f>
        <v>NA</v>
      </c>
      <c r="J1167" s="305" t="str">
        <f>IF(AE1167="","",AE1167)</f>
        <v>NA</v>
      </c>
      <c r="K1167" s="305" t="str">
        <f>IF(AF1167="","",AF1167)</f>
        <v>NA</v>
      </c>
      <c r="L1167" s="305" t="str">
        <f>IF(AG1167="","",AG1167)</f>
        <v>NA</v>
      </c>
      <c r="M1167" s="305" t="str">
        <f>IF(AH1167="","",AH1167)</f>
        <v>NA</v>
      </c>
      <c r="N1167" s="305" t="str">
        <f>IF(AI1167="","",AI1167)</f>
        <v>NA</v>
      </c>
      <c r="U1167" s="428" t="s">
        <v>5492</v>
      </c>
      <c r="V1167" s="429">
        <v>325027</v>
      </c>
      <c r="W1167" s="429" t="str">
        <f>Period</f>
        <v>2014Y</v>
      </c>
      <c r="X1167" s="430" t="str">
        <f>[1]!SNLLabel(287,325027,,"&lt;&gt;50","Options:Curr=Reported currency,Mag=MIstandard,ConvMethod=MIrecommended")</f>
        <v>AR: Cmprhsv (Hosp, Med) Grp</v>
      </c>
      <c r="Y1167" s="441" t="s">
        <v>29</v>
      </c>
      <c r="Z1167" s="441" t="s">
        <v>29</v>
      </c>
      <c r="AA1167" s="441" t="s">
        <v>29</v>
      </c>
      <c r="AB1167" s="441" t="s">
        <v>29</v>
      </c>
      <c r="AC1167" s="441" t="s">
        <v>29</v>
      </c>
      <c r="AD1167" s="441" t="s">
        <v>29</v>
      </c>
      <c r="AE1167" s="441" t="s">
        <v>29</v>
      </c>
      <c r="AF1167" s="441" t="s">
        <v>29</v>
      </c>
      <c r="AG1167" s="441" t="s">
        <v>29</v>
      </c>
      <c r="AH1167" s="441" t="s">
        <v>29</v>
      </c>
      <c r="AI1167" s="441" t="s">
        <v>29</v>
      </c>
    </row>
    <row r="1168" spans="2:35" ht="11.25" hidden="1" customHeight="1" outlineLevel="1" x14ac:dyDescent="0.35">
      <c r="B1168" s="294" t="s">
        <v>5492</v>
      </c>
      <c r="C1168" s="329"/>
      <c r="D1168" s="305" t="str">
        <f>IF(Y1168="","",Y1168)</f>
        <v>NA</v>
      </c>
      <c r="E1168" s="305" t="str">
        <f>IF(Z1168="","",Z1168)</f>
        <v>NA</v>
      </c>
      <c r="F1168" s="305" t="str">
        <f>IF(AA1168="","",AA1168)</f>
        <v>NA</v>
      </c>
      <c r="G1168" s="305" t="str">
        <f>IF(AB1168="","",AB1168)</f>
        <v>NA</v>
      </c>
      <c r="H1168" s="305" t="str">
        <f>IF(AC1168="","",AC1168)</f>
        <v>NA</v>
      </c>
      <c r="I1168" s="305" t="str">
        <f>IF(AD1168="","",AD1168)</f>
        <v>NA</v>
      </c>
      <c r="J1168" s="305" t="str">
        <f>IF(AE1168="","",AE1168)</f>
        <v>NA</v>
      </c>
      <c r="K1168" s="305" t="str">
        <f>IF(AF1168="","",AF1168)</f>
        <v>NA</v>
      </c>
      <c r="L1168" s="305" t="str">
        <f>IF(AG1168="","",AG1168)</f>
        <v>NA</v>
      </c>
      <c r="M1168" s="305" t="str">
        <f>IF(AH1168="","",AH1168)</f>
        <v>NA</v>
      </c>
      <c r="N1168" s="305" t="str">
        <f>IF(AI1168="","",AI1168)</f>
        <v>NA</v>
      </c>
      <c r="U1168" s="428" t="s">
        <v>5492</v>
      </c>
      <c r="V1168" s="429">
        <v>325027</v>
      </c>
      <c r="W1168" s="429" t="str">
        <f>Period</f>
        <v>2014Y</v>
      </c>
      <c r="X1168" s="430" t="str">
        <f>[1]!SNLLabel(287,325027,,"&lt;&gt;358","Options:Curr=Reported currency,Mag=MIstandard,ConvMethod=MIrecommended")</f>
        <v>AR: Credit A&amp;H</v>
      </c>
      <c r="Y1168" s="441" t="s">
        <v>29</v>
      </c>
      <c r="Z1168" s="441" t="s">
        <v>29</v>
      </c>
      <c r="AA1168" s="441" t="s">
        <v>29</v>
      </c>
      <c r="AB1168" s="441" t="s">
        <v>29</v>
      </c>
      <c r="AC1168" s="441" t="s">
        <v>29</v>
      </c>
      <c r="AD1168" s="441" t="s">
        <v>29</v>
      </c>
      <c r="AE1168" s="441" t="s">
        <v>29</v>
      </c>
      <c r="AF1168" s="441" t="s">
        <v>29</v>
      </c>
      <c r="AG1168" s="441" t="s">
        <v>29</v>
      </c>
      <c r="AH1168" s="441" t="s">
        <v>29</v>
      </c>
      <c r="AI1168" s="441" t="s">
        <v>29</v>
      </c>
    </row>
    <row r="1169" spans="2:35" ht="11.25" hidden="1" customHeight="1" outlineLevel="1" x14ac:dyDescent="0.35">
      <c r="B1169" s="294" t="s">
        <v>5492</v>
      </c>
      <c r="C1169" s="329"/>
      <c r="D1169" s="305" t="str">
        <f>IF(Y1169="","",Y1169)</f>
        <v>NA</v>
      </c>
      <c r="E1169" s="305" t="str">
        <f>IF(Z1169="","",Z1169)</f>
        <v>NA</v>
      </c>
      <c r="F1169" s="305" t="str">
        <f>IF(AA1169="","",AA1169)</f>
        <v>NA</v>
      </c>
      <c r="G1169" s="305" t="str">
        <f>IF(AB1169="","",AB1169)</f>
        <v>NA</v>
      </c>
      <c r="H1169" s="305" t="str">
        <f>IF(AC1169="","",AC1169)</f>
        <v>NA</v>
      </c>
      <c r="I1169" s="305" t="str">
        <f>IF(AD1169="","",AD1169)</f>
        <v>NA</v>
      </c>
      <c r="J1169" s="305" t="str">
        <f>IF(AE1169="","",AE1169)</f>
        <v>NA</v>
      </c>
      <c r="K1169" s="305" t="str">
        <f>IF(AF1169="","",AF1169)</f>
        <v>NA</v>
      </c>
      <c r="L1169" s="305" t="str">
        <f>IF(AG1169="","",AG1169)</f>
        <v>NA</v>
      </c>
      <c r="M1169" s="305" t="str">
        <f>IF(AH1169="","",AH1169)</f>
        <v>NA</v>
      </c>
      <c r="N1169" s="305" t="str">
        <f>IF(AI1169="","",AI1169)</f>
        <v>NA</v>
      </c>
      <c r="U1169" s="428" t="s">
        <v>5492</v>
      </c>
      <c r="V1169" s="429">
        <v>325027</v>
      </c>
      <c r="W1169" s="429" t="str">
        <f>Period</f>
        <v>2014Y</v>
      </c>
      <c r="X1169" s="430" t="str">
        <f>[1]!SNLLabel(287,325027,,"&lt;&gt;359","Options:Curr=Reported currency,Mag=MIstandard,ConvMethod=MIrecommended")</f>
        <v>AR: Other Health</v>
      </c>
      <c r="Y1169" s="441" t="s">
        <v>29</v>
      </c>
      <c r="Z1169" s="441" t="s">
        <v>29</v>
      </c>
      <c r="AA1169" s="441" t="s">
        <v>29</v>
      </c>
      <c r="AB1169" s="441" t="s">
        <v>29</v>
      </c>
      <c r="AC1169" s="441" t="s">
        <v>29</v>
      </c>
      <c r="AD1169" s="441" t="s">
        <v>29</v>
      </c>
      <c r="AE1169" s="441" t="s">
        <v>29</v>
      </c>
      <c r="AF1169" s="441" t="s">
        <v>29</v>
      </c>
      <c r="AG1169" s="441" t="s">
        <v>29</v>
      </c>
      <c r="AH1169" s="441" t="s">
        <v>29</v>
      </c>
      <c r="AI1169" s="441" t="s">
        <v>29</v>
      </c>
    </row>
    <row r="1170" spans="2:35" ht="11.25" hidden="1" customHeight="1" outlineLevel="1" x14ac:dyDescent="0.35">
      <c r="B1170" s="294" t="s">
        <v>5492</v>
      </c>
      <c r="C1170" s="329"/>
      <c r="D1170" s="305" t="str">
        <f>IF(Y1170="","",Y1170)</f>
        <v>NA</v>
      </c>
      <c r="E1170" s="305" t="str">
        <f>IF(Z1170="","",Z1170)</f>
        <v>NA</v>
      </c>
      <c r="F1170" s="305" t="str">
        <f>IF(AA1170="","",AA1170)</f>
        <v>NA</v>
      </c>
      <c r="G1170" s="305" t="str">
        <f>IF(AB1170="","",AB1170)</f>
        <v>NA</v>
      </c>
      <c r="H1170" s="305" t="str">
        <f>IF(AC1170="","",AC1170)</f>
        <v>NA</v>
      </c>
      <c r="I1170" s="305" t="str">
        <f>IF(AD1170="","",AD1170)</f>
        <v>NA</v>
      </c>
      <c r="J1170" s="305" t="str">
        <f>IF(AE1170="","",AE1170)</f>
        <v>NA</v>
      </c>
      <c r="K1170" s="305" t="str">
        <f>IF(AF1170="","",AF1170)</f>
        <v>NA</v>
      </c>
      <c r="L1170" s="305" t="str">
        <f>IF(AG1170="","",AG1170)</f>
        <v>NA</v>
      </c>
      <c r="M1170" s="305" t="str">
        <f>IF(AH1170="","",AH1170)</f>
        <v>NA</v>
      </c>
      <c r="N1170" s="305" t="str">
        <f>IF(AI1170="","",AI1170)</f>
        <v>NA</v>
      </c>
      <c r="U1170" s="434" t="s">
        <v>5492</v>
      </c>
      <c r="V1170" s="435">
        <v>325027</v>
      </c>
      <c r="W1170" s="429" t="str">
        <f>Period</f>
        <v>2014Y</v>
      </c>
      <c r="X1170" s="436" t="str">
        <f>[1]!SNLLabel(287,325027,,"&lt;&gt;357","Options:Curr=Reported currency,Mag=MIstandard,ConvMethod=MIrecommended")</f>
        <v>AR: Total Accident and Health</v>
      </c>
      <c r="Y1170" s="442" t="s">
        <v>29</v>
      </c>
      <c r="Z1170" s="442" t="s">
        <v>29</v>
      </c>
      <c r="AA1170" s="442" t="s">
        <v>29</v>
      </c>
      <c r="AB1170" s="442" t="s">
        <v>29</v>
      </c>
      <c r="AC1170" s="442" t="s">
        <v>29</v>
      </c>
      <c r="AD1170" s="442" t="s">
        <v>29</v>
      </c>
      <c r="AE1170" s="442" t="s">
        <v>29</v>
      </c>
      <c r="AF1170" s="442" t="s">
        <v>29</v>
      </c>
      <c r="AG1170" s="442" t="s">
        <v>29</v>
      </c>
      <c r="AH1170" s="442" t="s">
        <v>29</v>
      </c>
      <c r="AI1170" s="442" t="s">
        <v>29</v>
      </c>
    </row>
    <row r="1171" spans="2:35" ht="11.25" hidden="1" customHeight="1" outlineLevel="1" x14ac:dyDescent="0.35">
      <c r="B1171" s="294"/>
      <c r="C1171" s="329"/>
      <c r="D1171" s="305"/>
      <c r="E1171" s="305"/>
      <c r="F1171" s="305"/>
      <c r="G1171" s="305"/>
      <c r="H1171" s="305"/>
      <c r="I1171" s="305"/>
      <c r="J1171" s="305"/>
      <c r="K1171" s="305"/>
      <c r="L1171" s="305"/>
      <c r="M1171" s="305"/>
      <c r="N1171" s="305"/>
      <c r="U1171" s="444"/>
      <c r="V1171" s="445"/>
      <c r="W1171" s="445"/>
      <c r="X1171" s="439"/>
      <c r="Y1171" s="444"/>
      <c r="Z1171" s="444"/>
      <c r="AA1171" s="444"/>
      <c r="AB1171" s="444"/>
      <c r="AC1171" s="444"/>
      <c r="AD1171" s="444"/>
      <c r="AE1171" s="444"/>
      <c r="AF1171" s="444"/>
      <c r="AG1171" s="444"/>
      <c r="AH1171" s="444"/>
      <c r="AI1171" s="444"/>
    </row>
    <row r="1172" spans="2:35" ht="11.25" hidden="1" customHeight="1" outlineLevel="1" x14ac:dyDescent="0.35">
      <c r="B1172" s="294" t="s">
        <v>5493</v>
      </c>
      <c r="C1172" s="329"/>
      <c r="D1172" s="305" t="str">
        <f>IF(Y1172="","",Y1172)</f>
        <v>NA</v>
      </c>
      <c r="E1172" s="305" t="str">
        <f>IF(Z1172="","",Z1172)</f>
        <v>NA</v>
      </c>
      <c r="F1172" s="305" t="str">
        <f>IF(AA1172="","",AA1172)</f>
        <v>NA</v>
      </c>
      <c r="G1172" s="305" t="str">
        <f>IF(AB1172="","",AB1172)</f>
        <v>NA</v>
      </c>
      <c r="H1172" s="305" t="str">
        <f>IF(AC1172="","",AC1172)</f>
        <v>NA</v>
      </c>
      <c r="I1172" s="305" t="str">
        <f>IF(AD1172="","",AD1172)</f>
        <v>NA</v>
      </c>
      <c r="J1172" s="305" t="str">
        <f>IF(AE1172="","",AE1172)</f>
        <v>NA</v>
      </c>
      <c r="K1172" s="305" t="str">
        <f>IF(AF1172="","",AF1172)</f>
        <v>NA</v>
      </c>
      <c r="L1172" s="305" t="str">
        <f>IF(AG1172="","",AG1172)</f>
        <v>NA</v>
      </c>
      <c r="M1172" s="305" t="str">
        <f>IF(AH1172="","",AH1172)</f>
        <v>NA</v>
      </c>
      <c r="N1172" s="305" t="str">
        <f>IF(AI1172="","",AI1172)</f>
        <v>NA</v>
      </c>
      <c r="U1172" s="431" t="s">
        <v>5493</v>
      </c>
      <c r="V1172" s="432">
        <v>325028</v>
      </c>
      <c r="W1172" s="429" t="str">
        <f>Period</f>
        <v>2014Y</v>
      </c>
      <c r="X1172" s="433" t="str">
        <f>[1]!SNLLabel(287,325028,,"&lt;&gt;49","Options:Curr=Reported currency,Mag=MIstandard,ConvMethod=MIrecommended")</f>
        <v>AR: Cmprhsv (Hosp, Med) Ind</v>
      </c>
      <c r="Y1172" s="440" t="s">
        <v>29</v>
      </c>
      <c r="Z1172" s="440" t="s">
        <v>29</v>
      </c>
      <c r="AA1172" s="440" t="s">
        <v>29</v>
      </c>
      <c r="AB1172" s="440" t="s">
        <v>29</v>
      </c>
      <c r="AC1172" s="440" t="s">
        <v>29</v>
      </c>
      <c r="AD1172" s="440" t="s">
        <v>29</v>
      </c>
      <c r="AE1172" s="440" t="s">
        <v>29</v>
      </c>
      <c r="AF1172" s="440" t="s">
        <v>29</v>
      </c>
      <c r="AG1172" s="440" t="s">
        <v>29</v>
      </c>
      <c r="AH1172" s="440" t="s">
        <v>29</v>
      </c>
      <c r="AI1172" s="440" t="s">
        <v>29</v>
      </c>
    </row>
    <row r="1173" spans="2:35" ht="11.25" hidden="1" customHeight="1" outlineLevel="1" x14ac:dyDescent="0.35">
      <c r="B1173" s="294" t="s">
        <v>5493</v>
      </c>
      <c r="C1173" s="329"/>
      <c r="D1173" s="305" t="str">
        <f>IF(Y1173="","",Y1173)</f>
        <v>NA</v>
      </c>
      <c r="E1173" s="305" t="str">
        <f>IF(Z1173="","",Z1173)</f>
        <v>NA</v>
      </c>
      <c r="F1173" s="305" t="str">
        <f>IF(AA1173="","",AA1173)</f>
        <v>NA</v>
      </c>
      <c r="G1173" s="305" t="str">
        <f>IF(AB1173="","",AB1173)</f>
        <v>NA</v>
      </c>
      <c r="H1173" s="305" t="str">
        <f>IF(AC1173="","",AC1173)</f>
        <v>NA</v>
      </c>
      <c r="I1173" s="305" t="str">
        <f>IF(AD1173="","",AD1173)</f>
        <v>NA</v>
      </c>
      <c r="J1173" s="305" t="str">
        <f>IF(AE1173="","",AE1173)</f>
        <v>NA</v>
      </c>
      <c r="K1173" s="305" t="str">
        <f>IF(AF1173="","",AF1173)</f>
        <v>NA</v>
      </c>
      <c r="L1173" s="305" t="str">
        <f>IF(AG1173="","",AG1173)</f>
        <v>NA</v>
      </c>
      <c r="M1173" s="305" t="str">
        <f>IF(AH1173="","",AH1173)</f>
        <v>NA</v>
      </c>
      <c r="N1173" s="305" t="str">
        <f>IF(AI1173="","",AI1173)</f>
        <v>NA</v>
      </c>
      <c r="U1173" s="428" t="s">
        <v>5493</v>
      </c>
      <c r="V1173" s="429">
        <v>325028</v>
      </c>
      <c r="W1173" s="429" t="str">
        <f>Period</f>
        <v>2014Y</v>
      </c>
      <c r="X1173" s="430" t="str">
        <f>[1]!SNLLabel(287,325028,,"&lt;&gt;50","Options:Curr=Reported currency,Mag=MIstandard,ConvMethod=MIrecommended")</f>
        <v>AR: Cmprhsv (Hosp, Med) Grp</v>
      </c>
      <c r="Y1173" s="441" t="s">
        <v>29</v>
      </c>
      <c r="Z1173" s="441" t="s">
        <v>29</v>
      </c>
      <c r="AA1173" s="441" t="s">
        <v>29</v>
      </c>
      <c r="AB1173" s="441" t="s">
        <v>29</v>
      </c>
      <c r="AC1173" s="441" t="s">
        <v>29</v>
      </c>
      <c r="AD1173" s="441" t="s">
        <v>29</v>
      </c>
      <c r="AE1173" s="441" t="s">
        <v>29</v>
      </c>
      <c r="AF1173" s="441" t="s">
        <v>29</v>
      </c>
      <c r="AG1173" s="441" t="s">
        <v>29</v>
      </c>
      <c r="AH1173" s="441" t="s">
        <v>29</v>
      </c>
      <c r="AI1173" s="441" t="s">
        <v>29</v>
      </c>
    </row>
    <row r="1174" spans="2:35" ht="11.25" hidden="1" customHeight="1" outlineLevel="1" x14ac:dyDescent="0.35">
      <c r="B1174" s="294" t="s">
        <v>5493</v>
      </c>
      <c r="C1174" s="329"/>
      <c r="D1174" s="305" t="str">
        <f>IF(Y1174="","",Y1174)</f>
        <v>NA</v>
      </c>
      <c r="E1174" s="305" t="str">
        <f>IF(Z1174="","",Z1174)</f>
        <v>NA</v>
      </c>
      <c r="F1174" s="305" t="str">
        <f>IF(AA1174="","",AA1174)</f>
        <v>NA</v>
      </c>
      <c r="G1174" s="305" t="str">
        <f>IF(AB1174="","",AB1174)</f>
        <v>NA</v>
      </c>
      <c r="H1174" s="305" t="str">
        <f>IF(AC1174="","",AC1174)</f>
        <v>NA</v>
      </c>
      <c r="I1174" s="305" t="str">
        <f>IF(AD1174="","",AD1174)</f>
        <v>NA</v>
      </c>
      <c r="J1174" s="305" t="str">
        <f>IF(AE1174="","",AE1174)</f>
        <v>NA</v>
      </c>
      <c r="K1174" s="305" t="str">
        <f>IF(AF1174="","",AF1174)</f>
        <v>NA</v>
      </c>
      <c r="L1174" s="305" t="str">
        <f>IF(AG1174="","",AG1174)</f>
        <v>NA</v>
      </c>
      <c r="M1174" s="305" t="str">
        <f>IF(AH1174="","",AH1174)</f>
        <v>NA</v>
      </c>
      <c r="N1174" s="305" t="str">
        <f>IF(AI1174="","",AI1174)</f>
        <v>NA</v>
      </c>
      <c r="U1174" s="428" t="s">
        <v>5493</v>
      </c>
      <c r="V1174" s="429">
        <v>325028</v>
      </c>
      <c r="W1174" s="429" t="str">
        <f>Period</f>
        <v>2014Y</v>
      </c>
      <c r="X1174" s="430" t="str">
        <f>[1]!SNLLabel(287,325028,,"&lt;&gt;358","Options:Curr=Reported currency,Mag=MIstandard,ConvMethod=MIrecommended")</f>
        <v>AR: Credit A&amp;H</v>
      </c>
      <c r="Y1174" s="441" t="s">
        <v>29</v>
      </c>
      <c r="Z1174" s="441" t="s">
        <v>29</v>
      </c>
      <c r="AA1174" s="441" t="s">
        <v>29</v>
      </c>
      <c r="AB1174" s="441" t="s">
        <v>29</v>
      </c>
      <c r="AC1174" s="441" t="s">
        <v>29</v>
      </c>
      <c r="AD1174" s="441" t="s">
        <v>29</v>
      </c>
      <c r="AE1174" s="441" t="s">
        <v>29</v>
      </c>
      <c r="AF1174" s="441" t="s">
        <v>29</v>
      </c>
      <c r="AG1174" s="441" t="s">
        <v>29</v>
      </c>
      <c r="AH1174" s="441" t="s">
        <v>29</v>
      </c>
      <c r="AI1174" s="441" t="s">
        <v>29</v>
      </c>
    </row>
    <row r="1175" spans="2:35" ht="11.25" hidden="1" customHeight="1" outlineLevel="1" x14ac:dyDescent="0.35">
      <c r="B1175" s="294" t="s">
        <v>5493</v>
      </c>
      <c r="C1175" s="329"/>
      <c r="D1175" s="305" t="str">
        <f>IF(Y1175="","",Y1175)</f>
        <v>NA</v>
      </c>
      <c r="E1175" s="305" t="str">
        <f>IF(Z1175="","",Z1175)</f>
        <v>NA</v>
      </c>
      <c r="F1175" s="305" t="str">
        <f>IF(AA1175="","",AA1175)</f>
        <v>NA</v>
      </c>
      <c r="G1175" s="305" t="str">
        <f>IF(AB1175="","",AB1175)</f>
        <v>NA</v>
      </c>
      <c r="H1175" s="305" t="str">
        <f>IF(AC1175="","",AC1175)</f>
        <v>NA</v>
      </c>
      <c r="I1175" s="305" t="str">
        <f>IF(AD1175="","",AD1175)</f>
        <v>NA</v>
      </c>
      <c r="J1175" s="305" t="str">
        <f>IF(AE1175="","",AE1175)</f>
        <v>NA</v>
      </c>
      <c r="K1175" s="305" t="str">
        <f>IF(AF1175="","",AF1175)</f>
        <v>NA</v>
      </c>
      <c r="L1175" s="305" t="str">
        <f>IF(AG1175="","",AG1175)</f>
        <v>NA</v>
      </c>
      <c r="M1175" s="305" t="str">
        <f>IF(AH1175="","",AH1175)</f>
        <v>NA</v>
      </c>
      <c r="N1175" s="305" t="str">
        <f>IF(AI1175="","",AI1175)</f>
        <v>NA</v>
      </c>
      <c r="U1175" s="428" t="s">
        <v>5493</v>
      </c>
      <c r="V1175" s="429">
        <v>325028</v>
      </c>
      <c r="W1175" s="429" t="str">
        <f>Period</f>
        <v>2014Y</v>
      </c>
      <c r="X1175" s="430" t="str">
        <f>[1]!SNLLabel(287,325028,,"&lt;&gt;359","Options:Curr=Reported currency,Mag=MIstandard,ConvMethod=MIrecommended")</f>
        <v>AR: Other Health</v>
      </c>
      <c r="Y1175" s="441" t="s">
        <v>29</v>
      </c>
      <c r="Z1175" s="441" t="s">
        <v>29</v>
      </c>
      <c r="AA1175" s="441" t="s">
        <v>29</v>
      </c>
      <c r="AB1175" s="441" t="s">
        <v>29</v>
      </c>
      <c r="AC1175" s="441" t="s">
        <v>29</v>
      </c>
      <c r="AD1175" s="441" t="s">
        <v>29</v>
      </c>
      <c r="AE1175" s="441" t="s">
        <v>29</v>
      </c>
      <c r="AF1175" s="441" t="s">
        <v>29</v>
      </c>
      <c r="AG1175" s="441" t="s">
        <v>29</v>
      </c>
      <c r="AH1175" s="441" t="s">
        <v>29</v>
      </c>
      <c r="AI1175" s="441" t="s">
        <v>29</v>
      </c>
    </row>
    <row r="1176" spans="2:35" ht="11.25" hidden="1" customHeight="1" outlineLevel="1" x14ac:dyDescent="0.35">
      <c r="B1176" s="294" t="s">
        <v>5493</v>
      </c>
      <c r="C1176" s="329"/>
      <c r="D1176" s="305" t="str">
        <f>IF(Y1176="","",Y1176)</f>
        <v>NA</v>
      </c>
      <c r="E1176" s="305" t="str">
        <f>IF(Z1176="","",Z1176)</f>
        <v>NA</v>
      </c>
      <c r="F1176" s="305" t="str">
        <f>IF(AA1176="","",AA1176)</f>
        <v>NA</v>
      </c>
      <c r="G1176" s="305" t="str">
        <f>IF(AB1176="","",AB1176)</f>
        <v>NA</v>
      </c>
      <c r="H1176" s="305" t="str">
        <f>IF(AC1176="","",AC1176)</f>
        <v>NA</v>
      </c>
      <c r="I1176" s="305" t="str">
        <f>IF(AD1176="","",AD1176)</f>
        <v>NA</v>
      </c>
      <c r="J1176" s="305" t="str">
        <f>IF(AE1176="","",AE1176)</f>
        <v>NA</v>
      </c>
      <c r="K1176" s="305" t="str">
        <f>IF(AF1176="","",AF1176)</f>
        <v>NA</v>
      </c>
      <c r="L1176" s="305" t="str">
        <f>IF(AG1176="","",AG1176)</f>
        <v>NA</v>
      </c>
      <c r="M1176" s="305" t="str">
        <f>IF(AH1176="","",AH1176)</f>
        <v>NA</v>
      </c>
      <c r="N1176" s="305" t="str">
        <f>IF(AI1176="","",AI1176)</f>
        <v>NA</v>
      </c>
      <c r="U1176" s="434" t="s">
        <v>5493</v>
      </c>
      <c r="V1176" s="435">
        <v>325028</v>
      </c>
      <c r="W1176" s="429" t="str">
        <f>Period</f>
        <v>2014Y</v>
      </c>
      <c r="X1176" s="436" t="str">
        <f>[1]!SNLLabel(287,325028,,"&lt;&gt;357","Options:Curr=Reported currency,Mag=MIstandard,ConvMethod=MIrecommended")</f>
        <v>AR: Total Accident and Health</v>
      </c>
      <c r="Y1176" s="442" t="s">
        <v>29</v>
      </c>
      <c r="Z1176" s="442" t="s">
        <v>29</v>
      </c>
      <c r="AA1176" s="442" t="s">
        <v>29</v>
      </c>
      <c r="AB1176" s="442" t="s">
        <v>29</v>
      </c>
      <c r="AC1176" s="442" t="s">
        <v>29</v>
      </c>
      <c r="AD1176" s="442" t="s">
        <v>29</v>
      </c>
      <c r="AE1176" s="442" t="s">
        <v>29</v>
      </c>
      <c r="AF1176" s="442" t="s">
        <v>29</v>
      </c>
      <c r="AG1176" s="442" t="s">
        <v>29</v>
      </c>
      <c r="AH1176" s="442" t="s">
        <v>29</v>
      </c>
      <c r="AI1176" s="442" t="s">
        <v>29</v>
      </c>
    </row>
    <row r="1177" spans="2:35" ht="11.25" hidden="1" customHeight="1" outlineLevel="1" x14ac:dyDescent="0.35">
      <c r="B1177" s="294"/>
      <c r="C1177" s="329"/>
      <c r="D1177" s="305"/>
      <c r="E1177" s="305"/>
      <c r="F1177" s="305"/>
      <c r="G1177" s="305"/>
      <c r="H1177" s="305"/>
      <c r="I1177" s="305"/>
      <c r="J1177" s="305"/>
      <c r="K1177" s="305"/>
      <c r="L1177" s="305"/>
      <c r="M1177" s="305"/>
      <c r="N1177" s="305"/>
      <c r="U1177" s="444"/>
      <c r="V1177" s="445"/>
      <c r="W1177" s="445"/>
      <c r="X1177" s="439"/>
      <c r="Y1177" s="444"/>
      <c r="Z1177" s="444"/>
      <c r="AA1177" s="444"/>
      <c r="AB1177" s="444"/>
      <c r="AC1177" s="444"/>
      <c r="AD1177" s="444"/>
      <c r="AE1177" s="444"/>
      <c r="AF1177" s="444"/>
      <c r="AG1177" s="444"/>
      <c r="AH1177" s="444"/>
      <c r="AI1177" s="444"/>
    </row>
    <row r="1178" spans="2:35" ht="11.25" hidden="1" customHeight="1" outlineLevel="1" x14ac:dyDescent="0.35">
      <c r="B1178" s="294" t="s">
        <v>5494</v>
      </c>
      <c r="C1178" s="329"/>
      <c r="D1178" s="305" t="str">
        <f>IF(Y1178="","",Y1178)</f>
        <v>NA</v>
      </c>
      <c r="E1178" s="305" t="str">
        <f>IF(Z1178="","",Z1178)</f>
        <v>NA</v>
      </c>
      <c r="F1178" s="305" t="str">
        <f>IF(AA1178="","",AA1178)</f>
        <v>NA</v>
      </c>
      <c r="G1178" s="305" t="str">
        <f>IF(AB1178="","",AB1178)</f>
        <v>NA</v>
      </c>
      <c r="H1178" s="305" t="str">
        <f>IF(AC1178="","",AC1178)</f>
        <v>NA</v>
      </c>
      <c r="I1178" s="305" t="str">
        <f>IF(AD1178="","",AD1178)</f>
        <v>NA</v>
      </c>
      <c r="J1178" s="305" t="str">
        <f>IF(AE1178="","",AE1178)</f>
        <v>NA</v>
      </c>
      <c r="K1178" s="305" t="str">
        <f>IF(AF1178="","",AF1178)</f>
        <v>NA</v>
      </c>
      <c r="L1178" s="305" t="str">
        <f>IF(AG1178="","",AG1178)</f>
        <v>NA</v>
      </c>
      <c r="M1178" s="305" t="str">
        <f>IF(AH1178="","",AH1178)</f>
        <v>NA</v>
      </c>
      <c r="N1178" s="305" t="str">
        <f>IF(AI1178="","",AI1178)</f>
        <v>NA</v>
      </c>
      <c r="U1178" s="431" t="s">
        <v>5494</v>
      </c>
      <c r="V1178" s="432">
        <v>325029</v>
      </c>
      <c r="W1178" s="429" t="str">
        <f>Period</f>
        <v>2014Y</v>
      </c>
      <c r="X1178" s="433" t="str">
        <f>[1]!SNLLabel(287,325029,,"&lt;&gt;49","Options:Curr=Reported currency,Mag=MIstandard,ConvMethod=MIrecommended")</f>
        <v>AR: Cmprhsv (Hosp, Med) Ind</v>
      </c>
      <c r="Y1178" s="440" t="s">
        <v>29</v>
      </c>
      <c r="Z1178" s="440" t="s">
        <v>29</v>
      </c>
      <c r="AA1178" s="440" t="s">
        <v>29</v>
      </c>
      <c r="AB1178" s="440" t="s">
        <v>29</v>
      </c>
      <c r="AC1178" s="440" t="s">
        <v>29</v>
      </c>
      <c r="AD1178" s="440" t="s">
        <v>29</v>
      </c>
      <c r="AE1178" s="440" t="s">
        <v>29</v>
      </c>
      <c r="AF1178" s="440" t="s">
        <v>29</v>
      </c>
      <c r="AG1178" s="440" t="s">
        <v>29</v>
      </c>
      <c r="AH1178" s="440" t="s">
        <v>29</v>
      </c>
      <c r="AI1178" s="440" t="s">
        <v>29</v>
      </c>
    </row>
    <row r="1179" spans="2:35" ht="11.25" hidden="1" customHeight="1" outlineLevel="1" x14ac:dyDescent="0.35">
      <c r="B1179" s="294" t="s">
        <v>5494</v>
      </c>
      <c r="C1179" s="329"/>
      <c r="D1179" s="305" t="str">
        <f>IF(Y1179="","",Y1179)</f>
        <v>NA</v>
      </c>
      <c r="E1179" s="305" t="str">
        <f>IF(Z1179="","",Z1179)</f>
        <v>NA</v>
      </c>
      <c r="F1179" s="305" t="str">
        <f>IF(AA1179="","",AA1179)</f>
        <v>NA</v>
      </c>
      <c r="G1179" s="305" t="str">
        <f>IF(AB1179="","",AB1179)</f>
        <v>NA</v>
      </c>
      <c r="H1179" s="305" t="str">
        <f>IF(AC1179="","",AC1179)</f>
        <v>NA</v>
      </c>
      <c r="I1179" s="305" t="str">
        <f>IF(AD1179="","",AD1179)</f>
        <v>NA</v>
      </c>
      <c r="J1179" s="305" t="str">
        <f>IF(AE1179="","",AE1179)</f>
        <v>NA</v>
      </c>
      <c r="K1179" s="305" t="str">
        <f>IF(AF1179="","",AF1179)</f>
        <v>NA</v>
      </c>
      <c r="L1179" s="305" t="str">
        <f>IF(AG1179="","",AG1179)</f>
        <v>NA</v>
      </c>
      <c r="M1179" s="305" t="str">
        <f>IF(AH1179="","",AH1179)</f>
        <v>NA</v>
      </c>
      <c r="N1179" s="305" t="str">
        <f>IF(AI1179="","",AI1179)</f>
        <v>NA</v>
      </c>
      <c r="U1179" s="428" t="s">
        <v>5494</v>
      </c>
      <c r="V1179" s="429">
        <v>325029</v>
      </c>
      <c r="W1179" s="429" t="str">
        <f>Period</f>
        <v>2014Y</v>
      </c>
      <c r="X1179" s="430" t="str">
        <f>[1]!SNLLabel(287,325029,,"&lt;&gt;50","Options:Curr=Reported currency,Mag=MIstandard,ConvMethod=MIrecommended")</f>
        <v>AR: Cmprhsv (Hosp, Med) Grp</v>
      </c>
      <c r="Y1179" s="441" t="s">
        <v>29</v>
      </c>
      <c r="Z1179" s="441" t="s">
        <v>29</v>
      </c>
      <c r="AA1179" s="441" t="s">
        <v>29</v>
      </c>
      <c r="AB1179" s="441" t="s">
        <v>29</v>
      </c>
      <c r="AC1179" s="441" t="s">
        <v>29</v>
      </c>
      <c r="AD1179" s="441" t="s">
        <v>29</v>
      </c>
      <c r="AE1179" s="441" t="s">
        <v>29</v>
      </c>
      <c r="AF1179" s="441" t="s">
        <v>29</v>
      </c>
      <c r="AG1179" s="441" t="s">
        <v>29</v>
      </c>
      <c r="AH1179" s="441" t="s">
        <v>29</v>
      </c>
      <c r="AI1179" s="441" t="s">
        <v>29</v>
      </c>
    </row>
    <row r="1180" spans="2:35" ht="11.25" hidden="1" customHeight="1" outlineLevel="1" x14ac:dyDescent="0.35">
      <c r="B1180" s="294" t="s">
        <v>5494</v>
      </c>
      <c r="C1180" s="329"/>
      <c r="D1180" s="305" t="str">
        <f>IF(Y1180="","",Y1180)</f>
        <v>NA</v>
      </c>
      <c r="E1180" s="305" t="str">
        <f>IF(Z1180="","",Z1180)</f>
        <v>NA</v>
      </c>
      <c r="F1180" s="305" t="str">
        <f>IF(AA1180="","",AA1180)</f>
        <v>NA</v>
      </c>
      <c r="G1180" s="305" t="str">
        <f>IF(AB1180="","",AB1180)</f>
        <v>NA</v>
      </c>
      <c r="H1180" s="305" t="str">
        <f>IF(AC1180="","",AC1180)</f>
        <v>NA</v>
      </c>
      <c r="I1180" s="305" t="str">
        <f>IF(AD1180="","",AD1180)</f>
        <v>NA</v>
      </c>
      <c r="J1180" s="305" t="str">
        <f>IF(AE1180="","",AE1180)</f>
        <v>NA</v>
      </c>
      <c r="K1180" s="305" t="str">
        <f>IF(AF1180="","",AF1180)</f>
        <v>NA</v>
      </c>
      <c r="L1180" s="305" t="str">
        <f>IF(AG1180="","",AG1180)</f>
        <v>NA</v>
      </c>
      <c r="M1180" s="305" t="str">
        <f>IF(AH1180="","",AH1180)</f>
        <v>NA</v>
      </c>
      <c r="N1180" s="305" t="str">
        <f>IF(AI1180="","",AI1180)</f>
        <v>NA</v>
      </c>
      <c r="U1180" s="428" t="s">
        <v>5494</v>
      </c>
      <c r="V1180" s="429">
        <v>325029</v>
      </c>
      <c r="W1180" s="429" t="str">
        <f>Period</f>
        <v>2014Y</v>
      </c>
      <c r="X1180" s="430" t="str">
        <f>[1]!SNLLabel(287,325029,,"&lt;&gt;358","Options:Curr=Reported currency,Mag=MIstandard,ConvMethod=MIrecommended")</f>
        <v>AR: Credit A&amp;H</v>
      </c>
      <c r="Y1180" s="441" t="s">
        <v>29</v>
      </c>
      <c r="Z1180" s="441" t="s">
        <v>29</v>
      </c>
      <c r="AA1180" s="441" t="s">
        <v>29</v>
      </c>
      <c r="AB1180" s="441" t="s">
        <v>29</v>
      </c>
      <c r="AC1180" s="441" t="s">
        <v>29</v>
      </c>
      <c r="AD1180" s="441" t="s">
        <v>29</v>
      </c>
      <c r="AE1180" s="441" t="s">
        <v>29</v>
      </c>
      <c r="AF1180" s="441" t="s">
        <v>29</v>
      </c>
      <c r="AG1180" s="441" t="s">
        <v>29</v>
      </c>
      <c r="AH1180" s="441" t="s">
        <v>29</v>
      </c>
      <c r="AI1180" s="441" t="s">
        <v>29</v>
      </c>
    </row>
    <row r="1181" spans="2:35" ht="11.25" hidden="1" customHeight="1" outlineLevel="1" x14ac:dyDescent="0.35">
      <c r="B1181" s="294" t="s">
        <v>5494</v>
      </c>
      <c r="C1181" s="329"/>
      <c r="D1181" s="305" t="str">
        <f>IF(Y1181="","",Y1181)</f>
        <v>NA</v>
      </c>
      <c r="E1181" s="305" t="str">
        <f>IF(Z1181="","",Z1181)</f>
        <v>NA</v>
      </c>
      <c r="F1181" s="305" t="str">
        <f>IF(AA1181="","",AA1181)</f>
        <v>NA</v>
      </c>
      <c r="G1181" s="305" t="str">
        <f>IF(AB1181="","",AB1181)</f>
        <v>NA</v>
      </c>
      <c r="H1181" s="305" t="str">
        <f>IF(AC1181="","",AC1181)</f>
        <v>NA</v>
      </c>
      <c r="I1181" s="305" t="str">
        <f>IF(AD1181="","",AD1181)</f>
        <v>NA</v>
      </c>
      <c r="J1181" s="305" t="str">
        <f>IF(AE1181="","",AE1181)</f>
        <v>NA</v>
      </c>
      <c r="K1181" s="305" t="str">
        <f>IF(AF1181="","",AF1181)</f>
        <v>NA</v>
      </c>
      <c r="L1181" s="305" t="str">
        <f>IF(AG1181="","",AG1181)</f>
        <v>NA</v>
      </c>
      <c r="M1181" s="305" t="str">
        <f>IF(AH1181="","",AH1181)</f>
        <v>NA</v>
      </c>
      <c r="N1181" s="305" t="str">
        <f>IF(AI1181="","",AI1181)</f>
        <v>NA</v>
      </c>
      <c r="U1181" s="428" t="s">
        <v>5494</v>
      </c>
      <c r="V1181" s="429">
        <v>325029</v>
      </c>
      <c r="W1181" s="429" t="str">
        <f>Period</f>
        <v>2014Y</v>
      </c>
      <c r="X1181" s="430" t="str">
        <f>[1]!SNLLabel(287,325029,,"&lt;&gt;359","Options:Curr=Reported currency,Mag=MIstandard,ConvMethod=MIrecommended")</f>
        <v>AR: Other Health</v>
      </c>
      <c r="Y1181" s="441" t="s">
        <v>29</v>
      </c>
      <c r="Z1181" s="441" t="s">
        <v>29</v>
      </c>
      <c r="AA1181" s="441" t="s">
        <v>29</v>
      </c>
      <c r="AB1181" s="441" t="s">
        <v>29</v>
      </c>
      <c r="AC1181" s="441" t="s">
        <v>29</v>
      </c>
      <c r="AD1181" s="441" t="s">
        <v>29</v>
      </c>
      <c r="AE1181" s="441" t="s">
        <v>29</v>
      </c>
      <c r="AF1181" s="441" t="s">
        <v>29</v>
      </c>
      <c r="AG1181" s="441" t="s">
        <v>29</v>
      </c>
      <c r="AH1181" s="441" t="s">
        <v>29</v>
      </c>
      <c r="AI1181" s="441" t="s">
        <v>29</v>
      </c>
    </row>
    <row r="1182" spans="2:35" ht="11.25" hidden="1" customHeight="1" outlineLevel="1" x14ac:dyDescent="0.35">
      <c r="B1182" s="294" t="s">
        <v>5494</v>
      </c>
      <c r="C1182" s="329"/>
      <c r="D1182" s="305" t="str">
        <f>IF(Y1182="","",Y1182)</f>
        <v>NA</v>
      </c>
      <c r="E1182" s="305" t="str">
        <f>IF(Z1182="","",Z1182)</f>
        <v>NA</v>
      </c>
      <c r="F1182" s="305" t="str">
        <f>IF(AA1182="","",AA1182)</f>
        <v>NA</v>
      </c>
      <c r="G1182" s="305" t="str">
        <f>IF(AB1182="","",AB1182)</f>
        <v>NA</v>
      </c>
      <c r="H1182" s="305" t="str">
        <f>IF(AC1182="","",AC1182)</f>
        <v>NA</v>
      </c>
      <c r="I1182" s="305" t="str">
        <f>IF(AD1182="","",AD1182)</f>
        <v>NA</v>
      </c>
      <c r="J1182" s="305" t="str">
        <f>IF(AE1182="","",AE1182)</f>
        <v>NA</v>
      </c>
      <c r="K1182" s="305" t="str">
        <f>IF(AF1182="","",AF1182)</f>
        <v>NA</v>
      </c>
      <c r="L1182" s="305" t="str">
        <f>IF(AG1182="","",AG1182)</f>
        <v>NA</v>
      </c>
      <c r="M1182" s="305" t="str">
        <f>IF(AH1182="","",AH1182)</f>
        <v>NA</v>
      </c>
      <c r="N1182" s="305" t="str">
        <f>IF(AI1182="","",AI1182)</f>
        <v>NA</v>
      </c>
      <c r="U1182" s="434" t="s">
        <v>5494</v>
      </c>
      <c r="V1182" s="435">
        <v>325029</v>
      </c>
      <c r="W1182" s="429" t="str">
        <f>Period</f>
        <v>2014Y</v>
      </c>
      <c r="X1182" s="436" t="str">
        <f>[1]!SNLLabel(287,325029,,"&lt;&gt;357","Options:Curr=Reported currency,Mag=MIstandard,ConvMethod=MIrecommended")</f>
        <v>AR: Total Accident and Health</v>
      </c>
      <c r="Y1182" s="442" t="s">
        <v>29</v>
      </c>
      <c r="Z1182" s="442" t="s">
        <v>29</v>
      </c>
      <c r="AA1182" s="442" t="s">
        <v>29</v>
      </c>
      <c r="AB1182" s="442" t="s">
        <v>29</v>
      </c>
      <c r="AC1182" s="442" t="s">
        <v>29</v>
      </c>
      <c r="AD1182" s="442" t="s">
        <v>29</v>
      </c>
      <c r="AE1182" s="442" t="s">
        <v>29</v>
      </c>
      <c r="AF1182" s="442" t="s">
        <v>29</v>
      </c>
      <c r="AG1182" s="442" t="s">
        <v>29</v>
      </c>
      <c r="AH1182" s="442" t="s">
        <v>29</v>
      </c>
      <c r="AI1182" s="442" t="s">
        <v>29</v>
      </c>
    </row>
    <row r="1183" spans="2:35" ht="11.25" hidden="1" customHeight="1" outlineLevel="1" x14ac:dyDescent="0.35">
      <c r="B1183" s="294"/>
      <c r="C1183" s="329"/>
      <c r="D1183" s="305"/>
      <c r="E1183" s="305"/>
      <c r="F1183" s="305"/>
      <c r="G1183" s="305"/>
      <c r="H1183" s="305"/>
      <c r="I1183" s="305"/>
      <c r="J1183" s="305"/>
      <c r="K1183" s="305"/>
      <c r="L1183" s="305"/>
      <c r="M1183" s="305"/>
      <c r="N1183" s="305"/>
      <c r="U1183" s="444"/>
      <c r="V1183" s="445"/>
      <c r="W1183" s="445"/>
      <c r="X1183" s="439"/>
      <c r="Y1183" s="444"/>
      <c r="Z1183" s="444"/>
      <c r="AA1183" s="444"/>
      <c r="AB1183" s="444"/>
      <c r="AC1183" s="444"/>
      <c r="AD1183" s="444"/>
      <c r="AE1183" s="444"/>
      <c r="AF1183" s="444"/>
      <c r="AG1183" s="444"/>
      <c r="AH1183" s="444"/>
      <c r="AI1183" s="444"/>
    </row>
    <row r="1184" spans="2:35" ht="11.25" hidden="1" customHeight="1" outlineLevel="1" x14ac:dyDescent="0.35">
      <c r="B1184" s="294" t="s">
        <v>5495</v>
      </c>
      <c r="C1184" s="329"/>
      <c r="D1184" s="305" t="str">
        <f>IF(Y1184="","",Y1184)</f>
        <v>NA</v>
      </c>
      <c r="E1184" s="305" t="str">
        <f>IF(Z1184="","",Z1184)</f>
        <v>NA</v>
      </c>
      <c r="F1184" s="305" t="str">
        <f>IF(AA1184="","",AA1184)</f>
        <v>NA</v>
      </c>
      <c r="G1184" s="305" t="str">
        <f>IF(AB1184="","",AB1184)</f>
        <v>NA</v>
      </c>
      <c r="H1184" s="305" t="str">
        <f>IF(AC1184="","",AC1184)</f>
        <v>NA</v>
      </c>
      <c r="I1184" s="305" t="str">
        <f>IF(AD1184="","",AD1184)</f>
        <v>NA</v>
      </c>
      <c r="J1184" s="305" t="str">
        <f>IF(AE1184="","",AE1184)</f>
        <v>NA</v>
      </c>
      <c r="K1184" s="305" t="str">
        <f>IF(AF1184="","",AF1184)</f>
        <v>NA</v>
      </c>
      <c r="L1184" s="305" t="str">
        <f>IF(AG1184="","",AG1184)</f>
        <v>NA</v>
      </c>
      <c r="M1184" s="305" t="str">
        <f>IF(AH1184="","",AH1184)</f>
        <v>NA</v>
      </c>
      <c r="N1184" s="305" t="str">
        <f>IF(AI1184="","",AI1184)</f>
        <v>NA</v>
      </c>
      <c r="U1184" s="431" t="s">
        <v>5495</v>
      </c>
      <c r="V1184" s="432">
        <v>325030</v>
      </c>
      <c r="W1184" s="429" t="str">
        <f>Period</f>
        <v>2014Y</v>
      </c>
      <c r="X1184" s="433" t="str">
        <f>[1]!SNLLabel(287,325030,,"&lt;&gt;49","Options:Curr=Reported currency,Mag=MIstandard,ConvMethod=MIrecommended")</f>
        <v>AR: Cmprhsv (Hosp, Med) Ind</v>
      </c>
      <c r="Y1184" s="440" t="s">
        <v>29</v>
      </c>
      <c r="Z1184" s="440" t="s">
        <v>29</v>
      </c>
      <c r="AA1184" s="440" t="s">
        <v>29</v>
      </c>
      <c r="AB1184" s="440" t="s">
        <v>29</v>
      </c>
      <c r="AC1184" s="440" t="s">
        <v>29</v>
      </c>
      <c r="AD1184" s="440" t="s">
        <v>29</v>
      </c>
      <c r="AE1184" s="440" t="s">
        <v>29</v>
      </c>
      <c r="AF1184" s="440" t="s">
        <v>29</v>
      </c>
      <c r="AG1184" s="440" t="s">
        <v>29</v>
      </c>
      <c r="AH1184" s="440" t="s">
        <v>29</v>
      </c>
      <c r="AI1184" s="440" t="s">
        <v>29</v>
      </c>
    </row>
    <row r="1185" spans="2:35" ht="11.25" hidden="1" customHeight="1" outlineLevel="1" x14ac:dyDescent="0.35">
      <c r="B1185" s="294" t="s">
        <v>5495</v>
      </c>
      <c r="C1185" s="329"/>
      <c r="D1185" s="305" t="str">
        <f>IF(Y1185="","",Y1185)</f>
        <v>NA</v>
      </c>
      <c r="E1185" s="305" t="str">
        <f>IF(Z1185="","",Z1185)</f>
        <v>NA</v>
      </c>
      <c r="F1185" s="305" t="str">
        <f>IF(AA1185="","",AA1185)</f>
        <v>NA</v>
      </c>
      <c r="G1185" s="305" t="str">
        <f>IF(AB1185="","",AB1185)</f>
        <v>NA</v>
      </c>
      <c r="H1185" s="305" t="str">
        <f>IF(AC1185="","",AC1185)</f>
        <v>NA</v>
      </c>
      <c r="I1185" s="305" t="str">
        <f>IF(AD1185="","",AD1185)</f>
        <v>NA</v>
      </c>
      <c r="J1185" s="305" t="str">
        <f>IF(AE1185="","",AE1185)</f>
        <v>NA</v>
      </c>
      <c r="K1185" s="305" t="str">
        <f>IF(AF1185="","",AF1185)</f>
        <v>NA</v>
      </c>
      <c r="L1185" s="305" t="str">
        <f>IF(AG1185="","",AG1185)</f>
        <v>NA</v>
      </c>
      <c r="M1185" s="305" t="str">
        <f>IF(AH1185="","",AH1185)</f>
        <v>NA</v>
      </c>
      <c r="N1185" s="305" t="str">
        <f>IF(AI1185="","",AI1185)</f>
        <v>NA</v>
      </c>
      <c r="U1185" s="428" t="s">
        <v>5495</v>
      </c>
      <c r="V1185" s="429">
        <v>325030</v>
      </c>
      <c r="W1185" s="429" t="str">
        <f>Period</f>
        <v>2014Y</v>
      </c>
      <c r="X1185" s="430" t="str">
        <f>[1]!SNLLabel(287,325030,,"&lt;&gt;50","Options:Curr=Reported currency,Mag=MIstandard,ConvMethod=MIrecommended")</f>
        <v>AR: Cmprhsv (Hosp, Med) Grp</v>
      </c>
      <c r="Y1185" s="441" t="s">
        <v>29</v>
      </c>
      <c r="Z1185" s="441" t="s">
        <v>29</v>
      </c>
      <c r="AA1185" s="441" t="s">
        <v>29</v>
      </c>
      <c r="AB1185" s="441" t="s">
        <v>29</v>
      </c>
      <c r="AC1185" s="441" t="s">
        <v>29</v>
      </c>
      <c r="AD1185" s="441" t="s">
        <v>29</v>
      </c>
      <c r="AE1185" s="441" t="s">
        <v>29</v>
      </c>
      <c r="AF1185" s="441" t="s">
        <v>29</v>
      </c>
      <c r="AG1185" s="441" t="s">
        <v>29</v>
      </c>
      <c r="AH1185" s="441" t="s">
        <v>29</v>
      </c>
      <c r="AI1185" s="441" t="s">
        <v>29</v>
      </c>
    </row>
    <row r="1186" spans="2:35" ht="11.25" hidden="1" customHeight="1" outlineLevel="1" x14ac:dyDescent="0.35">
      <c r="B1186" s="294" t="s">
        <v>5495</v>
      </c>
      <c r="C1186" s="329"/>
      <c r="D1186" s="305" t="str">
        <f>IF(Y1186="","",Y1186)</f>
        <v>NA</v>
      </c>
      <c r="E1186" s="305" t="str">
        <f>IF(Z1186="","",Z1186)</f>
        <v>NA</v>
      </c>
      <c r="F1186" s="305" t="str">
        <f>IF(AA1186="","",AA1186)</f>
        <v>NA</v>
      </c>
      <c r="G1186" s="305" t="str">
        <f>IF(AB1186="","",AB1186)</f>
        <v>NA</v>
      </c>
      <c r="H1186" s="305" t="str">
        <f>IF(AC1186="","",AC1186)</f>
        <v>NA</v>
      </c>
      <c r="I1186" s="305" t="str">
        <f>IF(AD1186="","",AD1186)</f>
        <v>NA</v>
      </c>
      <c r="J1186" s="305" t="str">
        <f>IF(AE1186="","",AE1186)</f>
        <v>NA</v>
      </c>
      <c r="K1186" s="305" t="str">
        <f>IF(AF1186="","",AF1186)</f>
        <v>NA</v>
      </c>
      <c r="L1186" s="305" t="str">
        <f>IF(AG1186="","",AG1186)</f>
        <v>NA</v>
      </c>
      <c r="M1186" s="305" t="str">
        <f>IF(AH1186="","",AH1186)</f>
        <v>NA</v>
      </c>
      <c r="N1186" s="305" t="str">
        <f>IF(AI1186="","",AI1186)</f>
        <v>NA</v>
      </c>
      <c r="U1186" s="428" t="s">
        <v>5495</v>
      </c>
      <c r="V1186" s="429">
        <v>325030</v>
      </c>
      <c r="W1186" s="429" t="str">
        <f>Period</f>
        <v>2014Y</v>
      </c>
      <c r="X1186" s="430" t="str">
        <f>[1]!SNLLabel(287,325030,,"&lt;&gt;358","Options:Curr=Reported currency,Mag=MIstandard,ConvMethod=MIrecommended")</f>
        <v>AR: Credit A&amp;H</v>
      </c>
      <c r="Y1186" s="441" t="s">
        <v>29</v>
      </c>
      <c r="Z1186" s="441" t="s">
        <v>29</v>
      </c>
      <c r="AA1186" s="441" t="s">
        <v>29</v>
      </c>
      <c r="AB1186" s="441" t="s">
        <v>29</v>
      </c>
      <c r="AC1186" s="441" t="s">
        <v>29</v>
      </c>
      <c r="AD1186" s="441" t="s">
        <v>29</v>
      </c>
      <c r="AE1186" s="441" t="s">
        <v>29</v>
      </c>
      <c r="AF1186" s="441" t="s">
        <v>29</v>
      </c>
      <c r="AG1186" s="441" t="s">
        <v>29</v>
      </c>
      <c r="AH1186" s="441" t="s">
        <v>29</v>
      </c>
      <c r="AI1186" s="441" t="s">
        <v>29</v>
      </c>
    </row>
    <row r="1187" spans="2:35" ht="11.25" hidden="1" customHeight="1" outlineLevel="1" x14ac:dyDescent="0.35">
      <c r="B1187" s="294" t="s">
        <v>5495</v>
      </c>
      <c r="C1187" s="329"/>
      <c r="D1187" s="305" t="str">
        <f>IF(Y1187="","",Y1187)</f>
        <v>NA</v>
      </c>
      <c r="E1187" s="305" t="str">
        <f>IF(Z1187="","",Z1187)</f>
        <v>NA</v>
      </c>
      <c r="F1187" s="305" t="str">
        <f>IF(AA1187="","",AA1187)</f>
        <v>NA</v>
      </c>
      <c r="G1187" s="305" t="str">
        <f>IF(AB1187="","",AB1187)</f>
        <v>NA</v>
      </c>
      <c r="H1187" s="305" t="str">
        <f>IF(AC1187="","",AC1187)</f>
        <v>NA</v>
      </c>
      <c r="I1187" s="305" t="str">
        <f>IF(AD1187="","",AD1187)</f>
        <v>NA</v>
      </c>
      <c r="J1187" s="305" t="str">
        <f>IF(AE1187="","",AE1187)</f>
        <v>NA</v>
      </c>
      <c r="K1187" s="305" t="str">
        <f>IF(AF1187="","",AF1187)</f>
        <v>NA</v>
      </c>
      <c r="L1187" s="305" t="str">
        <f>IF(AG1187="","",AG1187)</f>
        <v>NA</v>
      </c>
      <c r="M1187" s="305" t="str">
        <f>IF(AH1187="","",AH1187)</f>
        <v>NA</v>
      </c>
      <c r="N1187" s="305" t="str">
        <f>IF(AI1187="","",AI1187)</f>
        <v>NA</v>
      </c>
      <c r="U1187" s="428" t="s">
        <v>5495</v>
      </c>
      <c r="V1187" s="429">
        <v>325030</v>
      </c>
      <c r="W1187" s="429" t="str">
        <f>Period</f>
        <v>2014Y</v>
      </c>
      <c r="X1187" s="430" t="str">
        <f>[1]!SNLLabel(287,325030,,"&lt;&gt;359","Options:Curr=Reported currency,Mag=MIstandard,ConvMethod=MIrecommended")</f>
        <v>AR: Other Health</v>
      </c>
      <c r="Y1187" s="441" t="s">
        <v>29</v>
      </c>
      <c r="Z1187" s="441" t="s">
        <v>29</v>
      </c>
      <c r="AA1187" s="441" t="s">
        <v>29</v>
      </c>
      <c r="AB1187" s="441" t="s">
        <v>29</v>
      </c>
      <c r="AC1187" s="441" t="s">
        <v>29</v>
      </c>
      <c r="AD1187" s="441" t="s">
        <v>29</v>
      </c>
      <c r="AE1187" s="441" t="s">
        <v>29</v>
      </c>
      <c r="AF1187" s="441" t="s">
        <v>29</v>
      </c>
      <c r="AG1187" s="441" t="s">
        <v>29</v>
      </c>
      <c r="AH1187" s="441" t="s">
        <v>29</v>
      </c>
      <c r="AI1187" s="441" t="s">
        <v>29</v>
      </c>
    </row>
    <row r="1188" spans="2:35" ht="11.25" hidden="1" customHeight="1" outlineLevel="1" x14ac:dyDescent="0.35">
      <c r="B1188" s="294" t="s">
        <v>5495</v>
      </c>
      <c r="C1188" s="329"/>
      <c r="D1188" s="305" t="str">
        <f>IF(Y1188="","",Y1188)</f>
        <v>NA</v>
      </c>
      <c r="E1188" s="305" t="str">
        <f>IF(Z1188="","",Z1188)</f>
        <v>NA</v>
      </c>
      <c r="F1188" s="305" t="str">
        <f>IF(AA1188="","",AA1188)</f>
        <v>NA</v>
      </c>
      <c r="G1188" s="305" t="str">
        <f>IF(AB1188="","",AB1188)</f>
        <v>NA</v>
      </c>
      <c r="H1188" s="305" t="str">
        <f>IF(AC1188="","",AC1188)</f>
        <v>NA</v>
      </c>
      <c r="I1188" s="305" t="str">
        <f>IF(AD1188="","",AD1188)</f>
        <v>NA</v>
      </c>
      <c r="J1188" s="305" t="str">
        <f>IF(AE1188="","",AE1188)</f>
        <v>NA</v>
      </c>
      <c r="K1188" s="305" t="str">
        <f>IF(AF1188="","",AF1188)</f>
        <v>NA</v>
      </c>
      <c r="L1188" s="305" t="str">
        <f>IF(AG1188="","",AG1188)</f>
        <v>NA</v>
      </c>
      <c r="M1188" s="305" t="str">
        <f>IF(AH1188="","",AH1188)</f>
        <v>NA</v>
      </c>
      <c r="N1188" s="305" t="str">
        <f>IF(AI1188="","",AI1188)</f>
        <v>NA</v>
      </c>
      <c r="U1188" s="434" t="s">
        <v>5495</v>
      </c>
      <c r="V1188" s="435">
        <v>325030</v>
      </c>
      <c r="W1188" s="429" t="str">
        <f>Period</f>
        <v>2014Y</v>
      </c>
      <c r="X1188" s="436" t="str">
        <f>[1]!SNLLabel(287,325030,,"&lt;&gt;357","Options:Curr=Reported currency,Mag=MIstandard,ConvMethod=MIrecommended")</f>
        <v>AR: Total Accident and Health</v>
      </c>
      <c r="Y1188" s="442" t="s">
        <v>29</v>
      </c>
      <c r="Z1188" s="442" t="s">
        <v>29</v>
      </c>
      <c r="AA1188" s="442" t="s">
        <v>29</v>
      </c>
      <c r="AB1188" s="442" t="s">
        <v>29</v>
      </c>
      <c r="AC1188" s="442" t="s">
        <v>29</v>
      </c>
      <c r="AD1188" s="442" t="s">
        <v>29</v>
      </c>
      <c r="AE1188" s="442" t="s">
        <v>29</v>
      </c>
      <c r="AF1188" s="442" t="s">
        <v>29</v>
      </c>
      <c r="AG1188" s="442" t="s">
        <v>29</v>
      </c>
      <c r="AH1188" s="442" t="s">
        <v>29</v>
      </c>
      <c r="AI1188" s="442" t="s">
        <v>29</v>
      </c>
    </row>
    <row r="1189" spans="2:35" ht="11.25" hidden="1" customHeight="1" outlineLevel="1" x14ac:dyDescent="0.35">
      <c r="B1189" s="294"/>
      <c r="C1189" s="329"/>
      <c r="D1189" s="305"/>
      <c r="E1189" s="305"/>
      <c r="F1189" s="305"/>
      <c r="G1189" s="305"/>
      <c r="H1189" s="305"/>
      <c r="I1189" s="305"/>
      <c r="J1189" s="305"/>
      <c r="K1189" s="305"/>
      <c r="L1189" s="305"/>
      <c r="M1189" s="305"/>
      <c r="N1189" s="305"/>
      <c r="U1189" s="444"/>
      <c r="V1189" s="445"/>
      <c r="W1189" s="445"/>
      <c r="X1189" s="439"/>
      <c r="Y1189" s="444"/>
      <c r="Z1189" s="444"/>
      <c r="AA1189" s="444"/>
      <c r="AB1189" s="444"/>
      <c r="AC1189" s="444"/>
      <c r="AD1189" s="444"/>
      <c r="AE1189" s="444"/>
      <c r="AF1189" s="444"/>
      <c r="AG1189" s="444"/>
      <c r="AH1189" s="444"/>
      <c r="AI1189" s="444"/>
    </row>
    <row r="1190" spans="2:35" ht="11.25" hidden="1" customHeight="1" outlineLevel="1" x14ac:dyDescent="0.35">
      <c r="B1190" s="294" t="s">
        <v>5496</v>
      </c>
      <c r="C1190" s="329"/>
      <c r="D1190" s="305" t="str">
        <f>IF(Y1190="","",Y1190)</f>
        <v>NA</v>
      </c>
      <c r="E1190" s="305" t="str">
        <f>IF(Z1190="","",Z1190)</f>
        <v>NA</v>
      </c>
      <c r="F1190" s="305" t="str">
        <f>IF(AA1190="","",AA1190)</f>
        <v>NA</v>
      </c>
      <c r="G1190" s="305" t="str">
        <f>IF(AB1190="","",AB1190)</f>
        <v>NA</v>
      </c>
      <c r="H1190" s="305" t="str">
        <f>IF(AC1190="","",AC1190)</f>
        <v>NA</v>
      </c>
      <c r="I1190" s="305" t="str">
        <f>IF(AD1190="","",AD1190)</f>
        <v>NA</v>
      </c>
      <c r="J1190" s="305" t="str">
        <f>IF(AE1190="","",AE1190)</f>
        <v>NA</v>
      </c>
      <c r="K1190" s="305" t="str">
        <f>IF(AF1190="","",AF1190)</f>
        <v>NA</v>
      </c>
      <c r="L1190" s="305" t="str">
        <f>IF(AG1190="","",AG1190)</f>
        <v>NA</v>
      </c>
      <c r="M1190" s="305" t="str">
        <f>IF(AH1190="","",AH1190)</f>
        <v>NA</v>
      </c>
      <c r="N1190" s="305" t="str">
        <f>IF(AI1190="","",AI1190)</f>
        <v>NA</v>
      </c>
      <c r="U1190" s="431" t="s">
        <v>5496</v>
      </c>
      <c r="V1190" s="432">
        <v>325031</v>
      </c>
      <c r="W1190" s="429" t="str">
        <f>Period</f>
        <v>2014Y</v>
      </c>
      <c r="X1190" s="433" t="str">
        <f>[1]!SNLLabel(287,325031,,"&lt;&gt;49","Options:Curr=Reported currency,Mag=MIstandard,ConvMethod=MIrecommended")</f>
        <v>AR: Cmprhsv (Hosp, Med) Ind</v>
      </c>
      <c r="Y1190" s="440" t="s">
        <v>29</v>
      </c>
      <c r="Z1190" s="440" t="s">
        <v>29</v>
      </c>
      <c r="AA1190" s="440" t="s">
        <v>29</v>
      </c>
      <c r="AB1190" s="440" t="s">
        <v>29</v>
      </c>
      <c r="AC1190" s="440" t="s">
        <v>29</v>
      </c>
      <c r="AD1190" s="440" t="s">
        <v>29</v>
      </c>
      <c r="AE1190" s="440" t="s">
        <v>29</v>
      </c>
      <c r="AF1190" s="440" t="s">
        <v>29</v>
      </c>
      <c r="AG1190" s="440" t="s">
        <v>29</v>
      </c>
      <c r="AH1190" s="440" t="s">
        <v>29</v>
      </c>
      <c r="AI1190" s="440" t="s">
        <v>29</v>
      </c>
    </row>
    <row r="1191" spans="2:35" ht="11.25" hidden="1" customHeight="1" outlineLevel="1" x14ac:dyDescent="0.35">
      <c r="B1191" s="294" t="s">
        <v>5496</v>
      </c>
      <c r="C1191" s="329"/>
      <c r="D1191" s="305" t="str">
        <f>IF(Y1191="","",Y1191)</f>
        <v>NA</v>
      </c>
      <c r="E1191" s="305" t="str">
        <f>IF(Z1191="","",Z1191)</f>
        <v>NA</v>
      </c>
      <c r="F1191" s="305" t="str">
        <f>IF(AA1191="","",AA1191)</f>
        <v>NA</v>
      </c>
      <c r="G1191" s="305" t="str">
        <f>IF(AB1191="","",AB1191)</f>
        <v>NA</v>
      </c>
      <c r="H1191" s="305" t="str">
        <f>IF(AC1191="","",AC1191)</f>
        <v>NA</v>
      </c>
      <c r="I1191" s="305" t="str">
        <f>IF(AD1191="","",AD1191)</f>
        <v>NA</v>
      </c>
      <c r="J1191" s="305" t="str">
        <f>IF(AE1191="","",AE1191)</f>
        <v>NA</v>
      </c>
      <c r="K1191" s="305" t="str">
        <f>IF(AF1191="","",AF1191)</f>
        <v>NA</v>
      </c>
      <c r="L1191" s="305" t="str">
        <f>IF(AG1191="","",AG1191)</f>
        <v>NA</v>
      </c>
      <c r="M1191" s="305" t="str">
        <f>IF(AH1191="","",AH1191)</f>
        <v>NA</v>
      </c>
      <c r="N1191" s="305" t="str">
        <f>IF(AI1191="","",AI1191)</f>
        <v>NA</v>
      </c>
      <c r="U1191" s="428" t="s">
        <v>5496</v>
      </c>
      <c r="V1191" s="429">
        <v>325031</v>
      </c>
      <c r="W1191" s="429" t="str">
        <f>Period</f>
        <v>2014Y</v>
      </c>
      <c r="X1191" s="430" t="str">
        <f>[1]!SNLLabel(287,325031,,"&lt;&gt;50","Options:Curr=Reported currency,Mag=MIstandard,ConvMethod=MIrecommended")</f>
        <v>AR: Cmprhsv (Hosp, Med) Grp</v>
      </c>
      <c r="Y1191" s="441" t="s">
        <v>29</v>
      </c>
      <c r="Z1191" s="441" t="s">
        <v>29</v>
      </c>
      <c r="AA1191" s="441" t="s">
        <v>29</v>
      </c>
      <c r="AB1191" s="441" t="s">
        <v>29</v>
      </c>
      <c r="AC1191" s="441" t="s">
        <v>29</v>
      </c>
      <c r="AD1191" s="441" t="s">
        <v>29</v>
      </c>
      <c r="AE1191" s="441" t="s">
        <v>29</v>
      </c>
      <c r="AF1191" s="441" t="s">
        <v>29</v>
      </c>
      <c r="AG1191" s="441" t="s">
        <v>29</v>
      </c>
      <c r="AH1191" s="441" t="s">
        <v>29</v>
      </c>
      <c r="AI1191" s="441" t="s">
        <v>29</v>
      </c>
    </row>
    <row r="1192" spans="2:35" ht="11.25" hidden="1" customHeight="1" outlineLevel="1" x14ac:dyDescent="0.35">
      <c r="B1192" s="294" t="s">
        <v>5496</v>
      </c>
      <c r="C1192" s="329"/>
      <c r="D1192" s="305" t="str">
        <f>IF(Y1192="","",Y1192)</f>
        <v>NA</v>
      </c>
      <c r="E1192" s="305" t="str">
        <f>IF(Z1192="","",Z1192)</f>
        <v>NA</v>
      </c>
      <c r="F1192" s="305" t="str">
        <f>IF(AA1192="","",AA1192)</f>
        <v>NA</v>
      </c>
      <c r="G1192" s="305" t="str">
        <f>IF(AB1192="","",AB1192)</f>
        <v>NA</v>
      </c>
      <c r="H1192" s="305" t="str">
        <f>IF(AC1192="","",AC1192)</f>
        <v>NA</v>
      </c>
      <c r="I1192" s="305" t="str">
        <f>IF(AD1192="","",AD1192)</f>
        <v>NA</v>
      </c>
      <c r="J1192" s="305" t="str">
        <f>IF(AE1192="","",AE1192)</f>
        <v>NA</v>
      </c>
      <c r="K1192" s="305" t="str">
        <f>IF(AF1192="","",AF1192)</f>
        <v>NA</v>
      </c>
      <c r="L1192" s="305" t="str">
        <f>IF(AG1192="","",AG1192)</f>
        <v>NA</v>
      </c>
      <c r="M1192" s="305" t="str">
        <f>IF(AH1192="","",AH1192)</f>
        <v>NA</v>
      </c>
      <c r="N1192" s="305" t="str">
        <f>IF(AI1192="","",AI1192)</f>
        <v>NA</v>
      </c>
      <c r="U1192" s="428" t="s">
        <v>5496</v>
      </c>
      <c r="V1192" s="429">
        <v>325031</v>
      </c>
      <c r="W1192" s="429" t="str">
        <f>Period</f>
        <v>2014Y</v>
      </c>
      <c r="X1192" s="430" t="str">
        <f>[1]!SNLLabel(287,325031,,"&lt;&gt;358","Options:Curr=Reported currency,Mag=MIstandard,ConvMethod=MIrecommended")</f>
        <v>AR: Credit A&amp;H</v>
      </c>
      <c r="Y1192" s="441" t="s">
        <v>29</v>
      </c>
      <c r="Z1192" s="441" t="s">
        <v>29</v>
      </c>
      <c r="AA1192" s="441" t="s">
        <v>29</v>
      </c>
      <c r="AB1192" s="441" t="s">
        <v>29</v>
      </c>
      <c r="AC1192" s="441" t="s">
        <v>29</v>
      </c>
      <c r="AD1192" s="441" t="s">
        <v>29</v>
      </c>
      <c r="AE1192" s="441" t="s">
        <v>29</v>
      </c>
      <c r="AF1192" s="441" t="s">
        <v>29</v>
      </c>
      <c r="AG1192" s="441" t="s">
        <v>29</v>
      </c>
      <c r="AH1192" s="441" t="s">
        <v>29</v>
      </c>
      <c r="AI1192" s="441" t="s">
        <v>29</v>
      </c>
    </row>
    <row r="1193" spans="2:35" ht="11.25" hidden="1" customHeight="1" outlineLevel="1" x14ac:dyDescent="0.35">
      <c r="B1193" s="294" t="s">
        <v>5496</v>
      </c>
      <c r="C1193" s="329"/>
      <c r="D1193" s="305" t="str">
        <f>IF(Y1193="","",Y1193)</f>
        <v>NA</v>
      </c>
      <c r="E1193" s="305" t="str">
        <f>IF(Z1193="","",Z1193)</f>
        <v>NA</v>
      </c>
      <c r="F1193" s="305" t="str">
        <f>IF(AA1193="","",AA1193)</f>
        <v>NA</v>
      </c>
      <c r="G1193" s="305" t="str">
        <f>IF(AB1193="","",AB1193)</f>
        <v>NA</v>
      </c>
      <c r="H1193" s="305" t="str">
        <f>IF(AC1193="","",AC1193)</f>
        <v>NA</v>
      </c>
      <c r="I1193" s="305" t="str">
        <f>IF(AD1193="","",AD1193)</f>
        <v>NA</v>
      </c>
      <c r="J1193" s="305" t="str">
        <f>IF(AE1193="","",AE1193)</f>
        <v>NA</v>
      </c>
      <c r="K1193" s="305" t="str">
        <f>IF(AF1193="","",AF1193)</f>
        <v>NA</v>
      </c>
      <c r="L1193" s="305" t="str">
        <f>IF(AG1193="","",AG1193)</f>
        <v>NA</v>
      </c>
      <c r="M1193" s="305" t="str">
        <f>IF(AH1193="","",AH1193)</f>
        <v>NA</v>
      </c>
      <c r="N1193" s="305" t="str">
        <f>IF(AI1193="","",AI1193)</f>
        <v>NA</v>
      </c>
      <c r="U1193" s="428" t="s">
        <v>5496</v>
      </c>
      <c r="V1193" s="429">
        <v>325031</v>
      </c>
      <c r="W1193" s="429" t="str">
        <f>Period</f>
        <v>2014Y</v>
      </c>
      <c r="X1193" s="430" t="str">
        <f>[1]!SNLLabel(287,325031,,"&lt;&gt;359","Options:Curr=Reported currency,Mag=MIstandard,ConvMethod=MIrecommended")</f>
        <v>AR: Other Health</v>
      </c>
      <c r="Y1193" s="441" t="s">
        <v>29</v>
      </c>
      <c r="Z1193" s="441" t="s">
        <v>29</v>
      </c>
      <c r="AA1193" s="441" t="s">
        <v>29</v>
      </c>
      <c r="AB1193" s="441" t="s">
        <v>29</v>
      </c>
      <c r="AC1193" s="441" t="s">
        <v>29</v>
      </c>
      <c r="AD1193" s="441" t="s">
        <v>29</v>
      </c>
      <c r="AE1193" s="441" t="s">
        <v>29</v>
      </c>
      <c r="AF1193" s="441" t="s">
        <v>29</v>
      </c>
      <c r="AG1193" s="441" t="s">
        <v>29</v>
      </c>
      <c r="AH1193" s="441" t="s">
        <v>29</v>
      </c>
      <c r="AI1193" s="441" t="s">
        <v>29</v>
      </c>
    </row>
    <row r="1194" spans="2:35" ht="11.25" hidden="1" customHeight="1" outlineLevel="1" x14ac:dyDescent="0.35">
      <c r="B1194" s="294" t="s">
        <v>5496</v>
      </c>
      <c r="C1194" s="329"/>
      <c r="D1194" s="305" t="str">
        <f>IF(Y1194="","",Y1194)</f>
        <v>NA</v>
      </c>
      <c r="E1194" s="305" t="str">
        <f>IF(Z1194="","",Z1194)</f>
        <v>NA</v>
      </c>
      <c r="F1194" s="305" t="str">
        <f>IF(AA1194="","",AA1194)</f>
        <v>NA</v>
      </c>
      <c r="G1194" s="305" t="str">
        <f>IF(AB1194="","",AB1194)</f>
        <v>NA</v>
      </c>
      <c r="H1194" s="305" t="str">
        <f>IF(AC1194="","",AC1194)</f>
        <v>NA</v>
      </c>
      <c r="I1194" s="305" t="str">
        <f>IF(AD1194="","",AD1194)</f>
        <v>NA</v>
      </c>
      <c r="J1194" s="305" t="str">
        <f>IF(AE1194="","",AE1194)</f>
        <v>NA</v>
      </c>
      <c r="K1194" s="305" t="str">
        <f>IF(AF1194="","",AF1194)</f>
        <v>NA</v>
      </c>
      <c r="L1194" s="305" t="str">
        <f>IF(AG1194="","",AG1194)</f>
        <v>NA</v>
      </c>
      <c r="M1194" s="305" t="str">
        <f>IF(AH1194="","",AH1194)</f>
        <v>NA</v>
      </c>
      <c r="N1194" s="305" t="str">
        <f>IF(AI1194="","",AI1194)</f>
        <v>NA</v>
      </c>
      <c r="U1194" s="434" t="s">
        <v>5496</v>
      </c>
      <c r="V1194" s="435">
        <v>325031</v>
      </c>
      <c r="W1194" s="429" t="str">
        <f>Period</f>
        <v>2014Y</v>
      </c>
      <c r="X1194" s="436" t="str">
        <f>[1]!SNLLabel(287,325031,,"&lt;&gt;357","Options:Curr=Reported currency,Mag=MIstandard,ConvMethod=MIrecommended")</f>
        <v>AR: Total Accident and Health</v>
      </c>
      <c r="Y1194" s="442" t="s">
        <v>29</v>
      </c>
      <c r="Z1194" s="442" t="s">
        <v>29</v>
      </c>
      <c r="AA1194" s="442" t="s">
        <v>29</v>
      </c>
      <c r="AB1194" s="442" t="s">
        <v>29</v>
      </c>
      <c r="AC1194" s="442" t="s">
        <v>29</v>
      </c>
      <c r="AD1194" s="442" t="s">
        <v>29</v>
      </c>
      <c r="AE1194" s="442" t="s">
        <v>29</v>
      </c>
      <c r="AF1194" s="442" t="s">
        <v>29</v>
      </c>
      <c r="AG1194" s="442" t="s">
        <v>29</v>
      </c>
      <c r="AH1194" s="442" t="s">
        <v>29</v>
      </c>
      <c r="AI1194" s="442" t="s">
        <v>29</v>
      </c>
    </row>
    <row r="1195" spans="2:35" ht="11.25" hidden="1" customHeight="1" outlineLevel="1" x14ac:dyDescent="0.35">
      <c r="B1195" s="294"/>
      <c r="C1195" s="329"/>
      <c r="D1195" s="305"/>
      <c r="E1195" s="305"/>
      <c r="F1195" s="305"/>
      <c r="G1195" s="305"/>
      <c r="H1195" s="305"/>
      <c r="I1195" s="305"/>
      <c r="J1195" s="305"/>
      <c r="K1195" s="305"/>
      <c r="L1195" s="305"/>
      <c r="M1195" s="305"/>
      <c r="N1195" s="305"/>
      <c r="U1195" s="444"/>
      <c r="V1195" s="445"/>
      <c r="W1195" s="445"/>
      <c r="X1195" s="439"/>
      <c r="Y1195" s="444"/>
      <c r="Z1195" s="444"/>
      <c r="AA1195" s="444"/>
      <c r="AB1195" s="444"/>
      <c r="AC1195" s="444"/>
      <c r="AD1195" s="444"/>
      <c r="AE1195" s="444"/>
      <c r="AF1195" s="444"/>
      <c r="AG1195" s="444"/>
      <c r="AH1195" s="444"/>
      <c r="AI1195" s="444"/>
    </row>
    <row r="1196" spans="2:35" ht="11.25" customHeight="1" collapsed="1" x14ac:dyDescent="0.4">
      <c r="B1196" s="332" t="s">
        <v>5497</v>
      </c>
      <c r="C1196" s="329"/>
      <c r="D1196" s="305"/>
      <c r="E1196" s="305"/>
      <c r="F1196" s="305"/>
      <c r="G1196" s="305"/>
      <c r="H1196" s="305"/>
      <c r="I1196" s="305"/>
      <c r="J1196" s="305"/>
      <c r="K1196" s="305"/>
      <c r="L1196" s="305"/>
      <c r="M1196" s="305"/>
      <c r="N1196" s="305"/>
      <c r="U1196" s="443" t="s">
        <v>5497</v>
      </c>
      <c r="V1196" s="432"/>
      <c r="W1196" s="432"/>
      <c r="X1196" s="433"/>
      <c r="Y1196" s="431"/>
      <c r="Z1196" s="431"/>
      <c r="AA1196" s="431"/>
      <c r="AB1196" s="431"/>
      <c r="AC1196" s="431"/>
      <c r="AD1196" s="431"/>
      <c r="AE1196" s="431"/>
      <c r="AF1196" s="431"/>
      <c r="AG1196" s="431"/>
      <c r="AH1196" s="431"/>
      <c r="AI1196" s="431"/>
    </row>
    <row r="1197" spans="2:35" ht="11.25" customHeight="1" x14ac:dyDescent="0.35">
      <c r="B1197" s="294" t="s">
        <v>5398</v>
      </c>
      <c r="C1197" s="329"/>
      <c r="D1197" s="305" t="str">
        <f>IF(Y1197="","",Y1197)</f>
        <v>NA</v>
      </c>
      <c r="E1197" s="305" t="str">
        <f>IF(Z1197="","",Z1197)</f>
        <v>NA</v>
      </c>
      <c r="F1197" s="305" t="str">
        <f>IF(AA1197="","",AA1197)</f>
        <v>NA</v>
      </c>
      <c r="G1197" s="305" t="str">
        <f>IF(AB1197="","",AB1197)</f>
        <v>NA</v>
      </c>
      <c r="H1197" s="305" t="str">
        <f>IF(AC1197="","",AC1197)</f>
        <v>NA</v>
      </c>
      <c r="I1197" s="305" t="str">
        <f>IF(AD1197="","",AD1197)</f>
        <v>NA</v>
      </c>
      <c r="J1197" s="305" t="str">
        <f>IF(AE1197="","",AE1197)</f>
        <v>NA</v>
      </c>
      <c r="K1197" s="305" t="str">
        <f>IF(AF1197="","",AF1197)</f>
        <v>NA</v>
      </c>
      <c r="L1197" s="305" t="str">
        <f>IF(AG1197="","",AG1197)</f>
        <v>NA</v>
      </c>
      <c r="M1197" s="305" t="str">
        <f>IF(AH1197="","",AH1197)</f>
        <v>NA</v>
      </c>
      <c r="N1197" s="305" t="str">
        <f>IF(AI1197="","",AI1197)</f>
        <v>NA</v>
      </c>
      <c r="U1197" s="428" t="s">
        <v>5398</v>
      </c>
      <c r="V1197" s="429">
        <v>325041</v>
      </c>
      <c r="W1197" s="429" t="str">
        <f>Period</f>
        <v>2014Y</v>
      </c>
      <c r="X1197" s="430" t="str">
        <f>[1]!SNLLabel(287,325041,,"&lt;&gt;49","Options:Curr=Reported currency,Mag=MIstandard,ConvMethod=MIrecommended")</f>
        <v>AR: Cmprhsv (Hosp, Med) Ind</v>
      </c>
      <c r="Y1197" s="441" t="s">
        <v>29</v>
      </c>
      <c r="Z1197" s="441" t="s">
        <v>29</v>
      </c>
      <c r="AA1197" s="441" t="s">
        <v>29</v>
      </c>
      <c r="AB1197" s="441" t="s">
        <v>29</v>
      </c>
      <c r="AC1197" s="441" t="s">
        <v>29</v>
      </c>
      <c r="AD1197" s="441" t="s">
        <v>29</v>
      </c>
      <c r="AE1197" s="441" t="s">
        <v>29</v>
      </c>
      <c r="AF1197" s="441" t="s">
        <v>29</v>
      </c>
      <c r="AG1197" s="441" t="s">
        <v>29</v>
      </c>
      <c r="AH1197" s="441" t="s">
        <v>29</v>
      </c>
      <c r="AI1197" s="441" t="s">
        <v>29</v>
      </c>
    </row>
    <row r="1198" spans="2:35" ht="11.25" customHeight="1" x14ac:dyDescent="0.35">
      <c r="B1198" s="294" t="s">
        <v>5399</v>
      </c>
      <c r="C1198" s="329"/>
      <c r="D1198" s="305" t="str">
        <f>IF(Y1198="","",Y1198)</f>
        <v>NA</v>
      </c>
      <c r="E1198" s="305" t="str">
        <f>IF(Z1198="","",Z1198)</f>
        <v>NA</v>
      </c>
      <c r="F1198" s="305" t="str">
        <f>IF(AA1198="","",AA1198)</f>
        <v>NA</v>
      </c>
      <c r="G1198" s="305" t="str">
        <f>IF(AB1198="","",AB1198)</f>
        <v>NA</v>
      </c>
      <c r="H1198" s="305" t="str">
        <f>IF(AC1198="","",AC1198)</f>
        <v>NA</v>
      </c>
      <c r="I1198" s="305" t="str">
        <f>IF(AD1198="","",AD1198)</f>
        <v>NA</v>
      </c>
      <c r="J1198" s="305" t="str">
        <f>IF(AE1198="","",AE1198)</f>
        <v>NA</v>
      </c>
      <c r="K1198" s="305" t="str">
        <f>IF(AF1198="","",AF1198)</f>
        <v>NA</v>
      </c>
      <c r="L1198" s="305" t="str">
        <f>IF(AG1198="","",AG1198)</f>
        <v>NA</v>
      </c>
      <c r="M1198" s="305" t="str">
        <f>IF(AH1198="","",AH1198)</f>
        <v>NA</v>
      </c>
      <c r="N1198" s="305" t="str">
        <f>IF(AI1198="","",AI1198)</f>
        <v>NA</v>
      </c>
      <c r="U1198" s="428" t="s">
        <v>5399</v>
      </c>
      <c r="V1198" s="429">
        <v>325041</v>
      </c>
      <c r="W1198" s="429" t="str">
        <f>Period</f>
        <v>2014Y</v>
      </c>
      <c r="X1198" s="430" t="str">
        <f>[1]!SNLLabel(287,325041,,"&lt;&gt;50","Options:Curr=Reported currency,Mag=MIstandard,ConvMethod=MIrecommended")</f>
        <v>AR: Cmprhsv (Hosp, Med) Grp</v>
      </c>
      <c r="Y1198" s="441" t="s">
        <v>29</v>
      </c>
      <c r="Z1198" s="441" t="s">
        <v>29</v>
      </c>
      <c r="AA1198" s="441" t="s">
        <v>29</v>
      </c>
      <c r="AB1198" s="441" t="s">
        <v>29</v>
      </c>
      <c r="AC1198" s="441" t="s">
        <v>29</v>
      </c>
      <c r="AD1198" s="441" t="s">
        <v>29</v>
      </c>
      <c r="AE1198" s="441" t="s">
        <v>29</v>
      </c>
      <c r="AF1198" s="441" t="s">
        <v>29</v>
      </c>
      <c r="AG1198" s="441" t="s">
        <v>29</v>
      </c>
      <c r="AH1198" s="441" t="s">
        <v>29</v>
      </c>
      <c r="AI1198" s="441" t="s">
        <v>29</v>
      </c>
    </row>
    <row r="1199" spans="2:35" ht="11.25" customHeight="1" x14ac:dyDescent="0.35">
      <c r="B1199" s="294" t="s">
        <v>5400</v>
      </c>
      <c r="C1199" s="329"/>
      <c r="D1199" s="305" t="str">
        <f>IF(Y1199="","",Y1199)</f>
        <v>NA</v>
      </c>
      <c r="E1199" s="305" t="str">
        <f>IF(Z1199="","",Z1199)</f>
        <v>NA</v>
      </c>
      <c r="F1199" s="305" t="str">
        <f>IF(AA1199="","",AA1199)</f>
        <v>NA</v>
      </c>
      <c r="G1199" s="305" t="str">
        <f>IF(AB1199="","",AB1199)</f>
        <v>NA</v>
      </c>
      <c r="H1199" s="305" t="str">
        <f>IF(AC1199="","",AC1199)</f>
        <v>NA</v>
      </c>
      <c r="I1199" s="305" t="str">
        <f>IF(AD1199="","",AD1199)</f>
        <v>NA</v>
      </c>
      <c r="J1199" s="305" t="str">
        <f>IF(AE1199="","",AE1199)</f>
        <v>NA</v>
      </c>
      <c r="K1199" s="305" t="str">
        <f>IF(AF1199="","",AF1199)</f>
        <v>NA</v>
      </c>
      <c r="L1199" s="305" t="str">
        <f>IF(AG1199="","",AG1199)</f>
        <v>NA</v>
      </c>
      <c r="M1199" s="305" t="str">
        <f>IF(AH1199="","",AH1199)</f>
        <v>NA</v>
      </c>
      <c r="N1199" s="305" t="str">
        <f>IF(AI1199="","",AI1199)</f>
        <v>NA</v>
      </c>
      <c r="U1199" s="428" t="s">
        <v>5400</v>
      </c>
      <c r="V1199" s="429">
        <v>325041</v>
      </c>
      <c r="W1199" s="429" t="str">
        <f>Period</f>
        <v>2014Y</v>
      </c>
      <c r="X1199" s="430" t="str">
        <f>[1]!SNLLabel(287,325041,,"&lt;&gt;358","Options:Curr=Reported currency,Mag=MIstandard,ConvMethod=MIrecommended")</f>
        <v>AR: Credit A&amp;H</v>
      </c>
      <c r="Y1199" s="441" t="s">
        <v>29</v>
      </c>
      <c r="Z1199" s="441" t="s">
        <v>29</v>
      </c>
      <c r="AA1199" s="441" t="s">
        <v>29</v>
      </c>
      <c r="AB1199" s="441" t="s">
        <v>29</v>
      </c>
      <c r="AC1199" s="441" t="s">
        <v>29</v>
      </c>
      <c r="AD1199" s="441" t="s">
        <v>29</v>
      </c>
      <c r="AE1199" s="441" t="s">
        <v>29</v>
      </c>
      <c r="AF1199" s="441" t="s">
        <v>29</v>
      </c>
      <c r="AG1199" s="441" t="s">
        <v>29</v>
      </c>
      <c r="AH1199" s="441" t="s">
        <v>29</v>
      </c>
      <c r="AI1199" s="441" t="s">
        <v>29</v>
      </c>
    </row>
    <row r="1200" spans="2:35" ht="11.25" customHeight="1" x14ac:dyDescent="0.35">
      <c r="B1200" s="294" t="s">
        <v>5401</v>
      </c>
      <c r="C1200" s="329"/>
      <c r="D1200" s="305" t="str">
        <f>IF(Y1200="","",Y1200)</f>
        <v>NA</v>
      </c>
      <c r="E1200" s="305" t="str">
        <f>IF(Z1200="","",Z1200)</f>
        <v>NA</v>
      </c>
      <c r="F1200" s="305" t="str">
        <f>IF(AA1200="","",AA1200)</f>
        <v>NA</v>
      </c>
      <c r="G1200" s="305" t="str">
        <f>IF(AB1200="","",AB1200)</f>
        <v>NA</v>
      </c>
      <c r="H1200" s="305" t="str">
        <f>IF(AC1200="","",AC1200)</f>
        <v>NA</v>
      </c>
      <c r="I1200" s="305" t="str">
        <f>IF(AD1200="","",AD1200)</f>
        <v>NA</v>
      </c>
      <c r="J1200" s="305" t="str">
        <f>IF(AE1200="","",AE1200)</f>
        <v>NA</v>
      </c>
      <c r="K1200" s="305" t="str">
        <f>IF(AF1200="","",AF1200)</f>
        <v>NA</v>
      </c>
      <c r="L1200" s="305" t="str">
        <f>IF(AG1200="","",AG1200)</f>
        <v>NA</v>
      </c>
      <c r="M1200" s="305" t="str">
        <f>IF(AH1200="","",AH1200)</f>
        <v>NA</v>
      </c>
      <c r="N1200" s="305" t="str">
        <f>IF(AI1200="","",AI1200)</f>
        <v>NA</v>
      </c>
      <c r="U1200" s="428" t="s">
        <v>5401</v>
      </c>
      <c r="V1200" s="429">
        <v>325041</v>
      </c>
      <c r="W1200" s="429" t="str">
        <f>Period</f>
        <v>2014Y</v>
      </c>
      <c r="X1200" s="430" t="str">
        <f>[1]!SNLLabel(287,325041,,"&lt;&gt;359","Options:Curr=Reported currency,Mag=MIstandard,ConvMethod=MIrecommended")</f>
        <v>AR: Other Health</v>
      </c>
      <c r="Y1200" s="441" t="s">
        <v>29</v>
      </c>
      <c r="Z1200" s="441" t="s">
        <v>29</v>
      </c>
      <c r="AA1200" s="441" t="s">
        <v>29</v>
      </c>
      <c r="AB1200" s="441" t="s">
        <v>29</v>
      </c>
      <c r="AC1200" s="441" t="s">
        <v>29</v>
      </c>
      <c r="AD1200" s="441" t="s">
        <v>29</v>
      </c>
      <c r="AE1200" s="441" t="s">
        <v>29</v>
      </c>
      <c r="AF1200" s="441" t="s">
        <v>29</v>
      </c>
      <c r="AG1200" s="441" t="s">
        <v>29</v>
      </c>
      <c r="AH1200" s="441" t="s">
        <v>29</v>
      </c>
      <c r="AI1200" s="441" t="s">
        <v>29</v>
      </c>
    </row>
    <row r="1201" spans="2:35" ht="11.25" customHeight="1" x14ac:dyDescent="0.35">
      <c r="B1201" s="294" t="s">
        <v>5402</v>
      </c>
      <c r="C1201" s="329"/>
      <c r="D1201" s="305" t="str">
        <f>IF(Y1201="","",Y1201)</f>
        <v>NA</v>
      </c>
      <c r="E1201" s="305" t="str">
        <f>IF(Z1201="","",Z1201)</f>
        <v>NA</v>
      </c>
      <c r="F1201" s="305" t="str">
        <f>IF(AA1201="","",AA1201)</f>
        <v>NA</v>
      </c>
      <c r="G1201" s="305" t="str">
        <f>IF(AB1201="","",AB1201)</f>
        <v>NA</v>
      </c>
      <c r="H1201" s="305" t="str">
        <f>IF(AC1201="","",AC1201)</f>
        <v>NA</v>
      </c>
      <c r="I1201" s="305" t="str">
        <f>IF(AD1201="","",AD1201)</f>
        <v>NA</v>
      </c>
      <c r="J1201" s="305" t="str">
        <f>IF(AE1201="","",AE1201)</f>
        <v>NA</v>
      </c>
      <c r="K1201" s="305" t="str">
        <f>IF(AF1201="","",AF1201)</f>
        <v>NA</v>
      </c>
      <c r="L1201" s="305" t="str">
        <f>IF(AG1201="","",AG1201)</f>
        <v>NA</v>
      </c>
      <c r="M1201" s="305" t="str">
        <f>IF(AH1201="","",AH1201)</f>
        <v>NA</v>
      </c>
      <c r="N1201" s="305" t="str">
        <f>IF(AI1201="","",AI1201)</f>
        <v>NA</v>
      </c>
      <c r="U1201" s="434" t="s">
        <v>5402</v>
      </c>
      <c r="V1201" s="435">
        <v>325041</v>
      </c>
      <c r="W1201" s="435" t="str">
        <f>Period</f>
        <v>2014Y</v>
      </c>
      <c r="X1201" s="436" t="str">
        <f>[1]!SNLLabel(287,325041,,"&lt;&gt;357","Options:Curr=Reported currency,Mag=MIstandard,ConvMethod=MIrecommended")</f>
        <v>AR: Total Accident and Health</v>
      </c>
      <c r="Y1201" s="442" t="s">
        <v>29</v>
      </c>
      <c r="Z1201" s="442" t="s">
        <v>29</v>
      </c>
      <c r="AA1201" s="442" t="s">
        <v>29</v>
      </c>
      <c r="AB1201" s="442" t="s">
        <v>29</v>
      </c>
      <c r="AC1201" s="442" t="s">
        <v>29</v>
      </c>
      <c r="AD1201" s="442" t="s">
        <v>29</v>
      </c>
      <c r="AE1201" s="442" t="s">
        <v>29</v>
      </c>
      <c r="AF1201" s="442" t="s">
        <v>29</v>
      </c>
      <c r="AG1201" s="442" t="s">
        <v>29</v>
      </c>
      <c r="AH1201" s="442" t="s">
        <v>29</v>
      </c>
      <c r="AI1201" s="442" t="s">
        <v>29</v>
      </c>
    </row>
    <row r="1202" spans="2:35" ht="11.25" customHeight="1" x14ac:dyDescent="0.35">
      <c r="B1202" s="294"/>
      <c r="C1202" s="329"/>
      <c r="D1202" s="305"/>
      <c r="E1202" s="305"/>
      <c r="F1202" s="305"/>
      <c r="G1202" s="305"/>
      <c r="H1202" s="305"/>
      <c r="I1202" s="305"/>
      <c r="J1202" s="305"/>
      <c r="K1202" s="305"/>
      <c r="L1202" s="305"/>
      <c r="M1202" s="305"/>
      <c r="N1202" s="305"/>
    </row>
    <row r="1203" spans="2:35" ht="11.25" customHeight="1" x14ac:dyDescent="0.4">
      <c r="B1203" s="332" t="s">
        <v>5498</v>
      </c>
      <c r="C1203" s="329"/>
      <c r="D1203" s="305"/>
      <c r="E1203" s="305"/>
      <c r="F1203" s="305"/>
      <c r="G1203" s="305"/>
      <c r="H1203" s="305"/>
      <c r="I1203" s="305"/>
      <c r="J1203" s="305"/>
      <c r="K1203" s="305"/>
      <c r="L1203" s="305"/>
      <c r="M1203" s="305"/>
      <c r="N1203" s="305"/>
    </row>
    <row r="1204" spans="2:35" ht="11.25" customHeight="1" x14ac:dyDescent="0.35">
      <c r="B1204" s="294" t="s">
        <v>5263</v>
      </c>
      <c r="C1204" s="329">
        <v>123719</v>
      </c>
      <c r="D1204" s="305">
        <v>267690564.30337</v>
      </c>
      <c r="E1204" s="305">
        <v>1781335.0819999999</v>
      </c>
      <c r="F1204" s="305">
        <v>13485.407000000001</v>
      </c>
      <c r="G1204" s="305">
        <v>212353.58900000001</v>
      </c>
      <c r="H1204" s="305">
        <v>0</v>
      </c>
      <c r="I1204" s="305">
        <v>10414.325000000001</v>
      </c>
      <c r="J1204" s="305">
        <v>122743.827</v>
      </c>
      <c r="K1204" s="305">
        <v>708205.80300000007</v>
      </c>
      <c r="L1204" s="305">
        <v>740.91899999999998</v>
      </c>
      <c r="M1204" s="305">
        <v>0</v>
      </c>
      <c r="N1204" s="305">
        <v>0</v>
      </c>
    </row>
    <row r="1205" spans="2:35" ht="11.25" customHeight="1" x14ac:dyDescent="0.35">
      <c r="B1205" s="294" t="s">
        <v>4946</v>
      </c>
      <c r="C1205" s="329"/>
      <c r="D1205" s="305"/>
      <c r="E1205" s="305"/>
      <c r="F1205" s="305"/>
      <c r="G1205" s="305"/>
      <c r="H1205" s="305"/>
      <c r="I1205" s="305"/>
      <c r="J1205" s="305"/>
      <c r="K1205" s="305"/>
      <c r="L1205" s="305"/>
      <c r="M1205" s="305"/>
      <c r="N1205" s="305"/>
    </row>
    <row r="1206" spans="2:35" ht="11.25" customHeight="1" x14ac:dyDescent="0.35">
      <c r="B1206" s="294" t="s">
        <v>5262</v>
      </c>
      <c r="C1206" s="329">
        <v>123720</v>
      </c>
      <c r="D1206" s="305">
        <v>61067790.245999999</v>
      </c>
      <c r="E1206" s="305">
        <v>0</v>
      </c>
      <c r="F1206" s="305">
        <v>0</v>
      </c>
      <c r="G1206" s="305">
        <v>0</v>
      </c>
      <c r="H1206" s="305">
        <v>0</v>
      </c>
      <c r="I1206" s="305">
        <v>0</v>
      </c>
      <c r="J1206" s="305">
        <v>15002.438</v>
      </c>
      <c r="K1206" s="305">
        <v>450080.78899999999</v>
      </c>
      <c r="L1206" s="305">
        <v>0</v>
      </c>
      <c r="M1206" s="305">
        <v>0</v>
      </c>
      <c r="N1206" s="305">
        <v>0</v>
      </c>
    </row>
    <row r="1207" spans="2:35" ht="11.25" customHeight="1" x14ac:dyDescent="0.35">
      <c r="B1207" s="294" t="s">
        <v>5261</v>
      </c>
      <c r="C1207" s="329">
        <v>123721</v>
      </c>
      <c r="D1207" s="305">
        <v>34750064.111000001</v>
      </c>
      <c r="E1207" s="305">
        <v>1781298.922</v>
      </c>
      <c r="F1207" s="305">
        <v>0</v>
      </c>
      <c r="G1207" s="305">
        <v>169068.03200000001</v>
      </c>
      <c r="H1207" s="305">
        <v>0</v>
      </c>
      <c r="I1207" s="305">
        <v>0</v>
      </c>
      <c r="J1207" s="305">
        <v>42435.578999999998</v>
      </c>
      <c r="K1207" s="305">
        <v>10412.496999999999</v>
      </c>
      <c r="L1207" s="305">
        <v>0</v>
      </c>
      <c r="M1207" s="305">
        <v>0</v>
      </c>
      <c r="N1207" s="305">
        <v>0</v>
      </c>
    </row>
    <row r="1208" spans="2:35" ht="11.25" customHeight="1" x14ac:dyDescent="0.35">
      <c r="B1208" s="294" t="s">
        <v>5260</v>
      </c>
      <c r="C1208" s="329">
        <v>123722</v>
      </c>
      <c r="D1208" s="305">
        <v>40381739.824000001</v>
      </c>
      <c r="E1208" s="305">
        <v>0</v>
      </c>
      <c r="F1208" s="305">
        <v>1649.6870000000001</v>
      </c>
      <c r="G1208" s="305">
        <v>0</v>
      </c>
      <c r="H1208" s="305">
        <v>0</v>
      </c>
      <c r="I1208" s="305">
        <v>10400.468000000001</v>
      </c>
      <c r="J1208" s="305">
        <v>65305.810000000005</v>
      </c>
      <c r="K1208" s="305">
        <v>241198.36800000002</v>
      </c>
      <c r="L1208" s="305">
        <v>707.26900000000001</v>
      </c>
      <c r="M1208" s="305">
        <v>0</v>
      </c>
      <c r="N1208" s="305">
        <v>0</v>
      </c>
    </row>
    <row r="1209" spans="2:35" ht="11.25" customHeight="1" x14ac:dyDescent="0.35">
      <c r="B1209" s="294" t="s">
        <v>5259</v>
      </c>
      <c r="C1209" s="329">
        <v>123723</v>
      </c>
      <c r="D1209" s="305">
        <v>21231516.936999999</v>
      </c>
      <c r="E1209" s="305">
        <v>0</v>
      </c>
      <c r="F1209" s="305">
        <v>10381.513000000001</v>
      </c>
      <c r="G1209" s="305">
        <v>206.00200000000001</v>
      </c>
      <c r="H1209" s="305">
        <v>0</v>
      </c>
      <c r="I1209" s="305">
        <v>0</v>
      </c>
      <c r="J1209" s="305">
        <v>0</v>
      </c>
      <c r="K1209" s="305">
        <v>6203.99</v>
      </c>
      <c r="L1209" s="305">
        <v>33.65</v>
      </c>
      <c r="M1209" s="305">
        <v>0</v>
      </c>
      <c r="N1209" s="305">
        <v>0</v>
      </c>
    </row>
    <row r="1210" spans="2:35" ht="11.25" customHeight="1" x14ac:dyDescent="0.35">
      <c r="B1210" s="294" t="s">
        <v>4977</v>
      </c>
      <c r="C1210" s="329">
        <v>123724</v>
      </c>
      <c r="D1210" s="305">
        <v>110259453.176</v>
      </c>
      <c r="E1210" s="305">
        <v>36.160000000000004</v>
      </c>
      <c r="F1210" s="305">
        <v>1454.2070000000001</v>
      </c>
      <c r="G1210" s="305">
        <v>43079.555</v>
      </c>
      <c r="H1210" s="305">
        <v>0</v>
      </c>
      <c r="I1210" s="305">
        <v>13.857000000000001</v>
      </c>
      <c r="J1210" s="305">
        <v>0</v>
      </c>
      <c r="K1210" s="305">
        <v>310.15800000000002</v>
      </c>
      <c r="L1210" s="305">
        <v>0</v>
      </c>
      <c r="M1210" s="305">
        <v>0</v>
      </c>
      <c r="N1210" s="305">
        <v>0</v>
      </c>
    </row>
    <row r="1211" spans="2:35" ht="11.25" customHeight="1" x14ac:dyDescent="0.35">
      <c r="B1211" s="294"/>
      <c r="C1211" s="329"/>
      <c r="D1211" s="305"/>
      <c r="E1211" s="305"/>
      <c r="F1211" s="305"/>
      <c r="G1211" s="305"/>
      <c r="H1211" s="305"/>
      <c r="I1211" s="305"/>
      <c r="J1211" s="305"/>
      <c r="K1211" s="305"/>
      <c r="L1211" s="305"/>
      <c r="M1211" s="305"/>
      <c r="N1211" s="305"/>
    </row>
    <row r="1212" spans="2:35" ht="11.25" customHeight="1" x14ac:dyDescent="0.4">
      <c r="B1212" s="332" t="s">
        <v>5397</v>
      </c>
      <c r="C1212" s="329"/>
      <c r="D1212" s="305"/>
      <c r="E1212" s="305"/>
      <c r="F1212" s="305"/>
      <c r="G1212" s="305"/>
      <c r="H1212" s="305"/>
      <c r="I1212" s="305"/>
      <c r="J1212" s="305"/>
      <c r="K1212" s="305"/>
      <c r="L1212" s="305"/>
      <c r="M1212" s="305"/>
      <c r="N1212" s="305"/>
    </row>
    <row r="1213" spans="2:35" ht="11.25" customHeight="1" x14ac:dyDescent="0.4">
      <c r="B1213" s="332" t="s">
        <v>5499</v>
      </c>
      <c r="C1213" s="329"/>
      <c r="D1213" s="305"/>
      <c r="E1213" s="305"/>
      <c r="F1213" s="305"/>
      <c r="G1213" s="305"/>
      <c r="H1213" s="305"/>
      <c r="I1213" s="305"/>
      <c r="J1213" s="305"/>
      <c r="K1213" s="305"/>
      <c r="L1213" s="305"/>
      <c r="M1213" s="305"/>
      <c r="N1213" s="305"/>
    </row>
    <row r="1214" spans="2:35" ht="11.25" customHeight="1" x14ac:dyDescent="0.35">
      <c r="B1214" s="294" t="s">
        <v>5274</v>
      </c>
      <c r="C1214" s="329">
        <v>123694</v>
      </c>
      <c r="D1214" s="305">
        <v>6671277.3650000002</v>
      </c>
      <c r="E1214" s="305">
        <v>79827.123999999996</v>
      </c>
      <c r="F1214" s="305">
        <v>153.30600000000001</v>
      </c>
      <c r="G1214" s="305">
        <v>444205.20199999999</v>
      </c>
      <c r="H1214" s="305">
        <v>188746.535</v>
      </c>
      <c r="I1214" s="305">
        <v>46793.493999999999</v>
      </c>
      <c r="J1214" s="305">
        <v>71605.843000000008</v>
      </c>
      <c r="K1214" s="305">
        <v>82984.271999999997</v>
      </c>
      <c r="L1214" s="305">
        <v>12237.919</v>
      </c>
      <c r="M1214" s="305">
        <v>80068.009000000005</v>
      </c>
      <c r="N1214" s="305">
        <v>29890.279000000002</v>
      </c>
    </row>
    <row r="1215" spans="2:35" ht="11.25" customHeight="1" x14ac:dyDescent="0.35">
      <c r="B1215" s="294" t="s">
        <v>4946</v>
      </c>
      <c r="C1215" s="329"/>
      <c r="D1215" s="305"/>
      <c r="E1215" s="305"/>
      <c r="F1215" s="305"/>
      <c r="G1215" s="305"/>
      <c r="H1215" s="305"/>
      <c r="I1215" s="305"/>
      <c r="J1215" s="305"/>
      <c r="K1215" s="305"/>
      <c r="L1215" s="305"/>
      <c r="M1215" s="305"/>
      <c r="N1215" s="305"/>
    </row>
    <row r="1216" spans="2:35" ht="11.25" customHeight="1" x14ac:dyDescent="0.35">
      <c r="B1216" s="294" t="s">
        <v>5271</v>
      </c>
      <c r="C1216" s="329">
        <v>123695</v>
      </c>
      <c r="D1216" s="305">
        <v>1272332.872</v>
      </c>
      <c r="E1216" s="305">
        <v>3410.23</v>
      </c>
      <c r="F1216" s="305">
        <v>0</v>
      </c>
      <c r="G1216" s="305">
        <v>341.411</v>
      </c>
      <c r="H1216" s="305">
        <v>41749.199000000001</v>
      </c>
      <c r="I1216" s="305">
        <v>68.42</v>
      </c>
      <c r="J1216" s="305">
        <v>1901.8510000000001</v>
      </c>
      <c r="K1216" s="305">
        <v>26730.768</v>
      </c>
      <c r="L1216" s="305">
        <v>15.184000000000001</v>
      </c>
      <c r="M1216" s="305">
        <v>0</v>
      </c>
      <c r="N1216" s="305">
        <v>1906.6110000000001</v>
      </c>
    </row>
    <row r="1217" spans="2:14" ht="11.25" customHeight="1" x14ac:dyDescent="0.35">
      <c r="B1217" s="294" t="s">
        <v>5270</v>
      </c>
      <c r="C1217" s="329">
        <v>123696</v>
      </c>
      <c r="D1217" s="305">
        <v>783811.53</v>
      </c>
      <c r="E1217" s="305">
        <v>0.76400000000000001</v>
      </c>
      <c r="F1217" s="305">
        <v>0</v>
      </c>
      <c r="G1217" s="305">
        <v>0</v>
      </c>
      <c r="H1217" s="305">
        <v>0</v>
      </c>
      <c r="I1217" s="305">
        <v>0</v>
      </c>
      <c r="J1217" s="305">
        <v>0</v>
      </c>
      <c r="K1217" s="305">
        <v>0</v>
      </c>
      <c r="L1217" s="305">
        <v>0</v>
      </c>
      <c r="M1217" s="305">
        <v>0</v>
      </c>
      <c r="N1217" s="305">
        <v>0</v>
      </c>
    </row>
    <row r="1218" spans="2:14" ht="11.25" customHeight="1" x14ac:dyDescent="0.35">
      <c r="B1218" s="294" t="s">
        <v>5269</v>
      </c>
      <c r="C1218" s="329">
        <v>123697</v>
      </c>
      <c r="D1218" s="305">
        <v>5276.9710000000005</v>
      </c>
      <c r="E1218" s="305">
        <v>235.52799999999999</v>
      </c>
      <c r="F1218" s="305">
        <v>0</v>
      </c>
      <c r="G1218" s="305">
        <v>0</v>
      </c>
      <c r="H1218" s="305">
        <v>222.32</v>
      </c>
      <c r="I1218" s="305">
        <v>5.3870000000000005</v>
      </c>
      <c r="J1218" s="305">
        <v>0</v>
      </c>
      <c r="K1218" s="305">
        <v>159.43800000000002</v>
      </c>
      <c r="L1218" s="305">
        <v>37.736000000000004</v>
      </c>
      <c r="M1218" s="305">
        <v>0.23300000000000001</v>
      </c>
      <c r="N1218" s="305">
        <v>0</v>
      </c>
    </row>
    <row r="1219" spans="2:14" ht="11.25" customHeight="1" x14ac:dyDescent="0.4">
      <c r="B1219" s="332" t="s">
        <v>5268</v>
      </c>
      <c r="C1219" s="329"/>
      <c r="D1219" s="305"/>
      <c r="E1219" s="305"/>
      <c r="F1219" s="305"/>
      <c r="G1219" s="305"/>
      <c r="H1219" s="305"/>
      <c r="I1219" s="305"/>
      <c r="J1219" s="305"/>
      <c r="K1219" s="305"/>
      <c r="L1219" s="305"/>
      <c r="M1219" s="305"/>
      <c r="N1219" s="305"/>
    </row>
    <row r="1220" spans="2:14" ht="11.25" customHeight="1" x14ac:dyDescent="0.35">
      <c r="B1220" s="294" t="s">
        <v>5267</v>
      </c>
      <c r="C1220" s="329">
        <v>123698</v>
      </c>
      <c r="D1220" s="305">
        <v>677819.71299999999</v>
      </c>
      <c r="E1220" s="305">
        <v>42.463999999999999</v>
      </c>
      <c r="F1220" s="305">
        <v>0</v>
      </c>
      <c r="G1220" s="305">
        <v>0</v>
      </c>
      <c r="H1220" s="305">
        <v>94.066000000000003</v>
      </c>
      <c r="I1220" s="305">
        <v>29578.327000000001</v>
      </c>
      <c r="J1220" s="305">
        <v>4.6760000000000002</v>
      </c>
      <c r="K1220" s="305">
        <v>8307.7180000000008</v>
      </c>
      <c r="L1220" s="305">
        <v>0</v>
      </c>
      <c r="M1220" s="305">
        <v>59961.148000000001</v>
      </c>
      <c r="N1220" s="305">
        <v>231.22200000000001</v>
      </c>
    </row>
    <row r="1221" spans="2:14" ht="11.25" customHeight="1" x14ac:dyDescent="0.35">
      <c r="B1221" s="294" t="s">
        <v>5266</v>
      </c>
      <c r="C1221" s="329">
        <v>123699</v>
      </c>
      <c r="D1221" s="305">
        <v>3713766.5060000001</v>
      </c>
      <c r="E1221" s="305">
        <v>75961.167000000001</v>
      </c>
      <c r="F1221" s="305">
        <v>0</v>
      </c>
      <c r="G1221" s="305">
        <v>443863.79100000003</v>
      </c>
      <c r="H1221" s="305">
        <v>143641.42600000001</v>
      </c>
      <c r="I1221" s="305">
        <v>11250.159</v>
      </c>
      <c r="J1221" s="305">
        <v>69699.316000000006</v>
      </c>
      <c r="K1221" s="305">
        <v>47313.300999999999</v>
      </c>
      <c r="L1221" s="305">
        <v>12056.538</v>
      </c>
      <c r="M1221" s="305">
        <v>16331.59</v>
      </c>
      <c r="N1221" s="305">
        <v>27744.044000000002</v>
      </c>
    </row>
    <row r="1222" spans="2:14" ht="11.25" customHeight="1" x14ac:dyDescent="0.35">
      <c r="B1222" s="294" t="s">
        <v>5265</v>
      </c>
      <c r="C1222" s="329">
        <v>123700</v>
      </c>
      <c r="D1222" s="305">
        <v>45279.692999999999</v>
      </c>
      <c r="E1222" s="305">
        <v>2.302</v>
      </c>
      <c r="F1222" s="305">
        <v>0</v>
      </c>
      <c r="G1222" s="305">
        <v>0</v>
      </c>
      <c r="H1222" s="305">
        <v>384.94100000000003</v>
      </c>
      <c r="I1222" s="305">
        <v>12.55</v>
      </c>
      <c r="J1222" s="305">
        <v>0</v>
      </c>
      <c r="K1222" s="305">
        <v>18.233000000000001</v>
      </c>
      <c r="L1222" s="305">
        <v>128.46100000000001</v>
      </c>
      <c r="M1222" s="305">
        <v>3775.038</v>
      </c>
      <c r="N1222" s="305">
        <v>0</v>
      </c>
    </row>
    <row r="1223" spans="2:14" ht="11.25" customHeight="1" x14ac:dyDescent="0.35">
      <c r="B1223" s="294" t="s">
        <v>5264</v>
      </c>
      <c r="C1223" s="329">
        <v>123701</v>
      </c>
      <c r="D1223" s="305">
        <v>95263.187000000005</v>
      </c>
      <c r="E1223" s="305">
        <v>34.54</v>
      </c>
      <c r="F1223" s="305">
        <v>0</v>
      </c>
      <c r="G1223" s="305">
        <v>0</v>
      </c>
      <c r="H1223" s="305">
        <v>2626.4270000000001</v>
      </c>
      <c r="I1223" s="305">
        <v>5878.4210000000003</v>
      </c>
      <c r="J1223" s="305">
        <v>0</v>
      </c>
      <c r="K1223" s="305">
        <v>36.826000000000001</v>
      </c>
      <c r="L1223" s="305">
        <v>0</v>
      </c>
      <c r="M1223" s="305">
        <v>0</v>
      </c>
      <c r="N1223" s="305">
        <v>0</v>
      </c>
    </row>
    <row r="1224" spans="2:14" ht="11.25" customHeight="1" x14ac:dyDescent="0.35">
      <c r="B1224" s="294" t="s">
        <v>4946</v>
      </c>
      <c r="C1224" s="329"/>
      <c r="D1224" s="305"/>
      <c r="E1224" s="305"/>
      <c r="F1224" s="305"/>
      <c r="G1224" s="305"/>
      <c r="H1224" s="305"/>
      <c r="I1224" s="305"/>
      <c r="J1224" s="305"/>
      <c r="K1224" s="305"/>
      <c r="L1224" s="305"/>
      <c r="M1224" s="305"/>
      <c r="N1224" s="305"/>
    </row>
    <row r="1225" spans="2:14" ht="11.25" customHeight="1" x14ac:dyDescent="0.4">
      <c r="B1225" s="332" t="s">
        <v>5500</v>
      </c>
      <c r="C1225" s="329"/>
      <c r="D1225" s="305"/>
      <c r="E1225" s="305"/>
      <c r="F1225" s="305"/>
      <c r="G1225" s="305"/>
      <c r="H1225" s="305"/>
      <c r="I1225" s="305"/>
      <c r="J1225" s="305"/>
      <c r="K1225" s="305"/>
      <c r="L1225" s="305"/>
      <c r="M1225" s="305"/>
      <c r="N1225" s="305"/>
    </row>
    <row r="1226" spans="2:14" ht="11.25" customHeight="1" x14ac:dyDescent="0.35">
      <c r="B1226" s="294" t="s">
        <v>5273</v>
      </c>
      <c r="C1226" s="329">
        <v>123703</v>
      </c>
      <c r="D1226" s="305">
        <v>187281567.13100001</v>
      </c>
      <c r="E1226" s="305">
        <v>4346204.1260000002</v>
      </c>
      <c r="F1226" s="305">
        <v>1475.0820000000001</v>
      </c>
      <c r="G1226" s="305">
        <v>48003709.027000003</v>
      </c>
      <c r="H1226" s="305">
        <v>1708922.149</v>
      </c>
      <c r="I1226" s="305">
        <v>1226016.622</v>
      </c>
      <c r="J1226" s="305">
        <v>3003362.8280000002</v>
      </c>
      <c r="K1226" s="305">
        <v>2423760.0750000002</v>
      </c>
      <c r="L1226" s="305">
        <v>295085.092</v>
      </c>
      <c r="M1226" s="305">
        <v>800376.65500000003</v>
      </c>
      <c r="N1226" s="305">
        <v>762956.98600000003</v>
      </c>
    </row>
    <row r="1227" spans="2:14" ht="11.25" customHeight="1" x14ac:dyDescent="0.35">
      <c r="B1227" s="294" t="s">
        <v>4946</v>
      </c>
      <c r="C1227" s="329"/>
      <c r="D1227" s="305"/>
      <c r="E1227" s="305"/>
      <c r="F1227" s="305"/>
      <c r="G1227" s="305"/>
      <c r="H1227" s="305"/>
      <c r="I1227" s="305"/>
      <c r="J1227" s="305"/>
      <c r="K1227" s="305"/>
      <c r="L1227" s="305"/>
      <c r="M1227" s="305"/>
      <c r="N1227" s="305"/>
    </row>
    <row r="1228" spans="2:14" ht="11.25" customHeight="1" x14ac:dyDescent="0.35">
      <c r="B1228" s="294" t="s">
        <v>5271</v>
      </c>
      <c r="C1228" s="329">
        <v>123704</v>
      </c>
      <c r="D1228" s="305">
        <v>20884444.938000001</v>
      </c>
      <c r="E1228" s="305">
        <v>37761.67</v>
      </c>
      <c r="F1228" s="305">
        <v>0</v>
      </c>
      <c r="G1228" s="305">
        <v>25454.377</v>
      </c>
      <c r="H1228" s="305">
        <v>280785.94</v>
      </c>
      <c r="I1228" s="305">
        <v>53718.658000000003</v>
      </c>
      <c r="J1228" s="305">
        <v>68477.320000000007</v>
      </c>
      <c r="K1228" s="305">
        <v>703945.83299999998</v>
      </c>
      <c r="L1228" s="305">
        <v>5.8979999999999997</v>
      </c>
      <c r="M1228" s="305">
        <v>0</v>
      </c>
      <c r="N1228" s="305">
        <v>8791.7939999999999</v>
      </c>
    </row>
    <row r="1229" spans="2:14" ht="11.25" customHeight="1" x14ac:dyDescent="0.35">
      <c r="B1229" s="294" t="s">
        <v>5270</v>
      </c>
      <c r="C1229" s="329">
        <v>123705</v>
      </c>
      <c r="D1229" s="305">
        <v>12316.25</v>
      </c>
      <c r="E1229" s="305">
        <v>0</v>
      </c>
      <c r="F1229" s="305">
        <v>0</v>
      </c>
      <c r="G1229" s="305">
        <v>0</v>
      </c>
      <c r="H1229" s="305">
        <v>0</v>
      </c>
      <c r="I1229" s="305">
        <v>0</v>
      </c>
      <c r="J1229" s="305">
        <v>0</v>
      </c>
      <c r="K1229" s="305">
        <v>0</v>
      </c>
      <c r="L1229" s="305">
        <v>0</v>
      </c>
      <c r="M1229" s="305">
        <v>0</v>
      </c>
      <c r="N1229" s="305">
        <v>0</v>
      </c>
    </row>
    <row r="1230" spans="2:14" ht="11.25" customHeight="1" x14ac:dyDescent="0.35">
      <c r="B1230" s="294" t="s">
        <v>5269</v>
      </c>
      <c r="C1230" s="329">
        <v>123706</v>
      </c>
      <c r="D1230" s="305">
        <v>8200.514000000001</v>
      </c>
      <c r="E1230" s="305">
        <v>562.16399999999999</v>
      </c>
      <c r="F1230" s="305">
        <v>0</v>
      </c>
      <c r="G1230" s="305">
        <v>0</v>
      </c>
      <c r="H1230" s="305">
        <v>733.48900000000003</v>
      </c>
      <c r="I1230" s="305">
        <v>0</v>
      </c>
      <c r="J1230" s="305">
        <v>0</v>
      </c>
      <c r="K1230" s="305">
        <v>161.38499999999999</v>
      </c>
      <c r="L1230" s="305">
        <v>0</v>
      </c>
      <c r="M1230" s="305">
        <v>2.4460000000000002</v>
      </c>
      <c r="N1230" s="305">
        <v>0</v>
      </c>
    </row>
    <row r="1231" spans="2:14" ht="11.25" customHeight="1" x14ac:dyDescent="0.4">
      <c r="B1231" s="332" t="s">
        <v>5268</v>
      </c>
      <c r="C1231" s="329"/>
      <c r="D1231" s="305"/>
      <c r="E1231" s="305"/>
      <c r="F1231" s="305"/>
      <c r="G1231" s="305"/>
      <c r="H1231" s="305"/>
      <c r="I1231" s="305"/>
      <c r="J1231" s="305"/>
      <c r="K1231" s="305"/>
      <c r="L1231" s="305"/>
      <c r="M1231" s="305"/>
      <c r="N1231" s="305"/>
    </row>
    <row r="1232" spans="2:14" ht="11.25" customHeight="1" x14ac:dyDescent="0.35">
      <c r="B1232" s="294" t="s">
        <v>5267</v>
      </c>
      <c r="C1232" s="329">
        <v>123707</v>
      </c>
      <c r="D1232" s="305">
        <v>7619704.9040000001</v>
      </c>
      <c r="E1232" s="305">
        <v>118.504</v>
      </c>
      <c r="F1232" s="305">
        <v>0</v>
      </c>
      <c r="G1232" s="305">
        <v>0</v>
      </c>
      <c r="H1232" s="305">
        <v>15155.438</v>
      </c>
      <c r="I1232" s="305">
        <v>628785.03500000003</v>
      </c>
      <c r="J1232" s="305">
        <v>37.094000000000001</v>
      </c>
      <c r="K1232" s="305">
        <v>236260.617</v>
      </c>
      <c r="L1232" s="305">
        <v>0</v>
      </c>
      <c r="M1232" s="305">
        <v>479132.56200000003</v>
      </c>
      <c r="N1232" s="305">
        <v>5075.1279999999997</v>
      </c>
    </row>
    <row r="1233" spans="2:33" ht="11.25" customHeight="1" x14ac:dyDescent="0.35">
      <c r="B1233" s="294" t="s">
        <v>5266</v>
      </c>
      <c r="C1233" s="329">
        <v>123708</v>
      </c>
      <c r="D1233" s="305">
        <v>157999890.88100001</v>
      </c>
      <c r="E1233" s="305">
        <v>4307568.8710000003</v>
      </c>
      <c r="F1233" s="305">
        <v>0</v>
      </c>
      <c r="G1233" s="305">
        <v>47978254.649999999</v>
      </c>
      <c r="H1233" s="305">
        <v>1390523.1910000001</v>
      </c>
      <c r="I1233" s="305">
        <v>539833.174</v>
      </c>
      <c r="J1233" s="305">
        <v>2934848.4139999999</v>
      </c>
      <c r="K1233" s="305">
        <v>1480347.344</v>
      </c>
      <c r="L1233" s="305">
        <v>295079.19400000002</v>
      </c>
      <c r="M1233" s="305">
        <v>309298.71100000001</v>
      </c>
      <c r="N1233" s="305">
        <v>749039.21700000006</v>
      </c>
    </row>
    <row r="1234" spans="2:33" ht="11.25" customHeight="1" thickBot="1" x14ac:dyDescent="0.4">
      <c r="B1234" s="294" t="s">
        <v>5265</v>
      </c>
      <c r="C1234" s="329">
        <v>123709</v>
      </c>
      <c r="D1234" s="305">
        <v>170318.21900000001</v>
      </c>
      <c r="E1234" s="305">
        <v>55.307000000000002</v>
      </c>
      <c r="F1234" s="305">
        <v>0</v>
      </c>
      <c r="G1234" s="305">
        <v>0</v>
      </c>
      <c r="H1234" s="305">
        <v>1167.4950000000001</v>
      </c>
      <c r="I1234" s="305">
        <v>3672.7429999999999</v>
      </c>
      <c r="J1234" s="305">
        <v>0</v>
      </c>
      <c r="K1234" s="305">
        <v>407.49400000000003</v>
      </c>
      <c r="L1234" s="305">
        <v>0</v>
      </c>
      <c r="M1234" s="305">
        <v>11942.934999999999</v>
      </c>
      <c r="N1234" s="305">
        <v>0</v>
      </c>
    </row>
    <row r="1235" spans="2:33" ht="11.25" customHeight="1" x14ac:dyDescent="0.35">
      <c r="B1235" s="294" t="s">
        <v>5264</v>
      </c>
      <c r="C1235" s="329">
        <v>123710</v>
      </c>
      <c r="D1235" s="305">
        <v>454464.41600000003</v>
      </c>
      <c r="E1235" s="305">
        <v>1.5649999999999999</v>
      </c>
      <c r="F1235" s="305">
        <v>0</v>
      </c>
      <c r="G1235" s="305">
        <v>0</v>
      </c>
      <c r="H1235" s="305">
        <v>20433.313000000002</v>
      </c>
      <c r="I1235" s="305">
        <v>7.0120000000000005</v>
      </c>
      <c r="J1235" s="305">
        <v>0</v>
      </c>
      <c r="K1235" s="305">
        <v>39.36</v>
      </c>
      <c r="L1235" s="305">
        <v>0</v>
      </c>
      <c r="M1235" s="305">
        <v>0</v>
      </c>
      <c r="N1235" s="305">
        <v>0</v>
      </c>
      <c r="U1235" s="355" t="str">
        <f ca="1">[1]!snltable(287,$W$1235:$AG$1235,$V$1238,$W$1236:$AG$1236,,"Options:Curr=USD, Mag=Thousands, ConvMethod=SNLrecommended")</f>
        <v>SNLTable</v>
      </c>
      <c r="V1235" s="353"/>
      <c r="W1235" s="354" t="str">
        <f t="shared" ref="W1235" ca="1" si="22">Entity_Code</f>
        <v>I36</v>
      </c>
      <c r="X1235" s="298" t="str">
        <f ca="1">IF(Entity_C1="","",Entity_C1)</f>
        <v>C2874</v>
      </c>
      <c r="Y1235" s="298" t="str">
        <f ca="1">IF(Entity_C2="","",Entity_C2)</f>
        <v>C5004</v>
      </c>
      <c r="Z1235" s="298" t="str">
        <f ca="1">IF(Entity_C3="","",Entity_C3)</f>
        <v>C2093</v>
      </c>
      <c r="AA1235" s="298" t="str">
        <f ca="1">IF(Entity_C4="","",Entity_C4)</f>
        <v>C2623</v>
      </c>
      <c r="AB1235" s="298" t="str">
        <f ca="1">IF(Entity_C5="","",Entity_C5)</f>
        <v>C3048</v>
      </c>
      <c r="AC1235" s="298" t="str">
        <f ca="1">IF(Entity_C6="","",Entity_C6)</f>
        <v>C2409</v>
      </c>
      <c r="AD1235" s="298" t="str">
        <f ca="1">IF(Entity_C7="","",Entity_C7)</f>
        <v>C2921</v>
      </c>
      <c r="AE1235" s="298" t="str">
        <f ca="1">IF(Entity_C8="","",Entity_C8)</f>
        <v>C2284</v>
      </c>
      <c r="AF1235" s="298" t="str">
        <f ca="1">IF(Entity_C9="","",Entity_C9)</f>
        <v>C3613</v>
      </c>
      <c r="AG1235" s="298" t="str">
        <f ca="1">IF(Entity_C10="","",Entity_C10)</f>
        <v>C2253</v>
      </c>
    </row>
    <row r="1236" spans="2:33" ht="11.25" customHeight="1" x14ac:dyDescent="0.35">
      <c r="B1236" s="294" t="s">
        <v>4946</v>
      </c>
      <c r="C1236" s="329"/>
      <c r="D1236" s="305"/>
      <c r="E1236" s="305"/>
      <c r="F1236" s="305"/>
      <c r="G1236" s="305"/>
      <c r="H1236" s="305"/>
      <c r="I1236" s="305"/>
      <c r="J1236" s="305"/>
      <c r="K1236" s="305"/>
      <c r="L1236" s="305"/>
      <c r="M1236" s="305"/>
      <c r="N1236" s="305"/>
      <c r="U1236" s="244"/>
      <c r="V1236" s="245"/>
      <c r="W1236" s="335" t="str">
        <f t="shared" ref="W1236:AG1236" si="23">D$6</f>
        <v>2014Y</v>
      </c>
      <c r="X1236" s="335" t="str">
        <f t="shared" si="23"/>
        <v>2014Y</v>
      </c>
      <c r="Y1236" s="335" t="str">
        <f t="shared" si="23"/>
        <v>2014Y</v>
      </c>
      <c r="Z1236" s="335" t="str">
        <f t="shared" si="23"/>
        <v>2014Y</v>
      </c>
      <c r="AA1236" s="335" t="str">
        <f t="shared" si="23"/>
        <v>2014Y</v>
      </c>
      <c r="AB1236" s="335" t="str">
        <f t="shared" si="23"/>
        <v>2014Y</v>
      </c>
      <c r="AC1236" s="335" t="str">
        <f t="shared" si="23"/>
        <v>2014Y</v>
      </c>
      <c r="AD1236" s="335" t="str">
        <f t="shared" si="23"/>
        <v>2014Y</v>
      </c>
      <c r="AE1236" s="335" t="str">
        <f t="shared" si="23"/>
        <v>2014Y</v>
      </c>
      <c r="AF1236" s="335" t="str">
        <f t="shared" si="23"/>
        <v>2014Y</v>
      </c>
      <c r="AG1236" s="335" t="str">
        <f t="shared" si="23"/>
        <v>2014Y</v>
      </c>
    </row>
    <row r="1237" spans="2:33" ht="11.25" customHeight="1" x14ac:dyDescent="0.4">
      <c r="B1237" s="332" t="s">
        <v>5497</v>
      </c>
      <c r="C1237" s="329"/>
      <c r="D1237" s="305"/>
      <c r="E1237" s="305"/>
      <c r="F1237" s="305"/>
      <c r="G1237" s="305"/>
      <c r="H1237" s="305"/>
      <c r="I1237" s="305"/>
      <c r="J1237" s="305"/>
      <c r="K1237" s="305"/>
      <c r="L1237" s="305"/>
      <c r="M1237" s="305"/>
      <c r="N1237" s="305"/>
      <c r="U1237" s="313"/>
      <c r="V1237" s="312"/>
      <c r="W1237" s="317" t="str">
        <f>[1]!SNLLabel(287,116480,,"&lt;&gt;134")</f>
        <v>AR: Acc &amp; Health</v>
      </c>
      <c r="X1237" s="317" t="str">
        <f>[1]!SNLLabel(287,116480,,"&lt;&gt;134")</f>
        <v>AR: Acc &amp; Health</v>
      </c>
      <c r="Y1237" s="317" t="str">
        <f>[1]!SNLLabel(287,116480,,"&lt;&gt;134")</f>
        <v>AR: Acc &amp; Health</v>
      </c>
      <c r="Z1237" s="317" t="str">
        <f>[1]!SNLLabel(287,116480,,"&lt;&gt;134")</f>
        <v>AR: Acc &amp; Health</v>
      </c>
      <c r="AA1237" s="317" t="str">
        <f>[1]!SNLLabel(287,116480,,"&lt;&gt;134")</f>
        <v>AR: Acc &amp; Health</v>
      </c>
      <c r="AB1237" s="317" t="str">
        <f>[1]!SNLLabel(287,116480,,"&lt;&gt;134")</f>
        <v>AR: Acc &amp; Health</v>
      </c>
      <c r="AC1237" s="317" t="str">
        <f>[1]!SNLLabel(287,116480,,"&lt;&gt;134")</f>
        <v>AR: Acc &amp; Health</v>
      </c>
      <c r="AD1237" s="317" t="str">
        <f>[1]!SNLLabel(287,116480,,"&lt;&gt;134")</f>
        <v>AR: Acc &amp; Health</v>
      </c>
      <c r="AE1237" s="317" t="str">
        <f>[1]!SNLLabel(287,116480,,"&lt;&gt;134")</f>
        <v>AR: Acc &amp; Health</v>
      </c>
      <c r="AF1237" s="317" t="str">
        <f>[1]!SNLLabel(287,116480,,"&lt;&gt;134")</f>
        <v>AR: Acc &amp; Health</v>
      </c>
      <c r="AG1237" s="317" t="str">
        <f>[1]!SNLLabel(287,116480,,"&lt;&gt;134")</f>
        <v>AR: Acc &amp; Health</v>
      </c>
    </row>
    <row r="1238" spans="2:33" ht="11.25" customHeight="1" thickBot="1" x14ac:dyDescent="0.4">
      <c r="B1238" s="294" t="s">
        <v>5272</v>
      </c>
      <c r="C1238" s="329"/>
      <c r="D1238" s="305">
        <f>IF(W1238="","",W1238)</f>
        <v>82511791.142000005</v>
      </c>
      <c r="E1238" s="305">
        <f>IF(X1238="","",X1238)</f>
        <v>1273025.777</v>
      </c>
      <c r="F1238" s="305">
        <f>IF(Y1238="","",Y1238)</f>
        <v>557.05700000000002</v>
      </c>
      <c r="G1238" s="305">
        <f>IF(Z1238="","",Z1238)</f>
        <v>214825.12299999999</v>
      </c>
      <c r="H1238" s="305">
        <f>IF(AA1238="","",AA1238)</f>
        <v>532587.04</v>
      </c>
      <c r="I1238" s="305">
        <f>IF(AB1238="","",AB1238)</f>
        <v>3786460.7009999999</v>
      </c>
      <c r="J1238" s="305">
        <f>IF(AC1238="","",AC1238)</f>
        <v>318558.58299999998</v>
      </c>
      <c r="K1238" s="305">
        <f>IF(AD1238="","",AD1238)</f>
        <v>9385.3770000000004</v>
      </c>
      <c r="L1238" s="305">
        <f>IF(AE1238="","",AE1238)</f>
        <v>34712.466</v>
      </c>
      <c r="M1238" s="305">
        <f>IF(AF1238="","",AF1238)</f>
        <v>467719.80499999999</v>
      </c>
      <c r="N1238" s="305">
        <f>IF(AG1238="","",AG1238)</f>
        <v>220132.50599999999</v>
      </c>
      <c r="U1238" s="295" t="s">
        <v>5272</v>
      </c>
      <c r="V1238" s="330">
        <v>116480</v>
      </c>
      <c r="W1238" s="325">
        <v>82511791.142000005</v>
      </c>
      <c r="X1238" s="325">
        <v>1273025.777</v>
      </c>
      <c r="Y1238" s="325">
        <v>557.05700000000002</v>
      </c>
      <c r="Z1238" s="325">
        <v>214825.12299999999</v>
      </c>
      <c r="AA1238" s="325">
        <v>532587.04</v>
      </c>
      <c r="AB1238" s="325">
        <v>3786460.7009999999</v>
      </c>
      <c r="AC1238" s="325">
        <v>318558.58299999998</v>
      </c>
      <c r="AD1238" s="325">
        <v>9385.3770000000004</v>
      </c>
      <c r="AE1238" s="325">
        <v>34712.466</v>
      </c>
      <c r="AF1238" s="325">
        <v>467719.80499999999</v>
      </c>
      <c r="AG1238" s="325">
        <v>220132.50599999999</v>
      </c>
    </row>
    <row r="1239" spans="2:33" ht="11.25" customHeight="1" x14ac:dyDescent="0.35">
      <c r="B1239" s="294" t="s">
        <v>4946</v>
      </c>
      <c r="C1239" s="329"/>
      <c r="D1239" s="305"/>
      <c r="E1239" s="305"/>
      <c r="F1239" s="305"/>
      <c r="G1239" s="305"/>
      <c r="H1239" s="305"/>
      <c r="I1239" s="305"/>
      <c r="J1239" s="305"/>
      <c r="K1239" s="305"/>
      <c r="L1239" s="305"/>
      <c r="M1239" s="305"/>
      <c r="N1239" s="305"/>
    </row>
    <row r="1240" spans="2:33" ht="11.25" customHeight="1" x14ac:dyDescent="0.35">
      <c r="B1240" s="294" t="s">
        <v>5271</v>
      </c>
      <c r="C1240" s="329">
        <v>123712</v>
      </c>
      <c r="D1240" s="305">
        <v>44387767.368000001</v>
      </c>
      <c r="E1240" s="305">
        <v>6170.6440000000002</v>
      </c>
      <c r="F1240" s="305">
        <v>0</v>
      </c>
      <c r="G1240" s="305">
        <v>0</v>
      </c>
      <c r="H1240" s="305">
        <v>209950.00599999999</v>
      </c>
      <c r="I1240" s="305">
        <v>17872.528000000002</v>
      </c>
      <c r="J1240" s="305">
        <v>10157.942000000001</v>
      </c>
      <c r="K1240" s="305">
        <v>6372.8860000000004</v>
      </c>
      <c r="L1240" s="305">
        <v>0</v>
      </c>
      <c r="M1240" s="305">
        <v>0</v>
      </c>
      <c r="N1240" s="305">
        <v>18586.857</v>
      </c>
    </row>
    <row r="1241" spans="2:33" ht="11.25" customHeight="1" x14ac:dyDescent="0.35">
      <c r="B1241" s="294" t="s">
        <v>5270</v>
      </c>
      <c r="C1241" s="329">
        <v>123713</v>
      </c>
      <c r="D1241" s="305">
        <v>420441.10399999999</v>
      </c>
      <c r="E1241" s="305">
        <v>0</v>
      </c>
      <c r="F1241" s="305">
        <v>0</v>
      </c>
      <c r="G1241" s="305">
        <v>0</v>
      </c>
      <c r="H1241" s="305">
        <v>0</v>
      </c>
      <c r="I1241" s="305">
        <v>0</v>
      </c>
      <c r="J1241" s="305">
        <v>0</v>
      </c>
      <c r="K1241" s="305">
        <v>0</v>
      </c>
      <c r="L1241" s="305">
        <v>0</v>
      </c>
      <c r="M1241" s="305">
        <v>0</v>
      </c>
      <c r="N1241" s="305">
        <v>0</v>
      </c>
    </row>
    <row r="1242" spans="2:33" ht="11.25" customHeight="1" x14ac:dyDescent="0.35">
      <c r="B1242" s="294" t="s">
        <v>5269</v>
      </c>
      <c r="C1242" s="329">
        <v>123714</v>
      </c>
      <c r="D1242" s="305">
        <v>51956.690999999999</v>
      </c>
      <c r="E1242" s="305">
        <v>0</v>
      </c>
      <c r="F1242" s="305">
        <v>0</v>
      </c>
      <c r="G1242" s="305">
        <v>0</v>
      </c>
      <c r="H1242" s="305">
        <v>8802.3989999999994</v>
      </c>
      <c r="I1242" s="305">
        <v>91.290999999999997</v>
      </c>
      <c r="J1242" s="305">
        <v>0</v>
      </c>
      <c r="K1242" s="305">
        <v>95.061999999999998</v>
      </c>
      <c r="L1242" s="305">
        <v>0</v>
      </c>
      <c r="M1242" s="305">
        <v>3.2000000000000001E-2</v>
      </c>
      <c r="N1242" s="305">
        <v>0</v>
      </c>
    </row>
    <row r="1243" spans="2:33" ht="11.25" customHeight="1" x14ac:dyDescent="0.4">
      <c r="B1243" s="332" t="s">
        <v>5268</v>
      </c>
      <c r="C1243" s="329"/>
      <c r="D1243" s="305"/>
      <c r="E1243" s="305"/>
      <c r="F1243" s="305"/>
      <c r="G1243" s="305"/>
      <c r="H1243" s="305"/>
      <c r="I1243" s="305"/>
      <c r="J1243" s="305"/>
      <c r="K1243" s="305"/>
      <c r="L1243" s="305"/>
      <c r="M1243" s="305"/>
      <c r="N1243" s="305"/>
    </row>
    <row r="1244" spans="2:33" ht="11.25" customHeight="1" x14ac:dyDescent="0.35">
      <c r="B1244" s="294" t="s">
        <v>5267</v>
      </c>
      <c r="C1244" s="329">
        <v>123715</v>
      </c>
      <c r="D1244" s="305">
        <v>22444540.026999999</v>
      </c>
      <c r="E1244" s="305">
        <v>-1E-3</v>
      </c>
      <c r="F1244" s="305">
        <v>0</v>
      </c>
      <c r="G1244" s="305">
        <v>0</v>
      </c>
      <c r="H1244" s="305">
        <v>5826.2</v>
      </c>
      <c r="I1244" s="305">
        <v>3583114.5120000001</v>
      </c>
      <c r="J1244" s="305">
        <v>12.513</v>
      </c>
      <c r="K1244" s="305">
        <v>330.00700000000001</v>
      </c>
      <c r="L1244" s="305">
        <v>0</v>
      </c>
      <c r="M1244" s="305">
        <v>464390.79399999999</v>
      </c>
      <c r="N1244" s="305">
        <v>163.279</v>
      </c>
    </row>
    <row r="1245" spans="2:33" ht="11.25" customHeight="1" x14ac:dyDescent="0.35">
      <c r="B1245" s="294" t="s">
        <v>5266</v>
      </c>
      <c r="C1245" s="329">
        <v>123716</v>
      </c>
      <c r="D1245" s="305">
        <v>14696714.926000001</v>
      </c>
      <c r="E1245" s="305">
        <v>1266855.1340000001</v>
      </c>
      <c r="F1245" s="305">
        <v>0</v>
      </c>
      <c r="G1245" s="305">
        <v>214825.12299999999</v>
      </c>
      <c r="H1245" s="305">
        <v>305717.98</v>
      </c>
      <c r="I1245" s="305">
        <v>142088.965</v>
      </c>
      <c r="J1245" s="305">
        <v>308388.12699999998</v>
      </c>
      <c r="K1245" s="305">
        <v>1932.8920000000001</v>
      </c>
      <c r="L1245" s="305">
        <v>34712.466</v>
      </c>
      <c r="M1245" s="305">
        <v>1664.3</v>
      </c>
      <c r="N1245" s="305">
        <v>201374.87400000001</v>
      </c>
    </row>
    <row r="1246" spans="2:33" ht="11.25" customHeight="1" x14ac:dyDescent="0.35">
      <c r="B1246" s="294" t="s">
        <v>5265</v>
      </c>
      <c r="C1246" s="329">
        <v>123717</v>
      </c>
      <c r="D1246" s="305">
        <v>26357.260000000002</v>
      </c>
      <c r="E1246" s="305">
        <v>0</v>
      </c>
      <c r="F1246" s="305">
        <v>0</v>
      </c>
      <c r="G1246" s="305">
        <v>0</v>
      </c>
      <c r="H1246" s="305">
        <v>1684.7560000000001</v>
      </c>
      <c r="I1246" s="305">
        <v>1567.048</v>
      </c>
      <c r="J1246" s="305">
        <v>0</v>
      </c>
      <c r="K1246" s="305">
        <v>126.553</v>
      </c>
      <c r="L1246" s="305">
        <v>0</v>
      </c>
      <c r="M1246" s="305">
        <v>1664.6780000000001</v>
      </c>
      <c r="N1246" s="305">
        <v>0</v>
      </c>
    </row>
    <row r="1247" spans="2:33" ht="11.25" customHeight="1" x14ac:dyDescent="0.35">
      <c r="B1247" s="294" t="s">
        <v>5264</v>
      </c>
      <c r="C1247" s="329">
        <v>124051</v>
      </c>
      <c r="D1247" s="305">
        <v>458721.61600000004</v>
      </c>
      <c r="E1247" s="305">
        <v>0</v>
      </c>
      <c r="F1247" s="305">
        <v>0</v>
      </c>
      <c r="G1247" s="305">
        <v>0</v>
      </c>
      <c r="H1247" s="305">
        <v>122.188</v>
      </c>
      <c r="I1247" s="305">
        <v>41725.18</v>
      </c>
      <c r="J1247" s="305">
        <v>0</v>
      </c>
      <c r="K1247" s="305">
        <v>6.6370000000000005</v>
      </c>
      <c r="L1247" s="305">
        <v>0</v>
      </c>
      <c r="M1247" s="305">
        <v>0</v>
      </c>
      <c r="N1247" s="305">
        <v>0</v>
      </c>
    </row>
    <row r="1248" spans="2:33" ht="11.25" customHeight="1" thickBot="1" x14ac:dyDescent="0.4">
      <c r="B1248" s="295"/>
      <c r="C1248" s="330"/>
      <c r="D1248" s="323"/>
      <c r="E1248" s="323"/>
      <c r="F1248" s="323"/>
      <c r="G1248" s="323"/>
      <c r="H1248" s="323"/>
      <c r="I1248" s="323"/>
      <c r="J1248" s="323"/>
      <c r="K1248" s="323"/>
      <c r="L1248" s="323"/>
      <c r="M1248" s="323"/>
      <c r="N1248" s="323"/>
    </row>
    <row r="1249" spans="2:14" ht="11.25" customHeight="1" thickBot="1" x14ac:dyDescent="0.4">
      <c r="B1249" s="265" t="s">
        <v>5404</v>
      </c>
      <c r="C1249" s="253"/>
      <c r="D1249" s="253"/>
      <c r="E1249" s="253"/>
      <c r="F1249" s="253"/>
      <c r="G1249" s="253"/>
      <c r="H1249" s="253"/>
      <c r="I1249" s="253"/>
      <c r="J1249" s="253"/>
      <c r="K1249" s="253"/>
      <c r="L1249" s="253"/>
      <c r="M1249" s="253"/>
      <c r="N1249" s="253"/>
    </row>
    <row r="1250" spans="2:14" ht="11.25" customHeight="1" x14ac:dyDescent="0.35">
      <c r="B1250" s="246" t="s">
        <v>5307</v>
      </c>
      <c r="C1250" s="247"/>
      <c r="D1250" s="322"/>
      <c r="E1250" s="322"/>
      <c r="F1250" s="322"/>
      <c r="G1250" s="322"/>
      <c r="H1250" s="322"/>
      <c r="I1250" s="322"/>
      <c r="J1250" s="322"/>
      <c r="K1250" s="322"/>
      <c r="L1250" s="322"/>
      <c r="M1250" s="322"/>
      <c r="N1250" s="322"/>
    </row>
    <row r="1251" spans="2:14" ht="11.25" customHeight="1" x14ac:dyDescent="0.35">
      <c r="B1251" s="244" t="s">
        <v>4946</v>
      </c>
      <c r="C1251" s="247"/>
      <c r="D1251" s="322"/>
      <c r="E1251" s="322"/>
      <c r="F1251" s="322"/>
      <c r="G1251" s="322"/>
      <c r="H1251" s="322"/>
      <c r="I1251" s="322"/>
      <c r="J1251" s="322"/>
      <c r="K1251" s="322"/>
      <c r="L1251" s="322"/>
      <c r="M1251" s="322"/>
      <c r="N1251" s="322"/>
    </row>
    <row r="1252" spans="2:14" ht="11.25" customHeight="1" x14ac:dyDescent="0.35">
      <c r="B1252" s="246" t="s">
        <v>4908</v>
      </c>
      <c r="C1252" s="247"/>
      <c r="D1252" s="322"/>
      <c r="E1252" s="322"/>
      <c r="F1252" s="322"/>
      <c r="G1252" s="322"/>
      <c r="H1252" s="322"/>
      <c r="I1252" s="322"/>
      <c r="J1252" s="322"/>
      <c r="K1252" s="322"/>
      <c r="L1252" s="322"/>
      <c r="M1252" s="322"/>
      <c r="N1252" s="322"/>
    </row>
    <row r="1253" spans="2:14" ht="11.25" customHeight="1" x14ac:dyDescent="0.35">
      <c r="B1253" s="244" t="s">
        <v>5306</v>
      </c>
      <c r="C1253" s="245">
        <v>123726</v>
      </c>
      <c r="D1253" s="305">
        <v>45033457802</v>
      </c>
      <c r="E1253" s="305">
        <v>708047</v>
      </c>
      <c r="F1253" s="305">
        <v>78265195</v>
      </c>
      <c r="G1253" s="305">
        <v>141340705</v>
      </c>
      <c r="H1253" s="305">
        <v>0</v>
      </c>
      <c r="I1253" s="305">
        <v>29601605</v>
      </c>
      <c r="J1253" s="305">
        <v>29586410</v>
      </c>
      <c r="K1253" s="305">
        <v>4229178</v>
      </c>
      <c r="L1253" s="305">
        <v>822358</v>
      </c>
      <c r="M1253" s="305">
        <v>5277151</v>
      </c>
      <c r="N1253" s="305">
        <v>39872651</v>
      </c>
    </row>
    <row r="1254" spans="2:14" ht="11.25" customHeight="1" x14ac:dyDescent="0.35">
      <c r="B1254" s="244" t="s">
        <v>4946</v>
      </c>
      <c r="C1254" s="247"/>
      <c r="D1254" s="305"/>
      <c r="E1254" s="305"/>
      <c r="F1254" s="305"/>
      <c r="G1254" s="305"/>
      <c r="H1254" s="305"/>
      <c r="I1254" s="305"/>
      <c r="J1254" s="305"/>
      <c r="K1254" s="305"/>
      <c r="L1254" s="305"/>
      <c r="M1254" s="305"/>
      <c r="N1254" s="305"/>
    </row>
    <row r="1255" spans="2:14" ht="11.25" customHeight="1" x14ac:dyDescent="0.35">
      <c r="B1255" s="244" t="s">
        <v>5305</v>
      </c>
      <c r="C1255" s="245">
        <v>123727</v>
      </c>
      <c r="D1255" s="305">
        <v>10691708.814999999</v>
      </c>
      <c r="E1255" s="305">
        <v>0</v>
      </c>
      <c r="F1255" s="305">
        <v>0</v>
      </c>
      <c r="G1255" s="305">
        <v>0</v>
      </c>
      <c r="H1255" s="305">
        <v>0</v>
      </c>
      <c r="I1255" s="305">
        <v>0</v>
      </c>
      <c r="J1255" s="305">
        <v>0</v>
      </c>
      <c r="K1255" s="305">
        <v>19</v>
      </c>
      <c r="L1255" s="305">
        <v>0</v>
      </c>
      <c r="M1255" s="305">
        <v>0</v>
      </c>
      <c r="N1255" s="305">
        <v>0</v>
      </c>
    </row>
    <row r="1256" spans="2:14" ht="11.25" customHeight="1" x14ac:dyDescent="0.35">
      <c r="B1256" s="244" t="s">
        <v>5304</v>
      </c>
      <c r="C1256" s="245">
        <v>123728</v>
      </c>
      <c r="D1256" s="305">
        <v>31248231616</v>
      </c>
      <c r="E1256" s="305">
        <v>250123</v>
      </c>
      <c r="F1256" s="305">
        <v>78258245</v>
      </c>
      <c r="G1256" s="305">
        <v>141094853</v>
      </c>
      <c r="H1256" s="305">
        <v>0</v>
      </c>
      <c r="I1256" s="305">
        <v>29232828</v>
      </c>
      <c r="J1256" s="305">
        <v>29585545</v>
      </c>
      <c r="K1256" s="305">
        <v>4114506</v>
      </c>
      <c r="L1256" s="305">
        <v>822248</v>
      </c>
      <c r="M1256" s="305">
        <v>5277151</v>
      </c>
      <c r="N1256" s="305">
        <v>36832206</v>
      </c>
    </row>
    <row r="1257" spans="2:14" ht="11.25" customHeight="1" x14ac:dyDescent="0.35">
      <c r="B1257" s="244" t="s">
        <v>5303</v>
      </c>
      <c r="C1257" s="245">
        <v>123729</v>
      </c>
      <c r="D1257" s="305">
        <v>112266190.779</v>
      </c>
      <c r="E1257" s="305">
        <v>215</v>
      </c>
      <c r="F1257" s="305">
        <v>0</v>
      </c>
      <c r="G1257" s="305">
        <v>0</v>
      </c>
      <c r="H1257" s="305">
        <v>0</v>
      </c>
      <c r="I1257" s="305">
        <v>61</v>
      </c>
      <c r="J1257" s="305">
        <v>0</v>
      </c>
      <c r="K1257" s="305">
        <v>0</v>
      </c>
      <c r="L1257" s="305">
        <v>0</v>
      </c>
      <c r="M1257" s="305">
        <v>0</v>
      </c>
      <c r="N1257" s="305">
        <v>0</v>
      </c>
    </row>
    <row r="1258" spans="2:14" ht="11.25" customHeight="1" x14ac:dyDescent="0.35">
      <c r="B1258" s="244" t="s">
        <v>5302</v>
      </c>
      <c r="C1258" s="245">
        <v>123730</v>
      </c>
      <c r="D1258" s="305">
        <v>13662268287</v>
      </c>
      <c r="E1258" s="305">
        <v>457709</v>
      </c>
      <c r="F1258" s="305">
        <v>6950</v>
      </c>
      <c r="G1258" s="305">
        <v>245852</v>
      </c>
      <c r="H1258" s="305">
        <v>0</v>
      </c>
      <c r="I1258" s="305">
        <v>368716</v>
      </c>
      <c r="J1258" s="305">
        <v>865</v>
      </c>
      <c r="K1258" s="305">
        <v>114653</v>
      </c>
      <c r="L1258" s="305">
        <v>110</v>
      </c>
      <c r="M1258" s="305">
        <v>0</v>
      </c>
      <c r="N1258" s="305">
        <v>3040445</v>
      </c>
    </row>
    <row r="1259" spans="2:14" ht="11.25" customHeight="1" x14ac:dyDescent="0.35">
      <c r="B1259" s="244" t="s">
        <v>4946</v>
      </c>
      <c r="C1259" s="247"/>
      <c r="D1259" s="305"/>
      <c r="E1259" s="305"/>
      <c r="F1259" s="305"/>
      <c r="G1259" s="305"/>
      <c r="H1259" s="305"/>
      <c r="I1259" s="305"/>
      <c r="J1259" s="305"/>
      <c r="K1259" s="305"/>
      <c r="L1259" s="305"/>
      <c r="M1259" s="305"/>
      <c r="N1259" s="305"/>
    </row>
    <row r="1260" spans="2:14" ht="11.25" customHeight="1" x14ac:dyDescent="0.35">
      <c r="B1260" s="244" t="s">
        <v>5301</v>
      </c>
      <c r="C1260" s="245">
        <v>123731</v>
      </c>
      <c r="D1260" s="305">
        <v>903.0443199</v>
      </c>
      <c r="E1260" s="305" t="s">
        <v>29</v>
      </c>
      <c r="F1260" s="305" t="s">
        <v>29</v>
      </c>
      <c r="G1260" s="305" t="s">
        <v>29</v>
      </c>
      <c r="H1260" s="305" t="s">
        <v>29</v>
      </c>
      <c r="I1260" s="305" t="s">
        <v>29</v>
      </c>
      <c r="J1260" s="305" t="s">
        <v>29</v>
      </c>
      <c r="K1260" s="305">
        <v>730.76923079999995</v>
      </c>
      <c r="L1260" s="305" t="s">
        <v>29</v>
      </c>
      <c r="M1260" s="305" t="s">
        <v>29</v>
      </c>
      <c r="N1260" s="305" t="s">
        <v>29</v>
      </c>
    </row>
    <row r="1261" spans="2:14" ht="11.25" customHeight="1" x14ac:dyDescent="0.35">
      <c r="B1261" s="244" t="s">
        <v>5300</v>
      </c>
      <c r="C1261" s="245">
        <v>123732</v>
      </c>
      <c r="D1261" s="305">
        <v>108280.2655193</v>
      </c>
      <c r="E1261" s="305">
        <v>7282.0251543000004</v>
      </c>
      <c r="F1261" s="305">
        <v>40048.126891899999</v>
      </c>
      <c r="G1261" s="305">
        <v>49705.736589400003</v>
      </c>
      <c r="H1261" s="305" t="s">
        <v>29</v>
      </c>
      <c r="I1261" s="305">
        <v>25615.620599499998</v>
      </c>
      <c r="J1261" s="305">
        <v>351610.29437979998</v>
      </c>
      <c r="K1261" s="305">
        <v>24421.766769400001</v>
      </c>
      <c r="L1261" s="305">
        <v>38523.6131934</v>
      </c>
      <c r="M1261" s="305">
        <v>1112149.8419389001</v>
      </c>
      <c r="N1261" s="305">
        <v>46015.064252299999</v>
      </c>
    </row>
    <row r="1262" spans="2:14" ht="11.25" customHeight="1" x14ac:dyDescent="0.35">
      <c r="B1262" s="244" t="s">
        <v>5299</v>
      </c>
      <c r="C1262" s="245">
        <v>123733</v>
      </c>
      <c r="D1262" s="305">
        <v>6225.1164762999997</v>
      </c>
      <c r="E1262" s="305">
        <v>19545.454545500001</v>
      </c>
      <c r="F1262" s="305" t="s">
        <v>29</v>
      </c>
      <c r="G1262" s="305" t="s">
        <v>29</v>
      </c>
      <c r="H1262" s="305" t="s">
        <v>29</v>
      </c>
      <c r="I1262" s="305">
        <v>859.15492959999995</v>
      </c>
      <c r="J1262" s="305" t="s">
        <v>29</v>
      </c>
      <c r="K1262" s="305" t="s">
        <v>29</v>
      </c>
      <c r="L1262" s="305" t="s">
        <v>29</v>
      </c>
      <c r="M1262" s="305" t="s">
        <v>29</v>
      </c>
      <c r="N1262" s="305" t="s">
        <v>29</v>
      </c>
    </row>
    <row r="1263" spans="2:14" ht="11.25" customHeight="1" x14ac:dyDescent="0.35">
      <c r="B1263" s="244" t="s">
        <v>5298</v>
      </c>
      <c r="C1263" s="245">
        <v>123734</v>
      </c>
      <c r="D1263" s="305">
        <v>68483.203114999997</v>
      </c>
      <c r="E1263" s="305">
        <v>5314.0412390000001</v>
      </c>
      <c r="F1263" s="305">
        <v>16238.317757000001</v>
      </c>
      <c r="G1263" s="305">
        <v>18560.471085599998</v>
      </c>
      <c r="H1263" s="305" t="s">
        <v>29</v>
      </c>
      <c r="I1263" s="305">
        <v>11891.3793659</v>
      </c>
      <c r="J1263" s="305">
        <v>123571.4285714</v>
      </c>
      <c r="K1263" s="305">
        <v>23581.447963800001</v>
      </c>
      <c r="L1263" s="305">
        <v>6111.1111111</v>
      </c>
      <c r="M1263" s="305" t="s">
        <v>29</v>
      </c>
      <c r="N1263" s="305">
        <v>75344.327699899994</v>
      </c>
    </row>
    <row r="1264" spans="2:14" ht="11.25" customHeight="1" x14ac:dyDescent="0.35">
      <c r="B1264" s="244" t="s">
        <v>4946</v>
      </c>
      <c r="C1264" s="247"/>
      <c r="D1264" s="305"/>
      <c r="E1264" s="305"/>
      <c r="F1264" s="305"/>
      <c r="G1264" s="305"/>
      <c r="H1264" s="305"/>
      <c r="I1264" s="305"/>
      <c r="J1264" s="305"/>
      <c r="K1264" s="305"/>
      <c r="L1264" s="305"/>
      <c r="M1264" s="305"/>
      <c r="N1264" s="305"/>
    </row>
    <row r="1265" spans="2:14" ht="11.25" customHeight="1" x14ac:dyDescent="0.35">
      <c r="B1265" s="246" t="s">
        <v>4975</v>
      </c>
      <c r="C1265" s="247"/>
      <c r="D1265" s="305"/>
      <c r="E1265" s="305"/>
      <c r="F1265" s="305"/>
      <c r="G1265" s="305"/>
      <c r="H1265" s="305"/>
      <c r="I1265" s="305"/>
      <c r="J1265" s="305"/>
      <c r="K1265" s="305"/>
      <c r="L1265" s="305"/>
      <c r="M1265" s="305"/>
      <c r="N1265" s="305"/>
    </row>
    <row r="1266" spans="2:14" ht="11.25" customHeight="1" x14ac:dyDescent="0.35">
      <c r="B1266" s="244" t="s">
        <v>5297</v>
      </c>
      <c r="C1266" s="245">
        <v>123735</v>
      </c>
      <c r="D1266" s="305">
        <v>37507042</v>
      </c>
      <c r="E1266" s="305">
        <v>63104</v>
      </c>
      <c r="F1266" s="305">
        <v>11421</v>
      </c>
      <c r="G1266" s="305">
        <v>320884</v>
      </c>
      <c r="H1266" s="305">
        <v>0</v>
      </c>
      <c r="I1266" s="305">
        <v>42</v>
      </c>
      <c r="J1266" s="305">
        <v>64726</v>
      </c>
      <c r="K1266" s="305">
        <v>11886</v>
      </c>
      <c r="L1266" s="305">
        <v>2933</v>
      </c>
      <c r="M1266" s="305">
        <v>0</v>
      </c>
      <c r="N1266" s="305">
        <v>67</v>
      </c>
    </row>
    <row r="1267" spans="2:14" ht="11.25" customHeight="1" x14ac:dyDescent="0.35">
      <c r="B1267" s="244" t="s">
        <v>5296</v>
      </c>
      <c r="C1267" s="245">
        <v>123736</v>
      </c>
      <c r="D1267" s="305">
        <v>21656665</v>
      </c>
      <c r="E1267" s="305">
        <v>66</v>
      </c>
      <c r="F1267" s="305">
        <v>0</v>
      </c>
      <c r="G1267" s="305">
        <v>0</v>
      </c>
      <c r="H1267" s="305">
        <v>0</v>
      </c>
      <c r="I1267" s="305">
        <v>37684</v>
      </c>
      <c r="J1267" s="305">
        <v>2828</v>
      </c>
      <c r="K1267" s="305">
        <v>2581</v>
      </c>
      <c r="L1267" s="305">
        <v>0</v>
      </c>
      <c r="M1267" s="305">
        <v>0</v>
      </c>
      <c r="N1267" s="305">
        <v>2</v>
      </c>
    </row>
    <row r="1268" spans="2:14" ht="11.25" customHeight="1" x14ac:dyDescent="0.35">
      <c r="B1268" s="244" t="s">
        <v>5295</v>
      </c>
      <c r="C1268" s="245">
        <v>123737</v>
      </c>
      <c r="D1268" s="305">
        <v>349451.59899999999</v>
      </c>
      <c r="E1268" s="305">
        <v>16.381</v>
      </c>
      <c r="F1268" s="305">
        <v>11</v>
      </c>
      <c r="G1268" s="305">
        <v>1.9E-2</v>
      </c>
      <c r="H1268" s="305">
        <v>0</v>
      </c>
      <c r="I1268" s="305">
        <v>0</v>
      </c>
      <c r="J1268" s="305">
        <v>0.67200000000000004</v>
      </c>
      <c r="K1268" s="305">
        <v>3.2770000000000001</v>
      </c>
      <c r="L1268" s="305">
        <v>0.23600000000000002</v>
      </c>
      <c r="M1268" s="305">
        <v>0</v>
      </c>
      <c r="N1268" s="305">
        <v>0</v>
      </c>
    </row>
    <row r="1269" spans="2:14" ht="11.25" customHeight="1" x14ac:dyDescent="0.35">
      <c r="B1269" s="244" t="s">
        <v>4946</v>
      </c>
      <c r="C1269" s="247"/>
      <c r="D1269" s="305"/>
      <c r="E1269" s="305"/>
      <c r="F1269" s="305"/>
      <c r="G1269" s="305"/>
      <c r="H1269" s="305"/>
      <c r="I1269" s="305"/>
      <c r="J1269" s="305"/>
      <c r="K1269" s="305"/>
      <c r="L1269" s="305"/>
      <c r="M1269" s="305"/>
      <c r="N1269" s="305"/>
    </row>
    <row r="1270" spans="2:14" ht="11.25" customHeight="1" x14ac:dyDescent="0.35">
      <c r="B1270" s="244" t="s">
        <v>5294</v>
      </c>
      <c r="C1270" s="245">
        <v>123738</v>
      </c>
      <c r="D1270" s="305">
        <v>27653.398216400001</v>
      </c>
      <c r="E1270" s="305">
        <v>165511.87550709999</v>
      </c>
      <c r="F1270" s="305">
        <v>5107.5899658999997</v>
      </c>
      <c r="G1270" s="305">
        <v>10375.975474000001</v>
      </c>
      <c r="H1270" s="305" t="s">
        <v>29</v>
      </c>
      <c r="I1270" s="305">
        <v>3158.1904761999999</v>
      </c>
      <c r="J1270" s="305">
        <v>50229.289280999998</v>
      </c>
      <c r="K1270" s="305">
        <v>45151.312384299999</v>
      </c>
      <c r="L1270" s="305">
        <v>11270.9887487</v>
      </c>
      <c r="M1270" s="305" t="s">
        <v>29</v>
      </c>
      <c r="N1270" s="305">
        <v>334.41791039999998</v>
      </c>
    </row>
    <row r="1271" spans="2:14" ht="11.25" customHeight="1" x14ac:dyDescent="0.35">
      <c r="B1271" s="244" t="s">
        <v>5293</v>
      </c>
      <c r="C1271" s="245">
        <v>123739</v>
      </c>
      <c r="D1271" s="305">
        <v>16273.8053022</v>
      </c>
      <c r="E1271" s="305">
        <v>3463.5757576000001</v>
      </c>
      <c r="F1271" s="305" t="s">
        <v>29</v>
      </c>
      <c r="G1271" s="305" t="s">
        <v>29</v>
      </c>
      <c r="H1271" s="305" t="s">
        <v>29</v>
      </c>
      <c r="I1271" s="305">
        <v>19490.284656600001</v>
      </c>
      <c r="J1271" s="305">
        <v>30097.901343699999</v>
      </c>
      <c r="K1271" s="305">
        <v>49827.025571500002</v>
      </c>
      <c r="L1271" s="305" t="s">
        <v>29</v>
      </c>
      <c r="M1271" s="305" t="s">
        <v>29</v>
      </c>
      <c r="N1271" s="305">
        <v>2784</v>
      </c>
    </row>
    <row r="1272" spans="2:14" ht="11.25" customHeight="1" x14ac:dyDescent="0.35">
      <c r="B1272" s="244" t="s">
        <v>4946</v>
      </c>
      <c r="C1272" s="247"/>
      <c r="D1272" s="305"/>
      <c r="E1272" s="305"/>
      <c r="F1272" s="305"/>
      <c r="G1272" s="305"/>
      <c r="H1272" s="305"/>
      <c r="I1272" s="305"/>
      <c r="J1272" s="305"/>
      <c r="K1272" s="305"/>
      <c r="L1272" s="305"/>
      <c r="M1272" s="305"/>
      <c r="N1272" s="305"/>
    </row>
    <row r="1273" spans="2:14" ht="11.25" customHeight="1" x14ac:dyDescent="0.35">
      <c r="B1273" s="246" t="s">
        <v>5292</v>
      </c>
      <c r="C1273" s="247"/>
      <c r="D1273" s="305"/>
      <c r="E1273" s="305"/>
      <c r="F1273" s="305"/>
      <c r="G1273" s="305"/>
      <c r="H1273" s="305"/>
      <c r="I1273" s="305"/>
      <c r="J1273" s="305"/>
      <c r="K1273" s="305"/>
      <c r="L1273" s="305"/>
      <c r="M1273" s="305"/>
      <c r="N1273" s="305"/>
    </row>
    <row r="1274" spans="2:14" ht="11.25" customHeight="1" x14ac:dyDescent="0.35">
      <c r="B1274" s="244" t="s">
        <v>5291</v>
      </c>
      <c r="C1274" s="245">
        <v>123740</v>
      </c>
      <c r="D1274" s="305">
        <v>144571659.43799999</v>
      </c>
      <c r="E1274" s="305">
        <v>254861.62700000001</v>
      </c>
      <c r="F1274" s="305">
        <v>620.76300000000003</v>
      </c>
      <c r="G1274" s="305">
        <v>13333345.722000001</v>
      </c>
      <c r="H1274" s="305">
        <v>2220873.9980000001</v>
      </c>
      <c r="I1274" s="305">
        <v>791710.26899999997</v>
      </c>
      <c r="J1274" s="305">
        <v>278013.109</v>
      </c>
      <c r="K1274" s="305">
        <v>619382.79399999999</v>
      </c>
      <c r="L1274" s="305">
        <v>27467.758000000002</v>
      </c>
      <c r="M1274" s="305">
        <v>709740.36400000006</v>
      </c>
      <c r="N1274" s="305">
        <v>1025927.726</v>
      </c>
    </row>
    <row r="1275" spans="2:14" ht="11.25" customHeight="1" x14ac:dyDescent="0.35">
      <c r="B1275" s="244" t="s">
        <v>4946</v>
      </c>
      <c r="C1275" s="247"/>
      <c r="D1275" s="305"/>
      <c r="E1275" s="305"/>
      <c r="F1275" s="305"/>
      <c r="G1275" s="305"/>
      <c r="H1275" s="305"/>
      <c r="I1275" s="305"/>
      <c r="J1275" s="305"/>
      <c r="K1275" s="305"/>
      <c r="L1275" s="305"/>
      <c r="M1275" s="305"/>
      <c r="N1275" s="305"/>
    </row>
    <row r="1276" spans="2:14" ht="11.25" customHeight="1" x14ac:dyDescent="0.35">
      <c r="B1276" s="244" t="s">
        <v>5290</v>
      </c>
      <c r="C1276" s="245">
        <v>123741</v>
      </c>
      <c r="D1276" s="305">
        <v>85710401.328999996</v>
      </c>
      <c r="E1276" s="305">
        <v>21890.22</v>
      </c>
      <c r="F1276" s="305">
        <v>0</v>
      </c>
      <c r="G1276" s="305">
        <v>165741.927</v>
      </c>
      <c r="H1276" s="305">
        <v>249804.772</v>
      </c>
      <c r="I1276" s="305">
        <v>5552.1180000000004</v>
      </c>
      <c r="J1276" s="305">
        <v>12943.324000000001</v>
      </c>
      <c r="K1276" s="305">
        <v>158066.98699999999</v>
      </c>
      <c r="L1276" s="305">
        <v>0</v>
      </c>
      <c r="M1276" s="305">
        <v>0</v>
      </c>
      <c r="N1276" s="305">
        <v>87994.945000000007</v>
      </c>
    </row>
    <row r="1277" spans="2:14" ht="11.25" customHeight="1" x14ac:dyDescent="0.35">
      <c r="B1277" s="244" t="s">
        <v>5289</v>
      </c>
      <c r="C1277" s="245">
        <v>123742</v>
      </c>
      <c r="D1277" s="305">
        <v>1715201.628</v>
      </c>
      <c r="E1277" s="305">
        <v>43.535000000000004</v>
      </c>
      <c r="F1277" s="305">
        <v>0</v>
      </c>
      <c r="G1277" s="305">
        <v>0</v>
      </c>
      <c r="H1277" s="305">
        <v>0</v>
      </c>
      <c r="I1277" s="305">
        <v>0</v>
      </c>
      <c r="J1277" s="305">
        <v>0</v>
      </c>
      <c r="K1277" s="305">
        <v>0</v>
      </c>
      <c r="L1277" s="305">
        <v>0</v>
      </c>
      <c r="M1277" s="305">
        <v>0</v>
      </c>
      <c r="N1277" s="305">
        <v>0</v>
      </c>
    </row>
    <row r="1278" spans="2:14" ht="11.25" customHeight="1" x14ac:dyDescent="0.35">
      <c r="B1278" s="244" t="s">
        <v>5288</v>
      </c>
      <c r="C1278" s="245">
        <v>123743</v>
      </c>
      <c r="D1278" s="305">
        <v>57146056.480999999</v>
      </c>
      <c r="E1278" s="305">
        <v>232927.872</v>
      </c>
      <c r="F1278" s="305">
        <v>620.76300000000003</v>
      </c>
      <c r="G1278" s="305">
        <v>13167603.795</v>
      </c>
      <c r="H1278" s="305">
        <v>1971069.226</v>
      </c>
      <c r="I1278" s="305">
        <v>786158.15100000007</v>
      </c>
      <c r="J1278" s="305">
        <v>265069.78500000003</v>
      </c>
      <c r="K1278" s="305">
        <v>461315.80700000003</v>
      </c>
      <c r="L1278" s="305">
        <v>27467.758000000002</v>
      </c>
      <c r="M1278" s="305">
        <v>709740.36400000006</v>
      </c>
      <c r="N1278" s="305">
        <v>937932.78100000008</v>
      </c>
    </row>
    <row r="1279" spans="2:14" ht="11.25" customHeight="1" x14ac:dyDescent="0.35">
      <c r="B1279" s="244" t="s">
        <v>4946</v>
      </c>
      <c r="C1279" s="247"/>
      <c r="D1279" s="305"/>
      <c r="E1279" s="305"/>
      <c r="F1279" s="305"/>
      <c r="G1279" s="305"/>
      <c r="H1279" s="305"/>
      <c r="I1279" s="305"/>
      <c r="J1279" s="305"/>
      <c r="K1279" s="305"/>
      <c r="L1279" s="305"/>
      <c r="M1279" s="305"/>
      <c r="N1279" s="305"/>
    </row>
    <row r="1280" spans="2:14" ht="11.25" customHeight="1" x14ac:dyDescent="0.35">
      <c r="B1280" s="244" t="s">
        <v>5287</v>
      </c>
      <c r="C1280" s="245">
        <v>123744</v>
      </c>
      <c r="D1280" s="305">
        <v>278224143</v>
      </c>
      <c r="E1280" s="305">
        <v>416852</v>
      </c>
      <c r="F1280" s="305">
        <v>11472</v>
      </c>
      <c r="G1280" s="305">
        <v>31511271</v>
      </c>
      <c r="H1280" s="305">
        <v>12493652</v>
      </c>
      <c r="I1280" s="305">
        <v>978470</v>
      </c>
      <c r="J1280" s="305">
        <v>109723</v>
      </c>
      <c r="K1280" s="305">
        <v>844998</v>
      </c>
      <c r="L1280" s="305">
        <v>7900</v>
      </c>
      <c r="M1280" s="305">
        <v>299795</v>
      </c>
      <c r="N1280" s="305">
        <v>2416132</v>
      </c>
    </row>
    <row r="1281" spans="2:14" ht="11.25" customHeight="1" x14ac:dyDescent="0.35">
      <c r="B1281" s="244" t="s">
        <v>4946</v>
      </c>
      <c r="C1281" s="247"/>
      <c r="D1281" s="305"/>
      <c r="E1281" s="305"/>
      <c r="F1281" s="305"/>
      <c r="G1281" s="305"/>
      <c r="H1281" s="305"/>
      <c r="I1281" s="305"/>
      <c r="J1281" s="305"/>
      <c r="K1281" s="305"/>
      <c r="L1281" s="305"/>
      <c r="M1281" s="305"/>
      <c r="N1281" s="305"/>
    </row>
    <row r="1282" spans="2:14" ht="11.25" customHeight="1" x14ac:dyDescent="0.35">
      <c r="B1282" s="244" t="s">
        <v>5286</v>
      </c>
      <c r="C1282" s="245">
        <v>123745</v>
      </c>
      <c r="D1282" s="305">
        <v>429.15447949999998</v>
      </c>
      <c r="E1282" s="305">
        <v>87.455234099999998</v>
      </c>
      <c r="F1282" s="305" t="s">
        <v>29</v>
      </c>
      <c r="G1282" s="305">
        <v>160.95793520000001</v>
      </c>
      <c r="H1282" s="305">
        <v>22.540550499999998</v>
      </c>
      <c r="I1282" s="305">
        <v>301.1563246</v>
      </c>
      <c r="J1282" s="305">
        <v>1581.7333496000001</v>
      </c>
      <c r="K1282" s="305">
        <v>831.12225990000002</v>
      </c>
      <c r="L1282" s="305" t="s">
        <v>29</v>
      </c>
      <c r="M1282" s="305" t="s">
        <v>29</v>
      </c>
      <c r="N1282" s="305">
        <v>377.07325070000002</v>
      </c>
    </row>
    <row r="1283" spans="2:14" ht="11.25" customHeight="1" x14ac:dyDescent="0.35">
      <c r="B1283" s="244" t="s">
        <v>5285</v>
      </c>
      <c r="C1283" s="245">
        <v>123746</v>
      </c>
      <c r="D1283" s="305">
        <v>264.34624580000002</v>
      </c>
      <c r="E1283" s="305">
        <v>5441.875</v>
      </c>
      <c r="F1283" s="305" t="s">
        <v>29</v>
      </c>
      <c r="G1283" s="305" t="s">
        <v>29</v>
      </c>
      <c r="H1283" s="305" t="s">
        <v>29</v>
      </c>
      <c r="I1283" s="305" t="s">
        <v>29</v>
      </c>
      <c r="J1283" s="305" t="s">
        <v>29</v>
      </c>
      <c r="K1283" s="305" t="s">
        <v>29</v>
      </c>
      <c r="L1283" s="305" t="s">
        <v>29</v>
      </c>
      <c r="M1283" s="305" t="s">
        <v>29</v>
      </c>
      <c r="N1283" s="305" t="s">
        <v>29</v>
      </c>
    </row>
    <row r="1284" spans="2:14" ht="11.25" customHeight="1" x14ac:dyDescent="0.35">
      <c r="B1284" s="244" t="s">
        <v>5284</v>
      </c>
      <c r="C1284" s="245">
        <v>123747</v>
      </c>
      <c r="D1284" s="305">
        <v>793.51394400000004</v>
      </c>
      <c r="E1284" s="305">
        <v>1398.6133947999999</v>
      </c>
      <c r="F1284" s="305">
        <v>54.111140200000001</v>
      </c>
      <c r="G1284" s="305">
        <v>431.98604490000002</v>
      </c>
      <c r="H1284" s="305">
        <v>1396.741636</v>
      </c>
      <c r="I1284" s="305">
        <v>818.88573840000004</v>
      </c>
      <c r="J1284" s="305">
        <v>2610.4962083999999</v>
      </c>
      <c r="K1284" s="305">
        <v>704.50007410000001</v>
      </c>
      <c r="L1284" s="305">
        <v>3476.9313923999998</v>
      </c>
      <c r="M1284" s="305">
        <v>2367.4189495999999</v>
      </c>
      <c r="N1284" s="305">
        <v>429.69859889999998</v>
      </c>
    </row>
    <row r="1285" spans="2:14" ht="11.25" customHeight="1" thickBot="1" x14ac:dyDescent="0.4">
      <c r="B1285" s="295"/>
      <c r="C1285" s="330"/>
      <c r="D1285" s="325"/>
      <c r="E1285" s="325"/>
      <c r="F1285" s="325"/>
      <c r="G1285" s="325"/>
      <c r="H1285" s="325"/>
      <c r="I1285" s="325"/>
      <c r="J1285" s="325"/>
      <c r="K1285" s="325"/>
      <c r="L1285" s="325"/>
      <c r="M1285" s="325"/>
      <c r="N1285" s="325"/>
    </row>
    <row r="1286" spans="2:14" ht="11.25" customHeight="1" thickBot="1" x14ac:dyDescent="0.4">
      <c r="B1286" s="265" t="s">
        <v>5405</v>
      </c>
      <c r="C1286" s="253"/>
      <c r="D1286" s="253"/>
      <c r="E1286" s="253"/>
      <c r="F1286" s="253"/>
      <c r="G1286" s="253"/>
      <c r="H1286" s="253"/>
      <c r="I1286" s="253"/>
      <c r="J1286" s="253"/>
      <c r="K1286" s="253"/>
      <c r="L1286" s="253"/>
      <c r="M1286" s="253"/>
      <c r="N1286" s="253"/>
    </row>
    <row r="1287" spans="2:14" ht="11.25" customHeight="1" x14ac:dyDescent="0.35">
      <c r="B1287" s="246" t="s">
        <v>5352</v>
      </c>
      <c r="C1287" s="247"/>
      <c r="D1287" s="305"/>
      <c r="E1287" s="305"/>
      <c r="F1287" s="305"/>
      <c r="G1287" s="305"/>
      <c r="H1287" s="305"/>
      <c r="I1287" s="305"/>
      <c r="J1287" s="305"/>
      <c r="K1287" s="305"/>
      <c r="L1287" s="305"/>
      <c r="M1287" s="305"/>
      <c r="N1287" s="305"/>
    </row>
    <row r="1288" spans="2:14" ht="11.25" customHeight="1" x14ac:dyDescent="0.35">
      <c r="B1288" s="244" t="s">
        <v>5351</v>
      </c>
      <c r="C1288" s="245">
        <v>123759</v>
      </c>
      <c r="D1288" s="305">
        <v>55238821.325999998</v>
      </c>
      <c r="E1288" s="305">
        <v>805.47199999999998</v>
      </c>
      <c r="F1288" s="305">
        <v>148688.288</v>
      </c>
      <c r="G1288" s="305">
        <v>10911.165000000001</v>
      </c>
      <c r="H1288" s="305">
        <v>0</v>
      </c>
      <c r="I1288" s="305">
        <v>62345.375</v>
      </c>
      <c r="J1288" s="305">
        <v>43942.968000000001</v>
      </c>
      <c r="K1288" s="305">
        <v>33454.786</v>
      </c>
      <c r="L1288" s="305">
        <v>5224.835</v>
      </c>
      <c r="M1288" s="305">
        <v>8899.107</v>
      </c>
      <c r="N1288" s="305">
        <v>10077.951999999999</v>
      </c>
    </row>
    <row r="1289" spans="2:14" ht="11.25" customHeight="1" x14ac:dyDescent="0.35">
      <c r="B1289" s="244" t="s">
        <v>5350</v>
      </c>
      <c r="C1289" s="245">
        <v>123760</v>
      </c>
      <c r="D1289" s="305">
        <v>6233601.8950000005</v>
      </c>
      <c r="E1289" s="305">
        <v>0</v>
      </c>
      <c r="F1289" s="305">
        <v>0</v>
      </c>
      <c r="G1289" s="305">
        <v>0</v>
      </c>
      <c r="H1289" s="305">
        <v>0</v>
      </c>
      <c r="I1289" s="305">
        <v>0</v>
      </c>
      <c r="J1289" s="305">
        <v>0</v>
      </c>
      <c r="K1289" s="305">
        <v>0</v>
      </c>
      <c r="L1289" s="305">
        <v>0</v>
      </c>
      <c r="M1289" s="305">
        <v>0</v>
      </c>
      <c r="N1289" s="305">
        <v>0</v>
      </c>
    </row>
    <row r="1290" spans="2:14" ht="11.25" customHeight="1" x14ac:dyDescent="0.35">
      <c r="B1290" s="244" t="s">
        <v>5349</v>
      </c>
      <c r="C1290" s="245">
        <v>123761</v>
      </c>
      <c r="D1290" s="305">
        <v>36819196.412</v>
      </c>
      <c r="E1290" s="305">
        <v>3324.143</v>
      </c>
      <c r="F1290" s="305">
        <v>0</v>
      </c>
      <c r="G1290" s="305">
        <v>329803.38699999999</v>
      </c>
      <c r="H1290" s="305">
        <v>55805.531999999999</v>
      </c>
      <c r="I1290" s="305">
        <v>185015.666</v>
      </c>
      <c r="J1290" s="305">
        <v>95720.98</v>
      </c>
      <c r="K1290" s="305">
        <v>38518.396000000001</v>
      </c>
      <c r="L1290" s="305">
        <v>73746.063999999998</v>
      </c>
      <c r="M1290" s="305">
        <v>579119.42300000007</v>
      </c>
      <c r="N1290" s="305">
        <v>1050.3150000000001</v>
      </c>
    </row>
    <row r="1291" spans="2:14" ht="11.25" customHeight="1" x14ac:dyDescent="0.35">
      <c r="B1291" s="244" t="s">
        <v>5348</v>
      </c>
      <c r="C1291" s="245">
        <v>123762</v>
      </c>
      <c r="D1291" s="305">
        <v>98259066.186000004</v>
      </c>
      <c r="E1291" s="305">
        <v>4129.6149999999998</v>
      </c>
      <c r="F1291" s="305">
        <v>148688.288</v>
      </c>
      <c r="G1291" s="305">
        <v>340714.55200000003</v>
      </c>
      <c r="H1291" s="305">
        <v>55805.531999999999</v>
      </c>
      <c r="I1291" s="305">
        <v>247361.041</v>
      </c>
      <c r="J1291" s="305">
        <v>139663.948</v>
      </c>
      <c r="K1291" s="305">
        <v>71973.182000000001</v>
      </c>
      <c r="L1291" s="305">
        <v>78970.899000000005</v>
      </c>
      <c r="M1291" s="305">
        <v>588018.53</v>
      </c>
      <c r="N1291" s="305">
        <v>11128.267</v>
      </c>
    </row>
    <row r="1292" spans="2:14" ht="11.25" customHeight="1" x14ac:dyDescent="0.35">
      <c r="B1292" s="244" t="s">
        <v>4946</v>
      </c>
      <c r="C1292" s="247"/>
      <c r="D1292" s="305"/>
      <c r="E1292" s="305"/>
      <c r="F1292" s="305"/>
      <c r="G1292" s="305"/>
      <c r="H1292" s="305"/>
      <c r="I1292" s="305"/>
      <c r="J1292" s="305"/>
      <c r="K1292" s="305"/>
      <c r="L1292" s="305"/>
      <c r="M1292" s="305"/>
      <c r="N1292" s="305"/>
    </row>
    <row r="1293" spans="2:14" ht="11.25" customHeight="1" x14ac:dyDescent="0.35">
      <c r="B1293" s="244" t="s">
        <v>5347</v>
      </c>
      <c r="C1293" s="245">
        <v>123763</v>
      </c>
      <c r="D1293" s="305">
        <v>12961753498.914</v>
      </c>
      <c r="E1293" s="305">
        <v>0</v>
      </c>
      <c r="F1293" s="305">
        <v>51155728.919</v>
      </c>
      <c r="G1293" s="305">
        <v>0</v>
      </c>
      <c r="H1293" s="305">
        <v>0</v>
      </c>
      <c r="I1293" s="305">
        <v>0</v>
      </c>
      <c r="J1293" s="305">
        <v>19545559.458000001</v>
      </c>
      <c r="K1293" s="305">
        <v>0</v>
      </c>
      <c r="L1293" s="305">
        <v>0</v>
      </c>
      <c r="M1293" s="305">
        <v>367949.03</v>
      </c>
      <c r="N1293" s="305">
        <v>11916</v>
      </c>
    </row>
    <row r="1294" spans="2:14" ht="11.25" customHeight="1" x14ac:dyDescent="0.35">
      <c r="B1294" s="244" t="s">
        <v>5346</v>
      </c>
      <c r="C1294" s="245">
        <v>123764</v>
      </c>
      <c r="D1294" s="305">
        <v>12175979248.349001</v>
      </c>
      <c r="E1294" s="305">
        <v>65415.385999999999</v>
      </c>
      <c r="F1294" s="305">
        <v>1295893.852</v>
      </c>
      <c r="G1294" s="305">
        <v>3296869.9780000001</v>
      </c>
      <c r="H1294" s="305">
        <v>0</v>
      </c>
      <c r="I1294" s="305">
        <v>8682536.625</v>
      </c>
      <c r="J1294" s="305">
        <v>1491878.32</v>
      </c>
      <c r="K1294" s="305">
        <v>2000094.3940000001</v>
      </c>
      <c r="L1294" s="305">
        <v>552782.32499999995</v>
      </c>
      <c r="M1294" s="305">
        <v>4311350.58</v>
      </c>
      <c r="N1294" s="305">
        <v>3317411.3310000002</v>
      </c>
    </row>
    <row r="1295" spans="2:14" ht="11.25" customHeight="1" x14ac:dyDescent="0.35">
      <c r="B1295" s="244" t="s">
        <v>5345</v>
      </c>
      <c r="C1295" s="245">
        <v>123765</v>
      </c>
      <c r="D1295" s="305">
        <v>25137732747.263</v>
      </c>
      <c r="E1295" s="305">
        <v>65415.385999999999</v>
      </c>
      <c r="F1295" s="305">
        <v>52451622.770999998</v>
      </c>
      <c r="G1295" s="305">
        <v>3296869.9780000001</v>
      </c>
      <c r="H1295" s="305">
        <v>0</v>
      </c>
      <c r="I1295" s="305">
        <v>8682536.625</v>
      </c>
      <c r="J1295" s="305">
        <v>21037437.778000001</v>
      </c>
      <c r="K1295" s="305">
        <v>2000094.3940000001</v>
      </c>
      <c r="L1295" s="305">
        <v>552782.32499999995</v>
      </c>
      <c r="M1295" s="305">
        <v>4679299.6100000003</v>
      </c>
      <c r="N1295" s="305">
        <v>3329327.3310000002</v>
      </c>
    </row>
    <row r="1296" spans="2:14" ht="11.25" customHeight="1" x14ac:dyDescent="0.35">
      <c r="B1296" s="244" t="s">
        <v>5344</v>
      </c>
      <c r="C1296" s="245">
        <v>123766</v>
      </c>
      <c r="D1296" s="305">
        <v>113777628.184</v>
      </c>
      <c r="E1296" s="305">
        <v>0</v>
      </c>
      <c r="F1296" s="305">
        <v>0</v>
      </c>
      <c r="G1296" s="305">
        <v>0</v>
      </c>
      <c r="H1296" s="305">
        <v>0</v>
      </c>
      <c r="I1296" s="305">
        <v>0</v>
      </c>
      <c r="J1296" s="305">
        <v>0</v>
      </c>
      <c r="K1296" s="305">
        <v>0</v>
      </c>
      <c r="L1296" s="305">
        <v>0</v>
      </c>
      <c r="M1296" s="305">
        <v>0</v>
      </c>
      <c r="N1296" s="305">
        <v>0</v>
      </c>
    </row>
    <row r="1297" spans="2:14" ht="11.25" customHeight="1" x14ac:dyDescent="0.35">
      <c r="B1297" s="244" t="s">
        <v>5343</v>
      </c>
      <c r="C1297" s="245">
        <v>123767</v>
      </c>
      <c r="D1297" s="305">
        <v>25251510375.447002</v>
      </c>
      <c r="E1297" s="305">
        <v>65415.385999999999</v>
      </c>
      <c r="F1297" s="305">
        <v>52451622.770999998</v>
      </c>
      <c r="G1297" s="305">
        <v>3296869.9780000001</v>
      </c>
      <c r="H1297" s="305">
        <v>0</v>
      </c>
      <c r="I1297" s="305">
        <v>8682536.625</v>
      </c>
      <c r="J1297" s="305">
        <v>21037437.778000001</v>
      </c>
      <c r="K1297" s="305">
        <v>2000094.3940000001</v>
      </c>
      <c r="L1297" s="305">
        <v>552782.32499999995</v>
      </c>
      <c r="M1297" s="305">
        <v>4679299.6100000003</v>
      </c>
      <c r="N1297" s="305">
        <v>3329327.3310000002</v>
      </c>
    </row>
    <row r="1298" spans="2:14" ht="11.25" customHeight="1" x14ac:dyDescent="0.35">
      <c r="B1298" s="244" t="s">
        <v>4946</v>
      </c>
      <c r="C1298" s="247"/>
      <c r="D1298" s="305"/>
      <c r="E1298" s="305"/>
      <c r="F1298" s="305"/>
      <c r="G1298" s="305"/>
      <c r="H1298" s="305"/>
      <c r="I1298" s="305"/>
      <c r="J1298" s="305"/>
      <c r="K1298" s="305"/>
      <c r="L1298" s="305"/>
      <c r="M1298" s="305"/>
      <c r="N1298" s="305"/>
    </row>
    <row r="1299" spans="2:14" ht="11.25" customHeight="1" x14ac:dyDescent="0.35">
      <c r="B1299" s="244" t="s">
        <v>5342</v>
      </c>
      <c r="C1299" s="245">
        <v>123768</v>
      </c>
      <c r="D1299" s="305">
        <v>314188697.43199998</v>
      </c>
      <c r="E1299" s="305">
        <v>0</v>
      </c>
      <c r="F1299" s="305">
        <v>1848081.182</v>
      </c>
      <c r="G1299" s="305">
        <v>0</v>
      </c>
      <c r="H1299" s="305">
        <v>0</v>
      </c>
      <c r="I1299" s="305">
        <v>0</v>
      </c>
      <c r="J1299" s="305">
        <v>417338.17800000001</v>
      </c>
      <c r="K1299" s="305">
        <v>0</v>
      </c>
      <c r="L1299" s="305">
        <v>0</v>
      </c>
      <c r="M1299" s="305">
        <v>5113.3090000000002</v>
      </c>
      <c r="N1299" s="305">
        <v>0</v>
      </c>
    </row>
    <row r="1300" spans="2:14" ht="11.25" customHeight="1" x14ac:dyDescent="0.35">
      <c r="B1300" s="244" t="s">
        <v>5341</v>
      </c>
      <c r="C1300" s="245">
        <v>123769</v>
      </c>
      <c r="D1300" s="305">
        <v>233641017.23800001</v>
      </c>
      <c r="E1300" s="305">
        <v>23330.928</v>
      </c>
      <c r="F1300" s="305">
        <v>177742.99300000002</v>
      </c>
      <c r="G1300" s="305">
        <v>1534.2760000000001</v>
      </c>
      <c r="H1300" s="305">
        <v>0</v>
      </c>
      <c r="I1300" s="305">
        <v>4085010.6230000001</v>
      </c>
      <c r="J1300" s="305">
        <v>974579.87199999997</v>
      </c>
      <c r="K1300" s="305">
        <v>1809241.0290000001</v>
      </c>
      <c r="L1300" s="305">
        <v>89927.305999999997</v>
      </c>
      <c r="M1300" s="305">
        <v>88365.877000000008</v>
      </c>
      <c r="N1300" s="305">
        <v>10645.123</v>
      </c>
    </row>
    <row r="1301" spans="2:14" ht="11.25" customHeight="1" x14ac:dyDescent="0.35">
      <c r="B1301" s="244" t="s">
        <v>5340</v>
      </c>
      <c r="C1301" s="245">
        <v>123770</v>
      </c>
      <c r="D1301" s="305">
        <v>547829714.67200005</v>
      </c>
      <c r="E1301" s="305">
        <v>23330.928</v>
      </c>
      <c r="F1301" s="305">
        <v>2025824.175</v>
      </c>
      <c r="G1301" s="305">
        <v>1534.2760000000001</v>
      </c>
      <c r="H1301" s="305">
        <v>0</v>
      </c>
      <c r="I1301" s="305">
        <v>4085010.6230000001</v>
      </c>
      <c r="J1301" s="305">
        <v>1391918.05</v>
      </c>
      <c r="K1301" s="305">
        <v>1809241.0290000001</v>
      </c>
      <c r="L1301" s="305">
        <v>89927.305999999997</v>
      </c>
      <c r="M1301" s="305">
        <v>93479.186000000002</v>
      </c>
      <c r="N1301" s="305">
        <v>10645.123</v>
      </c>
    </row>
    <row r="1302" spans="2:14" ht="11.25" customHeight="1" x14ac:dyDescent="0.35">
      <c r="B1302" s="244" t="s">
        <v>5339</v>
      </c>
      <c r="C1302" s="245">
        <v>123771</v>
      </c>
      <c r="D1302" s="305">
        <v>278132.52600000001</v>
      </c>
      <c r="E1302" s="305">
        <v>0</v>
      </c>
      <c r="F1302" s="305">
        <v>0</v>
      </c>
      <c r="G1302" s="305">
        <v>0</v>
      </c>
      <c r="H1302" s="305">
        <v>0</v>
      </c>
      <c r="I1302" s="305">
        <v>0</v>
      </c>
      <c r="J1302" s="305">
        <v>0</v>
      </c>
      <c r="K1302" s="305">
        <v>0</v>
      </c>
      <c r="L1302" s="305">
        <v>0</v>
      </c>
      <c r="M1302" s="305">
        <v>0</v>
      </c>
      <c r="N1302" s="305">
        <v>0</v>
      </c>
    </row>
    <row r="1303" spans="2:14" ht="11.25" customHeight="1" x14ac:dyDescent="0.35">
      <c r="B1303" s="244" t="s">
        <v>5338</v>
      </c>
      <c r="C1303" s="245">
        <v>123772</v>
      </c>
      <c r="D1303" s="305">
        <v>548107847.19700003</v>
      </c>
      <c r="E1303" s="305">
        <v>23330.928</v>
      </c>
      <c r="F1303" s="305">
        <v>2025824.175</v>
      </c>
      <c r="G1303" s="305">
        <v>1534.2760000000001</v>
      </c>
      <c r="H1303" s="305">
        <v>0</v>
      </c>
      <c r="I1303" s="305">
        <v>4085010.6230000001</v>
      </c>
      <c r="J1303" s="305">
        <v>1391918.05</v>
      </c>
      <c r="K1303" s="305">
        <v>1809241.0290000001</v>
      </c>
      <c r="L1303" s="305">
        <v>89927.305999999997</v>
      </c>
      <c r="M1303" s="305">
        <v>93479.186000000002</v>
      </c>
      <c r="N1303" s="305">
        <v>10645.123</v>
      </c>
    </row>
    <row r="1304" spans="2:14" ht="11.25" customHeight="1" x14ac:dyDescent="0.35">
      <c r="B1304" s="244" t="s">
        <v>4946</v>
      </c>
      <c r="C1304" s="247"/>
      <c r="D1304" s="305"/>
      <c r="E1304" s="305"/>
      <c r="F1304" s="305"/>
      <c r="G1304" s="305"/>
      <c r="H1304" s="305"/>
      <c r="I1304" s="305"/>
      <c r="J1304" s="305"/>
      <c r="K1304" s="305"/>
      <c r="L1304" s="305"/>
      <c r="M1304" s="305"/>
      <c r="N1304" s="305"/>
    </row>
    <row r="1305" spans="2:14" ht="11.25" customHeight="1" x14ac:dyDescent="0.35">
      <c r="B1305" s="244" t="s">
        <v>5337</v>
      </c>
      <c r="C1305" s="245">
        <v>123776</v>
      </c>
      <c r="D1305" s="305">
        <v>13034464.189999999</v>
      </c>
      <c r="E1305" s="305">
        <v>0</v>
      </c>
      <c r="F1305" s="305">
        <v>0</v>
      </c>
      <c r="G1305" s="305">
        <v>0</v>
      </c>
      <c r="H1305" s="305">
        <v>0</v>
      </c>
      <c r="I1305" s="305">
        <v>0</v>
      </c>
      <c r="J1305" s="305">
        <v>0</v>
      </c>
      <c r="K1305" s="305">
        <v>1714.95</v>
      </c>
      <c r="L1305" s="305">
        <v>0</v>
      </c>
      <c r="M1305" s="305">
        <v>0</v>
      </c>
      <c r="N1305" s="305">
        <v>0</v>
      </c>
    </row>
    <row r="1306" spans="2:14" ht="11.25" customHeight="1" x14ac:dyDescent="0.35">
      <c r="B1306" s="244" t="s">
        <v>5336</v>
      </c>
      <c r="C1306" s="245">
        <v>123777</v>
      </c>
      <c r="D1306" s="305">
        <v>274.29599999999999</v>
      </c>
      <c r="E1306" s="305">
        <v>0</v>
      </c>
      <c r="F1306" s="305">
        <v>0</v>
      </c>
      <c r="G1306" s="305">
        <v>0</v>
      </c>
      <c r="H1306" s="305">
        <v>0</v>
      </c>
      <c r="I1306" s="305">
        <v>0</v>
      </c>
      <c r="J1306" s="305">
        <v>0</v>
      </c>
      <c r="K1306" s="305">
        <v>0</v>
      </c>
      <c r="L1306" s="305">
        <v>0</v>
      </c>
      <c r="M1306" s="305">
        <v>0</v>
      </c>
      <c r="N1306" s="305">
        <v>0</v>
      </c>
    </row>
    <row r="1307" spans="2:14" ht="11.25" customHeight="1" x14ac:dyDescent="0.35">
      <c r="B1307" s="244" t="s">
        <v>5335</v>
      </c>
      <c r="C1307" s="245">
        <v>123778</v>
      </c>
      <c r="D1307" s="305">
        <v>117297.10100000001</v>
      </c>
      <c r="E1307" s="305">
        <v>0</v>
      </c>
      <c r="F1307" s="305">
        <v>0</v>
      </c>
      <c r="G1307" s="305">
        <v>0</v>
      </c>
      <c r="H1307" s="305">
        <v>0</v>
      </c>
      <c r="I1307" s="305">
        <v>0</v>
      </c>
      <c r="J1307" s="305">
        <v>0</v>
      </c>
      <c r="K1307" s="305">
        <v>0</v>
      </c>
      <c r="L1307" s="305">
        <v>0</v>
      </c>
      <c r="M1307" s="305">
        <v>0</v>
      </c>
      <c r="N1307" s="305">
        <v>0</v>
      </c>
    </row>
    <row r="1308" spans="2:14" ht="11.25" customHeight="1" x14ac:dyDescent="0.35">
      <c r="B1308" s="244" t="s">
        <v>5334</v>
      </c>
      <c r="C1308" s="245">
        <v>123779</v>
      </c>
      <c r="D1308" s="305">
        <v>13152035.586999999</v>
      </c>
      <c r="E1308" s="305">
        <v>0</v>
      </c>
      <c r="F1308" s="305">
        <v>0</v>
      </c>
      <c r="G1308" s="305">
        <v>0</v>
      </c>
      <c r="H1308" s="305">
        <v>0</v>
      </c>
      <c r="I1308" s="305">
        <v>0</v>
      </c>
      <c r="J1308" s="305">
        <v>0</v>
      </c>
      <c r="K1308" s="305">
        <v>1714.95</v>
      </c>
      <c r="L1308" s="305">
        <v>0</v>
      </c>
      <c r="M1308" s="305">
        <v>0</v>
      </c>
      <c r="N1308" s="305">
        <v>0</v>
      </c>
    </row>
    <row r="1309" spans="2:14" ht="11.25" customHeight="1" x14ac:dyDescent="0.35">
      <c r="B1309" s="244" t="s">
        <v>4946</v>
      </c>
      <c r="C1309" s="247"/>
      <c r="D1309" s="305"/>
      <c r="E1309" s="305"/>
      <c r="F1309" s="305"/>
      <c r="G1309" s="305"/>
      <c r="H1309" s="305"/>
      <c r="I1309" s="305"/>
      <c r="J1309" s="305"/>
      <c r="K1309" s="305"/>
      <c r="L1309" s="305"/>
      <c r="M1309" s="305"/>
      <c r="N1309" s="305"/>
    </row>
    <row r="1310" spans="2:14" ht="11.25" customHeight="1" x14ac:dyDescent="0.35">
      <c r="B1310" s="246" t="s">
        <v>5333</v>
      </c>
      <c r="C1310" s="247"/>
      <c r="D1310" s="305"/>
      <c r="E1310" s="305"/>
      <c r="F1310" s="305"/>
      <c r="G1310" s="305"/>
      <c r="H1310" s="305"/>
      <c r="I1310" s="305"/>
      <c r="J1310" s="305"/>
      <c r="K1310" s="305"/>
      <c r="L1310" s="305"/>
      <c r="M1310" s="305"/>
      <c r="N1310" s="305"/>
    </row>
    <row r="1311" spans="2:14" ht="11.25" customHeight="1" x14ac:dyDescent="0.35">
      <c r="B1311" s="244" t="s">
        <v>5332</v>
      </c>
      <c r="C1311" s="245">
        <v>123780</v>
      </c>
      <c r="D1311" s="305">
        <v>54112224.924000002</v>
      </c>
      <c r="E1311" s="305">
        <v>18790.475999999999</v>
      </c>
      <c r="F1311" s="305">
        <v>754099.33299999998</v>
      </c>
      <c r="G1311" s="305">
        <v>0</v>
      </c>
      <c r="H1311" s="305">
        <v>0</v>
      </c>
      <c r="I1311" s="305">
        <v>644.11900000000003</v>
      </c>
      <c r="J1311" s="305">
        <v>1515.9259999999999</v>
      </c>
      <c r="K1311" s="305">
        <v>397.99400000000003</v>
      </c>
      <c r="L1311" s="305">
        <v>418.51100000000002</v>
      </c>
      <c r="M1311" s="305">
        <v>0</v>
      </c>
      <c r="N1311" s="305">
        <v>3974.9740000000002</v>
      </c>
    </row>
    <row r="1312" spans="2:14" ht="11.25" customHeight="1" x14ac:dyDescent="0.35">
      <c r="B1312" s="244" t="s">
        <v>5331</v>
      </c>
      <c r="C1312" s="245">
        <v>123781</v>
      </c>
      <c r="D1312" s="305">
        <v>974401.02899999998</v>
      </c>
      <c r="E1312" s="305">
        <v>0</v>
      </c>
      <c r="F1312" s="305">
        <v>0</v>
      </c>
      <c r="G1312" s="305">
        <v>0</v>
      </c>
      <c r="H1312" s="305">
        <v>0</v>
      </c>
      <c r="I1312" s="305">
        <v>0</v>
      </c>
      <c r="J1312" s="305">
        <v>0</v>
      </c>
      <c r="K1312" s="305">
        <v>0</v>
      </c>
      <c r="L1312" s="305">
        <v>0</v>
      </c>
      <c r="M1312" s="305">
        <v>0</v>
      </c>
      <c r="N1312" s="305">
        <v>0</v>
      </c>
    </row>
    <row r="1313" spans="2:14" ht="11.25" customHeight="1" x14ac:dyDescent="0.35">
      <c r="B1313" s="244" t="s">
        <v>5330</v>
      </c>
      <c r="C1313" s="245">
        <v>123782</v>
      </c>
      <c r="D1313" s="305">
        <v>25718754.185000002</v>
      </c>
      <c r="E1313" s="305">
        <v>234674.24600000001</v>
      </c>
      <c r="F1313" s="305">
        <v>574.548</v>
      </c>
      <c r="G1313" s="305">
        <v>128325.019</v>
      </c>
      <c r="H1313" s="305">
        <v>1192441.3049999999</v>
      </c>
      <c r="I1313" s="305">
        <v>11167.834000000001</v>
      </c>
      <c r="J1313" s="305">
        <v>63961.087</v>
      </c>
      <c r="K1313" s="305">
        <v>30343.263999999999</v>
      </c>
      <c r="L1313" s="305">
        <v>26.023</v>
      </c>
      <c r="M1313" s="305">
        <v>210166.478</v>
      </c>
      <c r="N1313" s="305">
        <v>0</v>
      </c>
    </row>
    <row r="1314" spans="2:14" ht="11.25" customHeight="1" x14ac:dyDescent="0.35">
      <c r="B1314" s="244" t="s">
        <v>5329</v>
      </c>
      <c r="C1314" s="245">
        <v>123783</v>
      </c>
      <c r="D1314" s="305">
        <v>80805195.423999995</v>
      </c>
      <c r="E1314" s="305">
        <v>253464.72200000001</v>
      </c>
      <c r="F1314" s="305">
        <v>754673.88100000005</v>
      </c>
      <c r="G1314" s="305">
        <v>128325.019</v>
      </c>
      <c r="H1314" s="305">
        <v>1192441.3049999999</v>
      </c>
      <c r="I1314" s="305">
        <v>11811.953</v>
      </c>
      <c r="J1314" s="305">
        <v>65477.012999999999</v>
      </c>
      <c r="K1314" s="305">
        <v>30741.258000000002</v>
      </c>
      <c r="L1314" s="305">
        <v>444.53399999999999</v>
      </c>
      <c r="M1314" s="305">
        <v>210166.478</v>
      </c>
      <c r="N1314" s="305">
        <v>3974.9740000000002</v>
      </c>
    </row>
    <row r="1315" spans="2:14" ht="11.25" customHeight="1" x14ac:dyDescent="0.35">
      <c r="B1315" s="244" t="s">
        <v>4946</v>
      </c>
      <c r="C1315" s="247"/>
      <c r="D1315" s="305"/>
      <c r="E1315" s="305"/>
      <c r="F1315" s="305"/>
      <c r="G1315" s="305"/>
      <c r="H1315" s="305"/>
      <c r="I1315" s="305"/>
      <c r="J1315" s="305"/>
      <c r="K1315" s="305"/>
      <c r="L1315" s="305"/>
      <c r="M1315" s="305"/>
      <c r="N1315" s="305"/>
    </row>
    <row r="1316" spans="2:14" ht="11.25" customHeight="1" x14ac:dyDescent="0.35">
      <c r="B1316" s="244" t="s">
        <v>5328</v>
      </c>
      <c r="C1316" s="245">
        <v>123784</v>
      </c>
      <c r="D1316" s="305">
        <v>2988982581.651</v>
      </c>
      <c r="E1316" s="305">
        <v>0</v>
      </c>
      <c r="F1316" s="305">
        <v>3633994.1350000002</v>
      </c>
      <c r="G1316" s="305">
        <v>0</v>
      </c>
      <c r="H1316" s="305">
        <v>0</v>
      </c>
      <c r="I1316" s="305">
        <v>0</v>
      </c>
      <c r="J1316" s="305">
        <v>0</v>
      </c>
      <c r="K1316" s="305">
        <v>0</v>
      </c>
      <c r="L1316" s="305">
        <v>0</v>
      </c>
      <c r="M1316" s="305">
        <v>0</v>
      </c>
      <c r="N1316" s="305">
        <v>0</v>
      </c>
    </row>
    <row r="1317" spans="2:14" ht="11.25" customHeight="1" x14ac:dyDescent="0.35">
      <c r="B1317" s="244" t="s">
        <v>5327</v>
      </c>
      <c r="C1317" s="245">
        <v>123785</v>
      </c>
      <c r="D1317" s="305">
        <v>11668217216.585001</v>
      </c>
      <c r="E1317" s="305">
        <v>56183.796999999999</v>
      </c>
      <c r="F1317" s="305">
        <v>74631200.856000006</v>
      </c>
      <c r="G1317" s="305">
        <v>0</v>
      </c>
      <c r="H1317" s="305">
        <v>0</v>
      </c>
      <c r="I1317" s="305">
        <v>403731.489</v>
      </c>
      <c r="J1317" s="305">
        <v>41241.790999999997</v>
      </c>
      <c r="K1317" s="305">
        <v>11132.023999999999</v>
      </c>
      <c r="L1317" s="305">
        <v>41292.904000000002</v>
      </c>
      <c r="M1317" s="305">
        <v>0</v>
      </c>
      <c r="N1317" s="305">
        <v>433761.18200000003</v>
      </c>
    </row>
    <row r="1318" spans="2:14" ht="11.25" customHeight="1" x14ac:dyDescent="0.35">
      <c r="B1318" s="244" t="s">
        <v>5326</v>
      </c>
      <c r="C1318" s="245">
        <v>123786</v>
      </c>
      <c r="D1318" s="305">
        <v>14657199798.236</v>
      </c>
      <c r="E1318" s="305">
        <v>56183.796999999999</v>
      </c>
      <c r="F1318" s="305">
        <v>78265194.990999997</v>
      </c>
      <c r="G1318" s="305">
        <v>0</v>
      </c>
      <c r="H1318" s="305">
        <v>0</v>
      </c>
      <c r="I1318" s="305">
        <v>403731.489</v>
      </c>
      <c r="J1318" s="305">
        <v>41241.790999999997</v>
      </c>
      <c r="K1318" s="305">
        <v>11132.023999999999</v>
      </c>
      <c r="L1318" s="305">
        <v>41292.904000000002</v>
      </c>
      <c r="M1318" s="305">
        <v>0</v>
      </c>
      <c r="N1318" s="305">
        <v>433761.18200000003</v>
      </c>
    </row>
    <row r="1319" spans="2:14" ht="11.25" customHeight="1" x14ac:dyDescent="0.35">
      <c r="B1319" s="244" t="s">
        <v>5325</v>
      </c>
      <c r="C1319" s="245">
        <v>123787</v>
      </c>
      <c r="D1319" s="305">
        <v>92954640.511000007</v>
      </c>
      <c r="E1319" s="305">
        <v>0</v>
      </c>
      <c r="F1319" s="305">
        <v>0</v>
      </c>
      <c r="G1319" s="305">
        <v>0</v>
      </c>
      <c r="H1319" s="305">
        <v>0</v>
      </c>
      <c r="I1319" s="305">
        <v>0</v>
      </c>
      <c r="J1319" s="305">
        <v>0</v>
      </c>
      <c r="K1319" s="305">
        <v>0</v>
      </c>
      <c r="L1319" s="305">
        <v>0</v>
      </c>
      <c r="M1319" s="305">
        <v>0</v>
      </c>
      <c r="N1319" s="305">
        <v>0</v>
      </c>
    </row>
    <row r="1320" spans="2:14" ht="11.25" customHeight="1" x14ac:dyDescent="0.35">
      <c r="B1320" s="244" t="s">
        <v>5324</v>
      </c>
      <c r="C1320" s="245">
        <v>123788</v>
      </c>
      <c r="D1320" s="305">
        <v>14750154438.747</v>
      </c>
      <c r="E1320" s="305">
        <v>56183.796999999999</v>
      </c>
      <c r="F1320" s="305">
        <v>78265194.990999997</v>
      </c>
      <c r="G1320" s="305">
        <v>0</v>
      </c>
      <c r="H1320" s="305">
        <v>0</v>
      </c>
      <c r="I1320" s="305">
        <v>403731.489</v>
      </c>
      <c r="J1320" s="305">
        <v>41241.790999999997</v>
      </c>
      <c r="K1320" s="305">
        <v>11132.023999999999</v>
      </c>
      <c r="L1320" s="305">
        <v>41292.904000000002</v>
      </c>
      <c r="M1320" s="305">
        <v>0</v>
      </c>
      <c r="N1320" s="305">
        <v>433761.18200000003</v>
      </c>
    </row>
    <row r="1321" spans="2:14" ht="11.25" customHeight="1" x14ac:dyDescent="0.35">
      <c r="B1321" s="244" t="s">
        <v>4946</v>
      </c>
      <c r="C1321" s="247"/>
      <c r="D1321" s="305"/>
      <c r="E1321" s="305"/>
      <c r="F1321" s="305"/>
      <c r="G1321" s="305"/>
      <c r="H1321" s="305"/>
      <c r="I1321" s="305"/>
      <c r="J1321" s="305"/>
      <c r="K1321" s="305"/>
      <c r="L1321" s="305"/>
      <c r="M1321" s="305"/>
      <c r="N1321" s="305"/>
    </row>
    <row r="1322" spans="2:14" ht="11.25" customHeight="1" x14ac:dyDescent="0.35">
      <c r="B1322" s="244" t="s">
        <v>5323</v>
      </c>
      <c r="C1322" s="245">
        <v>123789</v>
      </c>
      <c r="D1322" s="305">
        <v>104018622.09299999</v>
      </c>
      <c r="E1322" s="305">
        <v>0</v>
      </c>
      <c r="F1322" s="305">
        <v>281352.56900000002</v>
      </c>
      <c r="G1322" s="305">
        <v>0</v>
      </c>
      <c r="H1322" s="305">
        <v>0</v>
      </c>
      <c r="I1322" s="305">
        <v>0</v>
      </c>
      <c r="J1322" s="305">
        <v>0</v>
      </c>
      <c r="K1322" s="305">
        <v>0</v>
      </c>
      <c r="L1322" s="305">
        <v>0</v>
      </c>
      <c r="M1322" s="305">
        <v>0</v>
      </c>
      <c r="N1322" s="305">
        <v>0</v>
      </c>
    </row>
    <row r="1323" spans="2:14" ht="11.25" customHeight="1" x14ac:dyDescent="0.35">
      <c r="B1323" s="244" t="s">
        <v>5322</v>
      </c>
      <c r="C1323" s="245">
        <v>123790</v>
      </c>
      <c r="D1323" s="305">
        <v>204477726.40200001</v>
      </c>
      <c r="E1323" s="305">
        <v>11541293.668</v>
      </c>
      <c r="F1323" s="305">
        <v>3672873.7409999999</v>
      </c>
      <c r="G1323" s="305">
        <v>0</v>
      </c>
      <c r="H1323" s="305">
        <v>0</v>
      </c>
      <c r="I1323" s="305">
        <v>4933.4009999999998</v>
      </c>
      <c r="J1323" s="305">
        <v>73224.284</v>
      </c>
      <c r="K1323" s="305">
        <v>62189.811000000002</v>
      </c>
      <c r="L1323" s="305">
        <v>10633.819</v>
      </c>
      <c r="M1323" s="305">
        <v>0</v>
      </c>
      <c r="N1323" s="305">
        <v>55236.207000000002</v>
      </c>
    </row>
    <row r="1324" spans="2:14" ht="11.25" customHeight="1" x14ac:dyDescent="0.35">
      <c r="B1324" s="244" t="s">
        <v>5321</v>
      </c>
      <c r="C1324" s="245">
        <v>123791</v>
      </c>
      <c r="D1324" s="305">
        <v>308496348.49199998</v>
      </c>
      <c r="E1324" s="305">
        <v>11541293.668</v>
      </c>
      <c r="F1324" s="305">
        <v>3954226.31</v>
      </c>
      <c r="G1324" s="305">
        <v>0</v>
      </c>
      <c r="H1324" s="305">
        <v>0</v>
      </c>
      <c r="I1324" s="305">
        <v>4933.4009999999998</v>
      </c>
      <c r="J1324" s="305">
        <v>73224.284</v>
      </c>
      <c r="K1324" s="305">
        <v>62189.811000000002</v>
      </c>
      <c r="L1324" s="305">
        <v>10633.819</v>
      </c>
      <c r="M1324" s="305">
        <v>0</v>
      </c>
      <c r="N1324" s="305">
        <v>55236.207000000002</v>
      </c>
    </row>
    <row r="1325" spans="2:14" ht="11.25" customHeight="1" x14ac:dyDescent="0.35">
      <c r="B1325" s="244" t="s">
        <v>5320</v>
      </c>
      <c r="C1325" s="245">
        <v>123792</v>
      </c>
      <c r="D1325" s="305">
        <v>176814.52900000001</v>
      </c>
      <c r="E1325" s="305">
        <v>0</v>
      </c>
      <c r="F1325" s="305">
        <v>0</v>
      </c>
      <c r="G1325" s="305">
        <v>0</v>
      </c>
      <c r="H1325" s="305">
        <v>0</v>
      </c>
      <c r="I1325" s="305">
        <v>0</v>
      </c>
      <c r="J1325" s="305">
        <v>0</v>
      </c>
      <c r="K1325" s="305">
        <v>0</v>
      </c>
      <c r="L1325" s="305">
        <v>0</v>
      </c>
      <c r="M1325" s="305">
        <v>0</v>
      </c>
      <c r="N1325" s="305">
        <v>0</v>
      </c>
    </row>
    <row r="1326" spans="2:14" ht="11.25" customHeight="1" x14ac:dyDescent="0.35">
      <c r="B1326" s="244" t="s">
        <v>5319</v>
      </c>
      <c r="C1326" s="245">
        <v>123793</v>
      </c>
      <c r="D1326" s="305">
        <v>308673163.02100003</v>
      </c>
      <c r="E1326" s="305">
        <v>11541293.668</v>
      </c>
      <c r="F1326" s="305">
        <v>3954226.31</v>
      </c>
      <c r="G1326" s="305">
        <v>0</v>
      </c>
      <c r="H1326" s="305">
        <v>0</v>
      </c>
      <c r="I1326" s="305">
        <v>4933.4009999999998</v>
      </c>
      <c r="J1326" s="305">
        <v>73224.284</v>
      </c>
      <c r="K1326" s="305">
        <v>62189.811000000002</v>
      </c>
      <c r="L1326" s="305">
        <v>10633.819</v>
      </c>
      <c r="M1326" s="305">
        <v>0</v>
      </c>
      <c r="N1326" s="305">
        <v>55236.207000000002</v>
      </c>
    </row>
    <row r="1327" spans="2:14" ht="11.25" customHeight="1" x14ac:dyDescent="0.35">
      <c r="B1327" s="244" t="s">
        <v>4946</v>
      </c>
      <c r="C1327" s="247"/>
      <c r="D1327" s="305"/>
      <c r="E1327" s="305"/>
      <c r="F1327" s="305"/>
      <c r="G1327" s="305"/>
      <c r="H1327" s="305"/>
      <c r="I1327" s="305"/>
      <c r="J1327" s="305"/>
      <c r="K1327" s="305"/>
      <c r="L1327" s="305"/>
      <c r="M1327" s="305"/>
      <c r="N1327" s="305"/>
    </row>
    <row r="1328" spans="2:14" ht="11.25" customHeight="1" x14ac:dyDescent="0.35">
      <c r="B1328" s="244" t="s">
        <v>5318</v>
      </c>
      <c r="C1328" s="245">
        <v>123794</v>
      </c>
      <c r="D1328" s="305">
        <v>11394605.916000001</v>
      </c>
      <c r="E1328" s="305">
        <v>0</v>
      </c>
      <c r="F1328" s="305">
        <v>0</v>
      </c>
      <c r="G1328" s="305">
        <v>0</v>
      </c>
      <c r="H1328" s="305">
        <v>202291.08800000002</v>
      </c>
      <c r="I1328" s="305">
        <v>0</v>
      </c>
      <c r="J1328" s="305">
        <v>0</v>
      </c>
      <c r="K1328" s="305">
        <v>0</v>
      </c>
      <c r="L1328" s="305">
        <v>0</v>
      </c>
      <c r="M1328" s="305">
        <v>2059382.213</v>
      </c>
      <c r="N1328" s="305">
        <v>0</v>
      </c>
    </row>
    <row r="1329" spans="2:14" ht="11.25" customHeight="1" x14ac:dyDescent="0.35">
      <c r="B1329" s="244" t="s">
        <v>5317</v>
      </c>
      <c r="C1329" s="245">
        <v>123795</v>
      </c>
      <c r="D1329" s="305">
        <v>43382913.439999998</v>
      </c>
      <c r="E1329" s="305">
        <v>4729018.3459999999</v>
      </c>
      <c r="F1329" s="305">
        <v>2185.4450000000002</v>
      </c>
      <c r="G1329" s="305">
        <v>0</v>
      </c>
      <c r="H1329" s="305">
        <v>151696.052</v>
      </c>
      <c r="I1329" s="305">
        <v>130155.02900000001</v>
      </c>
      <c r="J1329" s="305">
        <v>1879380.176</v>
      </c>
      <c r="K1329" s="305">
        <v>34449.512000000002</v>
      </c>
      <c r="L1329" s="305">
        <v>10.202999999999999</v>
      </c>
      <c r="M1329" s="305">
        <v>0</v>
      </c>
      <c r="N1329" s="305">
        <v>0</v>
      </c>
    </row>
    <row r="1330" spans="2:14" ht="11.25" customHeight="1" x14ac:dyDescent="0.35">
      <c r="B1330" s="244" t="s">
        <v>5316</v>
      </c>
      <c r="C1330" s="245">
        <v>123796</v>
      </c>
      <c r="D1330" s="305">
        <v>54777519.354000002</v>
      </c>
      <c r="E1330" s="305">
        <v>4729018.3459999999</v>
      </c>
      <c r="F1330" s="305">
        <v>2185.4450000000002</v>
      </c>
      <c r="G1330" s="305">
        <v>0</v>
      </c>
      <c r="H1330" s="305">
        <v>353987.14</v>
      </c>
      <c r="I1330" s="305">
        <v>130155.02900000001</v>
      </c>
      <c r="J1330" s="305">
        <v>1879380.176</v>
      </c>
      <c r="K1330" s="305">
        <v>34449.512000000002</v>
      </c>
      <c r="L1330" s="305">
        <v>10.202999999999999</v>
      </c>
      <c r="M1330" s="305">
        <v>2059382.213</v>
      </c>
      <c r="N1330" s="305">
        <v>0</v>
      </c>
    </row>
    <row r="1331" spans="2:14" ht="11.25" customHeight="1" x14ac:dyDescent="0.35">
      <c r="B1331" s="244" t="s">
        <v>4946</v>
      </c>
      <c r="C1331" s="247"/>
      <c r="D1331" s="305"/>
      <c r="E1331" s="305"/>
      <c r="F1331" s="305"/>
      <c r="G1331" s="305"/>
      <c r="H1331" s="305"/>
      <c r="I1331" s="305"/>
      <c r="J1331" s="305"/>
      <c r="K1331" s="305"/>
      <c r="L1331" s="305"/>
      <c r="M1331" s="305"/>
      <c r="N1331" s="305"/>
    </row>
    <row r="1332" spans="2:14" ht="11.25" customHeight="1" x14ac:dyDescent="0.35">
      <c r="B1332" s="246" t="s">
        <v>5050</v>
      </c>
      <c r="C1332" s="247"/>
      <c r="D1332" s="305"/>
      <c r="E1332" s="305"/>
      <c r="F1332" s="305"/>
      <c r="G1332" s="305"/>
      <c r="H1332" s="305"/>
      <c r="I1332" s="305"/>
      <c r="J1332" s="305"/>
      <c r="K1332" s="305"/>
      <c r="L1332" s="305"/>
      <c r="M1332" s="305"/>
      <c r="N1332" s="305"/>
    </row>
    <row r="1333" spans="2:14" ht="11.25" customHeight="1" x14ac:dyDescent="0.35">
      <c r="B1333" s="244" t="s">
        <v>5315</v>
      </c>
      <c r="C1333" s="245">
        <v>123797</v>
      </c>
      <c r="D1333" s="305">
        <v>2066923.7930000001</v>
      </c>
      <c r="E1333" s="305">
        <v>0</v>
      </c>
      <c r="F1333" s="305">
        <v>0</v>
      </c>
      <c r="G1333" s="305">
        <v>0</v>
      </c>
      <c r="H1333" s="305">
        <v>0</v>
      </c>
      <c r="I1333" s="305">
        <v>0</v>
      </c>
      <c r="J1333" s="305">
        <v>230.934</v>
      </c>
      <c r="K1333" s="305">
        <v>0</v>
      </c>
      <c r="L1333" s="305">
        <v>0</v>
      </c>
      <c r="M1333" s="305">
        <v>0</v>
      </c>
      <c r="N1333" s="305">
        <v>0</v>
      </c>
    </row>
    <row r="1334" spans="2:14" ht="11.25" customHeight="1" x14ac:dyDescent="0.35">
      <c r="B1334" s="244" t="s">
        <v>5314</v>
      </c>
      <c r="C1334" s="245">
        <v>123798</v>
      </c>
      <c r="D1334" s="305">
        <v>2774467.1839999999</v>
      </c>
      <c r="E1334" s="305">
        <v>0</v>
      </c>
      <c r="F1334" s="305">
        <v>108.56700000000001</v>
      </c>
      <c r="G1334" s="305">
        <v>1857.2460000000001</v>
      </c>
      <c r="H1334" s="305">
        <v>0</v>
      </c>
      <c r="I1334" s="305">
        <v>234.28100000000001</v>
      </c>
      <c r="J1334" s="305">
        <v>533.14599999999996</v>
      </c>
      <c r="K1334" s="305">
        <v>269.10700000000003</v>
      </c>
      <c r="L1334" s="305">
        <v>0</v>
      </c>
      <c r="M1334" s="305">
        <v>769.59</v>
      </c>
      <c r="N1334" s="305">
        <v>2777.0190000000002</v>
      </c>
    </row>
    <row r="1335" spans="2:14" ht="11.25" customHeight="1" x14ac:dyDescent="0.35">
      <c r="B1335" s="244" t="s">
        <v>5313</v>
      </c>
      <c r="C1335" s="245">
        <v>123799</v>
      </c>
      <c r="D1335" s="305">
        <v>2353514.9670000002</v>
      </c>
      <c r="E1335" s="305">
        <v>2.302</v>
      </c>
      <c r="F1335" s="305">
        <v>0</v>
      </c>
      <c r="G1335" s="305">
        <v>21921.448</v>
      </c>
      <c r="H1335" s="305">
        <v>2268.9230000000002</v>
      </c>
      <c r="I1335" s="305">
        <v>52662.597000000002</v>
      </c>
      <c r="J1335" s="305">
        <v>12752.038</v>
      </c>
      <c r="K1335" s="305">
        <v>67.134</v>
      </c>
      <c r="L1335" s="305">
        <v>0</v>
      </c>
      <c r="M1335" s="305">
        <v>6360.5910000000003</v>
      </c>
      <c r="N1335" s="305">
        <v>9.1219999999999999</v>
      </c>
    </row>
    <row r="1336" spans="2:14" ht="11.25" customHeight="1" x14ac:dyDescent="0.35">
      <c r="B1336" s="244" t="s">
        <v>5312</v>
      </c>
      <c r="C1336" s="245">
        <v>123800</v>
      </c>
      <c r="D1336" s="305">
        <v>7194905.9460000005</v>
      </c>
      <c r="E1336" s="305">
        <v>2.302</v>
      </c>
      <c r="F1336" s="305">
        <v>108.56700000000001</v>
      </c>
      <c r="G1336" s="305">
        <v>23778.694</v>
      </c>
      <c r="H1336" s="305">
        <v>2268.9230000000002</v>
      </c>
      <c r="I1336" s="305">
        <v>52896.878000000004</v>
      </c>
      <c r="J1336" s="305">
        <v>13516.118</v>
      </c>
      <c r="K1336" s="305">
        <v>336.24</v>
      </c>
      <c r="L1336" s="305">
        <v>0</v>
      </c>
      <c r="M1336" s="305">
        <v>7130.1810000000005</v>
      </c>
      <c r="N1336" s="305">
        <v>2786.1410000000001</v>
      </c>
    </row>
    <row r="1337" spans="2:14" ht="11.25" customHeight="1" x14ac:dyDescent="0.35">
      <c r="B1337" s="244" t="s">
        <v>4946</v>
      </c>
      <c r="C1337" s="247"/>
      <c r="D1337" s="305"/>
      <c r="E1337" s="305"/>
      <c r="F1337" s="305"/>
      <c r="G1337" s="305"/>
      <c r="H1337" s="305"/>
      <c r="I1337" s="305"/>
      <c r="J1337" s="305"/>
      <c r="K1337" s="305"/>
      <c r="L1337" s="305"/>
      <c r="M1337" s="305"/>
      <c r="N1337" s="305"/>
    </row>
    <row r="1338" spans="2:14" ht="11.25" customHeight="1" x14ac:dyDescent="0.35">
      <c r="B1338" s="244" t="s">
        <v>5311</v>
      </c>
      <c r="C1338" s="245">
        <v>123801</v>
      </c>
      <c r="D1338" s="305">
        <v>4872097.165</v>
      </c>
      <c r="E1338" s="305">
        <v>0</v>
      </c>
      <c r="F1338" s="305">
        <v>34248.698000000004</v>
      </c>
      <c r="G1338" s="305">
        <v>0</v>
      </c>
      <c r="H1338" s="305">
        <v>0</v>
      </c>
      <c r="I1338" s="305">
        <v>0</v>
      </c>
      <c r="J1338" s="305">
        <v>3552.1680000000001</v>
      </c>
      <c r="K1338" s="305">
        <v>0</v>
      </c>
      <c r="L1338" s="305">
        <v>0</v>
      </c>
      <c r="M1338" s="305">
        <v>1100.44</v>
      </c>
      <c r="N1338" s="305">
        <v>1.87</v>
      </c>
    </row>
    <row r="1339" spans="2:14" ht="11.25" customHeight="1" x14ac:dyDescent="0.35">
      <c r="B1339" s="244" t="s">
        <v>5310</v>
      </c>
      <c r="C1339" s="245">
        <v>123802</v>
      </c>
      <c r="D1339" s="305">
        <v>6981976.1880000001</v>
      </c>
      <c r="E1339" s="305">
        <v>196.20600000000002</v>
      </c>
      <c r="F1339" s="305">
        <v>12722.800999999999</v>
      </c>
      <c r="G1339" s="305">
        <v>963</v>
      </c>
      <c r="H1339" s="305">
        <v>0</v>
      </c>
      <c r="I1339" s="305">
        <v>24107.55</v>
      </c>
      <c r="J1339" s="305">
        <v>3620.587</v>
      </c>
      <c r="K1339" s="305">
        <v>10885.264999999999</v>
      </c>
      <c r="L1339" s="305">
        <v>2083.451</v>
      </c>
      <c r="M1339" s="305">
        <v>2355.8290000000002</v>
      </c>
      <c r="N1339" s="305">
        <v>3619.9459999999999</v>
      </c>
    </row>
    <row r="1340" spans="2:14" ht="11.25" customHeight="1" x14ac:dyDescent="0.35">
      <c r="B1340" s="244" t="s">
        <v>5309</v>
      </c>
      <c r="C1340" s="245">
        <v>123804</v>
      </c>
      <c r="D1340" s="305">
        <v>4664906.8289999999</v>
      </c>
      <c r="E1340" s="305">
        <v>319.27600000000001</v>
      </c>
      <c r="F1340" s="305">
        <v>0</v>
      </c>
      <c r="G1340" s="305">
        <v>0</v>
      </c>
      <c r="H1340" s="305">
        <v>6678.665</v>
      </c>
      <c r="I1340" s="305">
        <v>4978.9229999999998</v>
      </c>
      <c r="J1340" s="305">
        <v>20428.457999999999</v>
      </c>
      <c r="K1340" s="305">
        <v>12550.835000000001</v>
      </c>
      <c r="L1340" s="305">
        <v>7757.1360000000004</v>
      </c>
      <c r="M1340" s="305">
        <v>39185.089</v>
      </c>
      <c r="N1340" s="305">
        <v>702.26099999999997</v>
      </c>
    </row>
    <row r="1341" spans="2:14" ht="11.25" customHeight="1" thickBot="1" x14ac:dyDescent="0.4">
      <c r="B1341" s="244" t="s">
        <v>5308</v>
      </c>
      <c r="C1341" s="245">
        <v>123803</v>
      </c>
      <c r="D1341" s="305">
        <v>16518980.181</v>
      </c>
      <c r="E1341" s="305">
        <v>515.48199999999997</v>
      </c>
      <c r="F1341" s="305">
        <v>46971.499000000003</v>
      </c>
      <c r="G1341" s="305">
        <v>963</v>
      </c>
      <c r="H1341" s="305">
        <v>6678.665</v>
      </c>
      <c r="I1341" s="305">
        <v>29086.474000000002</v>
      </c>
      <c r="J1341" s="305">
        <v>27601.213</v>
      </c>
      <c r="K1341" s="305">
        <v>23436.100000000002</v>
      </c>
      <c r="L1341" s="305">
        <v>9840.5869999999995</v>
      </c>
      <c r="M1341" s="305">
        <v>42641.358</v>
      </c>
      <c r="N1341" s="305">
        <v>4324.076</v>
      </c>
    </row>
    <row r="1342" spans="2:14" ht="11.25" customHeight="1" x14ac:dyDescent="0.35">
      <c r="B1342" s="336"/>
      <c r="C1342" s="337"/>
      <c r="D1342" s="338"/>
      <c r="E1342" s="338"/>
      <c r="F1342" s="338"/>
      <c r="G1342" s="338"/>
      <c r="H1342" s="338"/>
      <c r="I1342" s="338"/>
      <c r="J1342" s="338"/>
      <c r="K1342" s="338"/>
      <c r="L1342" s="338"/>
      <c r="M1342" s="338"/>
      <c r="N1342" s="338"/>
    </row>
    <row r="1344" spans="2:14" ht="11.25" customHeight="1" x14ac:dyDescent="0.35">
      <c r="B1344" s="258"/>
      <c r="C1344" s="351"/>
      <c r="D1344" s="352"/>
      <c r="E1344" s="352"/>
      <c r="F1344" s="352"/>
      <c r="G1344" s="352"/>
      <c r="H1344" s="352"/>
      <c r="I1344" s="352"/>
      <c r="J1344" s="352"/>
      <c r="K1344" s="352"/>
      <c r="L1344" s="352"/>
      <c r="M1344" s="352"/>
      <c r="N1344" s="352"/>
    </row>
  </sheetData>
  <mergeCells count="1">
    <mergeCell ref="C8:C9"/>
  </mergeCells>
  <hyperlinks>
    <hyperlink ref="L1" location="Instructions!A1" tooltip="Go back to Instructions tab." display="Instructions" xr:uid="{00000000-0004-0000-0C00-000000000000}"/>
  </hyperlinks>
  <pageMargins left="0.5" right="0.5" top="0.5" bottom="0.5" header="0.5" footer="0.5"/>
  <pageSetup scale="54" orientation="landscape" horizontalDpi="90" verticalDpi="90" r:id="rId1"/>
  <rowBreaks count="13" manualBreakCount="13">
    <brk id="117" max="15" man="1"/>
    <brk id="154" max="16383" man="1"/>
    <brk id="215" max="16383" man="1"/>
    <brk id="451" max="16383" man="1"/>
    <brk id="499" max="16383" man="1"/>
    <brk id="599" max="16383" man="1"/>
    <brk id="894" max="16383" man="1"/>
    <brk id="958" max="16383" man="1"/>
    <brk id="999" max="16383" man="1"/>
    <brk id="1056" max="16383" man="1"/>
    <brk id="1138" max="16383" man="1"/>
    <brk id="1248" max="16383" man="1"/>
    <brk id="1285" max="16383" man="1"/>
  </rowBrea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
  <dimension ref="B1:I2419"/>
  <sheetViews>
    <sheetView showGridLines="0" workbookViewId="0"/>
  </sheetViews>
  <sheetFormatPr defaultColWidth="8.83984375" defaultRowHeight="11.25" customHeight="1" x14ac:dyDescent="0.35"/>
  <cols>
    <col min="1" max="1" width="2.68359375" style="293" customWidth="1"/>
    <col min="2" max="2" width="40.68359375" style="293" customWidth="1"/>
    <col min="3" max="3" width="8.68359375" style="293" customWidth="1"/>
    <col min="4" max="4" width="8.68359375" style="32" customWidth="1"/>
    <col min="5" max="5" width="13.26171875" style="293" customWidth="1"/>
    <col min="6" max="6" width="30.578125" style="293" customWidth="1"/>
    <col min="7" max="7" width="21.578125" style="293" bestFit="1" customWidth="1"/>
    <col min="8" max="8" width="6.68359375" style="293" customWidth="1"/>
    <col min="9" max="9" width="9.83984375" style="293" bestFit="1" customWidth="1"/>
    <col min="10" max="16384" width="8.83984375" style="293"/>
  </cols>
  <sheetData>
    <row r="1" spans="2:9" s="6" customFormat="1" ht="11.25" customHeight="1" x14ac:dyDescent="0.55000000000000004"/>
    <row r="2" spans="2:9" s="6" customFormat="1" ht="15.6" thickBot="1" x14ac:dyDescent="0.6">
      <c r="B2" s="1" t="s">
        <v>0</v>
      </c>
      <c r="C2" s="2"/>
      <c r="D2" s="3"/>
      <c r="E2" s="3"/>
      <c r="F2" s="2"/>
      <c r="G2" s="2"/>
      <c r="H2" s="2"/>
      <c r="I2" s="4"/>
    </row>
    <row r="3" spans="2:9" s="6" customFormat="1" ht="11.25" customHeight="1" x14ac:dyDescent="0.55000000000000004">
      <c r="B3" s="13" t="s">
        <v>5547</v>
      </c>
      <c r="D3" s="5"/>
      <c r="E3" s="5"/>
      <c r="I3" s="7"/>
    </row>
    <row r="4" spans="2:9" s="6" customFormat="1" ht="11.25" customHeight="1" x14ac:dyDescent="0.55000000000000004">
      <c r="B4" s="13"/>
      <c r="D4" s="5"/>
      <c r="E4" s="5"/>
      <c r="I4" s="7"/>
    </row>
    <row r="5" spans="2:9" s="6" customFormat="1" ht="11.25" customHeight="1" x14ac:dyDescent="0.55000000000000004">
      <c r="B5" s="14" t="s">
        <v>9</v>
      </c>
      <c r="D5" s="5"/>
      <c r="E5" s="5"/>
      <c r="I5" s="7"/>
    </row>
    <row r="6" spans="2:9" s="6" customFormat="1" ht="11.25" customHeight="1" x14ac:dyDescent="0.55000000000000004">
      <c r="B6" s="14" t="s">
        <v>10</v>
      </c>
      <c r="D6" s="5"/>
      <c r="E6" s="5"/>
      <c r="I6" s="7"/>
    </row>
    <row r="7" spans="2:9" s="6" customFormat="1" ht="11.25" customHeight="1" x14ac:dyDescent="0.55000000000000004">
      <c r="B7" s="15"/>
      <c r="D7" s="5"/>
      <c r="E7" s="5"/>
      <c r="I7" s="7"/>
    </row>
    <row r="8" spans="2:9" s="6" customFormat="1" ht="11.25" customHeight="1" x14ac:dyDescent="0.55000000000000004">
      <c r="B8" s="13" t="s">
        <v>5514</v>
      </c>
      <c r="D8" s="5"/>
      <c r="E8" s="5"/>
      <c r="I8" s="7"/>
    </row>
    <row r="9" spans="2:9" s="6" customFormat="1" ht="11.25" customHeight="1" x14ac:dyDescent="0.55000000000000004">
      <c r="D9" s="5"/>
      <c r="E9" s="5"/>
      <c r="I9" s="7"/>
    </row>
    <row r="10" spans="2:9" s="6" customFormat="1" ht="11.25" customHeight="1" x14ac:dyDescent="0.55000000000000004">
      <c r="B10" s="16" t="s">
        <v>11</v>
      </c>
      <c r="D10" s="461" t="s">
        <v>12</v>
      </c>
      <c r="E10" s="462"/>
      <c r="I10" s="7"/>
    </row>
    <row r="11" spans="2:9" s="6" customFormat="1" ht="11.25" customHeight="1" thickBot="1" x14ac:dyDescent="0.6">
      <c r="B11" s="17"/>
      <c r="C11" s="17"/>
      <c r="D11" s="17"/>
      <c r="E11" s="17"/>
      <c r="F11" s="17"/>
      <c r="G11" s="17"/>
      <c r="H11" s="17"/>
      <c r="I11" s="17"/>
    </row>
    <row r="12" spans="2:9" s="6" customFormat="1" ht="11.25" customHeight="1" x14ac:dyDescent="0.55000000000000004">
      <c r="D12" s="5"/>
      <c r="E12" s="5"/>
      <c r="F12" s="5"/>
      <c r="G12" s="5"/>
      <c r="H12" s="5"/>
      <c r="I12" s="5"/>
    </row>
    <row r="13" spans="2:9" s="6" customFormat="1" ht="11.25" customHeight="1" x14ac:dyDescent="0.55000000000000004">
      <c r="B13" s="29" t="s">
        <v>5396</v>
      </c>
      <c r="C13" s="19">
        <f ca="1">IF(COUNTA(OFFSET($B$13,5,0,60000,1))=0,1,COUNTA(OFFSET($B$13,5,0,60000,1)))</f>
        <v>2402</v>
      </c>
      <c r="D13" s="19">
        <f>COLUMNS($B$14:$I$14)</f>
        <v>8</v>
      </c>
      <c r="E13" s="27"/>
      <c r="F13" s="28"/>
      <c r="G13" s="28"/>
      <c r="H13" s="28"/>
      <c r="I13" s="28"/>
    </row>
    <row r="14" spans="2:9" s="6" customFormat="1" ht="32.4" x14ac:dyDescent="0.55000000000000004">
      <c r="B14" s="18" t="s">
        <v>1</v>
      </c>
      <c r="C14" s="22" t="s">
        <v>2</v>
      </c>
      <c r="D14" s="23" t="s">
        <v>3</v>
      </c>
      <c r="E14" s="24" t="s">
        <v>4</v>
      </c>
      <c r="F14" s="25" t="s">
        <v>5</v>
      </c>
      <c r="G14" s="25" t="s">
        <v>6</v>
      </c>
      <c r="H14" s="25" t="s">
        <v>7</v>
      </c>
      <c r="I14" s="26" t="s">
        <v>8</v>
      </c>
    </row>
    <row r="15" spans="2:9" s="6" customFormat="1" ht="11.25" customHeight="1" x14ac:dyDescent="0.55000000000000004">
      <c r="C15" s="20"/>
      <c r="D15" s="21">
        <v>121800</v>
      </c>
      <c r="E15" s="20">
        <v>124705</v>
      </c>
      <c r="F15" s="20">
        <v>121429</v>
      </c>
      <c r="G15" s="20">
        <v>126775</v>
      </c>
      <c r="H15" s="20">
        <v>121418</v>
      </c>
      <c r="I15" s="21">
        <v>122915</v>
      </c>
    </row>
    <row r="16" spans="2:9" s="6" customFormat="1" ht="11.25" customHeight="1" x14ac:dyDescent="0.55000000000000004">
      <c r="C16" s="8"/>
      <c r="D16" s="9"/>
      <c r="E16" s="8"/>
      <c r="F16" s="8"/>
      <c r="G16" s="8"/>
      <c r="H16" s="8"/>
      <c r="I16" s="9" t="str">
        <f>Period</f>
        <v>2014Y</v>
      </c>
    </row>
    <row r="17" spans="2:9" s="6" customFormat="1" ht="11.25" customHeight="1" x14ac:dyDescent="0.55000000000000004">
      <c r="B17" s="10"/>
      <c r="C17" s="11"/>
      <c r="D17" s="12"/>
      <c r="E17" s="11"/>
      <c r="F17" s="11"/>
      <c r="G17" s="11"/>
      <c r="H17" s="11"/>
      <c r="I17" s="12"/>
    </row>
    <row r="18" spans="2:9" s="6" customFormat="1" ht="11.25" customHeight="1" x14ac:dyDescent="0.55000000000000004">
      <c r="B18" s="30" t="s">
        <v>2452</v>
      </c>
      <c r="C18" s="30" t="s">
        <v>2453</v>
      </c>
      <c r="D18" s="32" t="s">
        <v>29</v>
      </c>
      <c r="E18" s="30" t="s">
        <v>20</v>
      </c>
      <c r="F18" s="30"/>
      <c r="G18" s="30"/>
      <c r="H18" s="30"/>
      <c r="I18" s="31">
        <v>7378229241.7130003</v>
      </c>
    </row>
    <row r="19" spans="2:9" s="6" customFormat="1" ht="11.25" customHeight="1" x14ac:dyDescent="0.55000000000000004">
      <c r="B19" s="30" t="s">
        <v>13</v>
      </c>
      <c r="C19" s="30" t="s">
        <v>14</v>
      </c>
      <c r="D19" s="32">
        <v>83976</v>
      </c>
      <c r="E19" s="30" t="s">
        <v>15</v>
      </c>
      <c r="F19" s="30"/>
      <c r="G19" s="30" t="s">
        <v>16</v>
      </c>
      <c r="H19" s="30" t="s">
        <v>17</v>
      </c>
      <c r="I19" s="31" t="s">
        <v>29</v>
      </c>
    </row>
    <row r="20" spans="2:9" s="6" customFormat="1" ht="11.25" customHeight="1" x14ac:dyDescent="0.55000000000000004">
      <c r="B20" s="30" t="s">
        <v>18</v>
      </c>
      <c r="C20" s="30" t="s">
        <v>19</v>
      </c>
      <c r="D20" s="32">
        <v>80985</v>
      </c>
      <c r="E20" s="30" t="s">
        <v>20</v>
      </c>
      <c r="F20" s="30"/>
      <c r="G20" s="30" t="s">
        <v>21</v>
      </c>
      <c r="H20" s="30" t="s">
        <v>22</v>
      </c>
      <c r="I20" s="31">
        <v>176905.416</v>
      </c>
    </row>
    <row r="21" spans="2:9" s="6" customFormat="1" ht="11.25" customHeight="1" x14ac:dyDescent="0.55000000000000004">
      <c r="B21" s="30" t="s">
        <v>23</v>
      </c>
      <c r="C21" s="30" t="s">
        <v>24</v>
      </c>
      <c r="D21" s="32">
        <v>77879</v>
      </c>
      <c r="E21" s="30" t="s">
        <v>20</v>
      </c>
      <c r="F21" s="30"/>
      <c r="G21" s="30" t="s">
        <v>25</v>
      </c>
      <c r="H21" s="30" t="s">
        <v>26</v>
      </c>
      <c r="I21" s="31">
        <v>310614.674</v>
      </c>
    </row>
    <row r="22" spans="2:9" s="6" customFormat="1" ht="11.25" customHeight="1" x14ac:dyDescent="0.55000000000000004">
      <c r="B22" s="30" t="s">
        <v>27</v>
      </c>
      <c r="C22" s="30" t="s">
        <v>28</v>
      </c>
      <c r="D22" s="32" t="s">
        <v>29</v>
      </c>
      <c r="E22" s="30" t="s">
        <v>20</v>
      </c>
      <c r="F22" s="30" t="s">
        <v>27</v>
      </c>
      <c r="G22" s="30" t="s">
        <v>25</v>
      </c>
      <c r="H22" s="30" t="s">
        <v>30</v>
      </c>
      <c r="I22" s="31">
        <v>714015.1</v>
      </c>
    </row>
    <row r="23" spans="2:9" s="6" customFormat="1" ht="11.25" customHeight="1" x14ac:dyDescent="0.55000000000000004">
      <c r="B23" s="30" t="s">
        <v>31</v>
      </c>
      <c r="C23" s="30" t="s">
        <v>32</v>
      </c>
      <c r="D23" s="32">
        <v>71854</v>
      </c>
      <c r="E23" s="30" t="s">
        <v>20</v>
      </c>
      <c r="F23" s="30" t="s">
        <v>27</v>
      </c>
      <c r="G23" s="30" t="s">
        <v>25</v>
      </c>
      <c r="H23" s="30" t="s">
        <v>30</v>
      </c>
      <c r="I23" s="31">
        <v>709879.44900000002</v>
      </c>
    </row>
    <row r="24" spans="2:9" s="6" customFormat="1" ht="11.25" customHeight="1" x14ac:dyDescent="0.55000000000000004">
      <c r="B24" s="30" t="s">
        <v>33</v>
      </c>
      <c r="C24" s="30" t="s">
        <v>34</v>
      </c>
      <c r="D24" s="32">
        <v>15282</v>
      </c>
      <c r="E24" s="30" t="s">
        <v>20</v>
      </c>
      <c r="F24" s="30" t="s">
        <v>27</v>
      </c>
      <c r="G24" s="30" t="s">
        <v>35</v>
      </c>
      <c r="H24" s="30" t="s">
        <v>30</v>
      </c>
      <c r="I24" s="31">
        <v>8092.0349999999999</v>
      </c>
    </row>
    <row r="25" spans="2:9" s="6" customFormat="1" ht="11.25" customHeight="1" x14ac:dyDescent="0.55000000000000004">
      <c r="B25" s="30" t="s">
        <v>36</v>
      </c>
      <c r="C25" s="30" t="s">
        <v>37</v>
      </c>
      <c r="D25" s="32">
        <v>71471</v>
      </c>
      <c r="E25" s="30" t="s">
        <v>20</v>
      </c>
      <c r="F25" s="30" t="s">
        <v>38</v>
      </c>
      <c r="G25" s="30" t="s">
        <v>16</v>
      </c>
      <c r="H25" s="30" t="s">
        <v>40</v>
      </c>
      <c r="I25" s="31">
        <v>731683.48800000001</v>
      </c>
    </row>
    <row r="26" spans="2:9" s="6" customFormat="1" ht="11.25" customHeight="1" x14ac:dyDescent="0.55000000000000004">
      <c r="B26" s="30" t="s">
        <v>41</v>
      </c>
      <c r="C26" s="30" t="s">
        <v>42</v>
      </c>
      <c r="D26" s="32">
        <v>60011</v>
      </c>
      <c r="E26" s="30" t="s">
        <v>15</v>
      </c>
      <c r="F26" s="30"/>
      <c r="G26" s="30"/>
      <c r="H26" s="30" t="s">
        <v>22</v>
      </c>
      <c r="I26" s="31" t="s">
        <v>29</v>
      </c>
    </row>
    <row r="27" spans="2:9" s="6" customFormat="1" ht="11.25" customHeight="1" x14ac:dyDescent="0.55000000000000004">
      <c r="B27" s="30" t="s">
        <v>43</v>
      </c>
      <c r="C27" s="30" t="s">
        <v>44</v>
      </c>
      <c r="D27" s="32">
        <v>72168</v>
      </c>
      <c r="E27" s="30" t="s">
        <v>15</v>
      </c>
      <c r="F27" s="30"/>
      <c r="G27" s="30"/>
      <c r="H27" s="30" t="s">
        <v>45</v>
      </c>
      <c r="I27" s="31" t="s">
        <v>29</v>
      </c>
    </row>
    <row r="28" spans="2:9" s="6" customFormat="1" ht="11.25" customHeight="1" x14ac:dyDescent="0.55000000000000004">
      <c r="B28" s="30" t="s">
        <v>46</v>
      </c>
      <c r="C28" s="30" t="s">
        <v>47</v>
      </c>
      <c r="D28" s="32">
        <v>81086</v>
      </c>
      <c r="E28" s="30" t="s">
        <v>15</v>
      </c>
      <c r="F28" s="30"/>
      <c r="G28" s="30"/>
      <c r="H28" s="30" t="s">
        <v>48</v>
      </c>
      <c r="I28" s="31" t="s">
        <v>29</v>
      </c>
    </row>
    <row r="29" spans="2:9" s="6" customFormat="1" ht="11.25" customHeight="1" x14ac:dyDescent="0.55000000000000004">
      <c r="B29" s="30" t="s">
        <v>49</v>
      </c>
      <c r="C29" s="30" t="s">
        <v>50</v>
      </c>
      <c r="D29" s="32">
        <v>60038</v>
      </c>
      <c r="E29" s="30" t="s">
        <v>15</v>
      </c>
      <c r="F29" s="30" t="s">
        <v>51</v>
      </c>
      <c r="G29" s="30" t="s">
        <v>35</v>
      </c>
      <c r="H29" s="30" t="s">
        <v>52</v>
      </c>
      <c r="I29" s="31" t="s">
        <v>29</v>
      </c>
    </row>
    <row r="30" spans="2:9" s="6" customFormat="1" ht="11.25" customHeight="1" x14ac:dyDescent="0.55000000000000004">
      <c r="B30" s="30" t="s">
        <v>53</v>
      </c>
      <c r="C30" s="30" t="s">
        <v>54</v>
      </c>
      <c r="D30" s="32">
        <v>85685</v>
      </c>
      <c r="E30" s="30" t="s">
        <v>15</v>
      </c>
      <c r="F30" s="30" t="s">
        <v>51</v>
      </c>
      <c r="G30" s="30"/>
      <c r="H30" s="30" t="s">
        <v>52</v>
      </c>
      <c r="I30" s="31" t="s">
        <v>29</v>
      </c>
    </row>
    <row r="31" spans="2:9" s="6" customFormat="1" ht="11.25" customHeight="1" x14ac:dyDescent="0.55000000000000004">
      <c r="B31" s="30" t="s">
        <v>55</v>
      </c>
      <c r="C31" s="30" t="s">
        <v>56</v>
      </c>
      <c r="D31" s="32">
        <v>85685</v>
      </c>
      <c r="E31" s="30" t="s">
        <v>15</v>
      </c>
      <c r="F31" s="30"/>
      <c r="G31" s="30"/>
      <c r="H31" s="30" t="s">
        <v>52</v>
      </c>
      <c r="I31" s="31" t="s">
        <v>29</v>
      </c>
    </row>
    <row r="32" spans="2:9" s="6" customFormat="1" ht="11.25" customHeight="1" x14ac:dyDescent="0.55000000000000004">
      <c r="B32" s="30" t="s">
        <v>57</v>
      </c>
      <c r="C32" s="30" t="s">
        <v>58</v>
      </c>
      <c r="D32" s="32">
        <v>65105</v>
      </c>
      <c r="E32" s="30" t="s">
        <v>20</v>
      </c>
      <c r="F32" s="30" t="s">
        <v>59</v>
      </c>
      <c r="G32" s="30" t="s">
        <v>16</v>
      </c>
      <c r="H32" s="30" t="s">
        <v>17</v>
      </c>
      <c r="I32" s="31">
        <v>5980.2219999999998</v>
      </c>
    </row>
    <row r="33" spans="2:9" s="6" customFormat="1" ht="11.25" customHeight="1" x14ac:dyDescent="0.55000000000000004">
      <c r="B33" s="30" t="s">
        <v>60</v>
      </c>
      <c r="C33" s="30" t="s">
        <v>61</v>
      </c>
      <c r="D33" s="32">
        <v>60046</v>
      </c>
      <c r="E33" s="30" t="s">
        <v>15</v>
      </c>
      <c r="F33" s="30" t="s">
        <v>62</v>
      </c>
      <c r="G33" s="30"/>
      <c r="H33" s="30" t="s">
        <v>63</v>
      </c>
      <c r="I33" s="31" t="s">
        <v>29</v>
      </c>
    </row>
    <row r="34" spans="2:9" s="6" customFormat="1" ht="11.25" customHeight="1" x14ac:dyDescent="0.55000000000000004">
      <c r="B34" s="30" t="s">
        <v>64</v>
      </c>
      <c r="C34" s="30" t="s">
        <v>65</v>
      </c>
      <c r="D34" s="32">
        <v>94153</v>
      </c>
      <c r="E34" s="30" t="s">
        <v>15</v>
      </c>
      <c r="F34" s="30"/>
      <c r="G34" s="30"/>
      <c r="H34" s="30" t="s">
        <v>66</v>
      </c>
      <c r="I34" s="31" t="s">
        <v>29</v>
      </c>
    </row>
    <row r="35" spans="2:9" s="6" customFormat="1" ht="11.25" customHeight="1" x14ac:dyDescent="0.55000000000000004">
      <c r="B35" s="30" t="s">
        <v>67</v>
      </c>
      <c r="C35" s="30" t="s">
        <v>68</v>
      </c>
      <c r="D35" s="32">
        <v>60106</v>
      </c>
      <c r="E35" s="30" t="s">
        <v>15</v>
      </c>
      <c r="F35" s="30"/>
      <c r="G35" s="30"/>
      <c r="H35" s="30" t="s">
        <v>22</v>
      </c>
      <c r="I35" s="31" t="s">
        <v>29</v>
      </c>
    </row>
    <row r="36" spans="2:9" s="6" customFormat="1" ht="11.25" customHeight="1" x14ac:dyDescent="0.55000000000000004">
      <c r="B36" s="30" t="s">
        <v>69</v>
      </c>
      <c r="C36" s="30" t="s">
        <v>70</v>
      </c>
      <c r="D36" s="32">
        <v>62200</v>
      </c>
      <c r="E36" s="30" t="s">
        <v>20</v>
      </c>
      <c r="F36" s="30" t="s">
        <v>71</v>
      </c>
      <c r="G36" s="30" t="s">
        <v>35</v>
      </c>
      <c r="H36" s="30" t="s">
        <v>63</v>
      </c>
      <c r="I36" s="31">
        <v>10071710.668</v>
      </c>
    </row>
    <row r="37" spans="2:9" s="6" customFormat="1" ht="11.25" customHeight="1" x14ac:dyDescent="0.55000000000000004">
      <c r="B37" s="30" t="s">
        <v>72</v>
      </c>
      <c r="C37" s="30" t="s">
        <v>73</v>
      </c>
      <c r="D37" s="32">
        <v>60348</v>
      </c>
      <c r="E37" s="30" t="s">
        <v>20</v>
      </c>
      <c r="F37" s="30" t="s">
        <v>74</v>
      </c>
      <c r="G37" s="30" t="s">
        <v>16</v>
      </c>
      <c r="H37" s="30" t="s">
        <v>75</v>
      </c>
      <c r="I37" s="31">
        <v>36688.608</v>
      </c>
    </row>
    <row r="38" spans="2:9" s="6" customFormat="1" ht="11.25" customHeight="1" x14ac:dyDescent="0.55000000000000004">
      <c r="B38" s="30" t="s">
        <v>76</v>
      </c>
      <c r="C38" s="30" t="s">
        <v>77</v>
      </c>
      <c r="D38" s="32">
        <v>82910</v>
      </c>
      <c r="E38" s="30" t="s">
        <v>15</v>
      </c>
      <c r="F38" s="30"/>
      <c r="G38" s="30"/>
      <c r="H38" s="30" t="s">
        <v>22</v>
      </c>
      <c r="I38" s="31" t="s">
        <v>29</v>
      </c>
    </row>
    <row r="39" spans="2:9" s="6" customFormat="1" ht="11.25" customHeight="1" x14ac:dyDescent="0.55000000000000004">
      <c r="B39" s="30" t="s">
        <v>78</v>
      </c>
      <c r="C39" s="30" t="s">
        <v>79</v>
      </c>
      <c r="D39" s="32">
        <v>91294</v>
      </c>
      <c r="E39" s="30" t="s">
        <v>15</v>
      </c>
      <c r="F39" s="30"/>
      <c r="G39" s="30" t="s">
        <v>80</v>
      </c>
      <c r="H39" s="30" t="s">
        <v>48</v>
      </c>
      <c r="I39" s="31" t="s">
        <v>29</v>
      </c>
    </row>
    <row r="40" spans="2:9" s="6" customFormat="1" ht="11.25" customHeight="1" x14ac:dyDescent="0.55000000000000004">
      <c r="B40" s="30" t="s">
        <v>81</v>
      </c>
      <c r="C40" s="30" t="s">
        <v>82</v>
      </c>
      <c r="D40" s="32">
        <v>98230</v>
      </c>
      <c r="E40" s="30" t="s">
        <v>15</v>
      </c>
      <c r="F40" s="30"/>
      <c r="G40" s="30"/>
      <c r="H40" s="30" t="s">
        <v>22</v>
      </c>
      <c r="I40" s="31" t="s">
        <v>29</v>
      </c>
    </row>
    <row r="41" spans="2:9" s="6" customFormat="1" ht="11.25" customHeight="1" x14ac:dyDescent="0.55000000000000004">
      <c r="B41" s="30" t="s">
        <v>83</v>
      </c>
      <c r="C41" s="30" t="s">
        <v>84</v>
      </c>
      <c r="D41" s="32">
        <v>12143</v>
      </c>
      <c r="E41" s="30" t="s">
        <v>20</v>
      </c>
      <c r="F41" s="30" t="s">
        <v>85</v>
      </c>
      <c r="G41" s="30" t="s">
        <v>25</v>
      </c>
      <c r="H41" s="30" t="s">
        <v>86</v>
      </c>
      <c r="I41" s="31">
        <v>65688.562999999995</v>
      </c>
    </row>
    <row r="42" spans="2:9" s="6" customFormat="1" ht="11.25" customHeight="1" x14ac:dyDescent="0.55000000000000004">
      <c r="B42" s="30" t="s">
        <v>38</v>
      </c>
      <c r="C42" s="30" t="s">
        <v>87</v>
      </c>
      <c r="D42" s="32" t="s">
        <v>29</v>
      </c>
      <c r="E42" s="30" t="s">
        <v>20</v>
      </c>
      <c r="F42" s="30" t="s">
        <v>38</v>
      </c>
      <c r="G42" s="30" t="s">
        <v>88</v>
      </c>
      <c r="H42" s="30" t="s">
        <v>89</v>
      </c>
      <c r="I42" s="31">
        <v>3650454.1669999999</v>
      </c>
    </row>
    <row r="43" spans="2:9" s="6" customFormat="1" ht="11.25" customHeight="1" x14ac:dyDescent="0.55000000000000004">
      <c r="B43" s="30" t="s">
        <v>90</v>
      </c>
      <c r="C43" s="30" t="s">
        <v>91</v>
      </c>
      <c r="D43" s="32">
        <v>89150</v>
      </c>
      <c r="E43" s="30" t="s">
        <v>15</v>
      </c>
      <c r="F43" s="30"/>
      <c r="G43" s="30"/>
      <c r="H43" s="30" t="s">
        <v>92</v>
      </c>
      <c r="I43" s="31" t="s">
        <v>29</v>
      </c>
    </row>
    <row r="44" spans="2:9" s="6" customFormat="1" ht="11.25" customHeight="1" x14ac:dyDescent="0.55000000000000004">
      <c r="B44" s="30" t="s">
        <v>93</v>
      </c>
      <c r="C44" s="30" t="s">
        <v>94</v>
      </c>
      <c r="D44" s="32">
        <v>78700</v>
      </c>
      <c r="E44" s="30" t="s">
        <v>20</v>
      </c>
      <c r="F44" s="30" t="s">
        <v>95</v>
      </c>
      <c r="G44" s="30" t="s">
        <v>39</v>
      </c>
      <c r="H44" s="30" t="s">
        <v>96</v>
      </c>
      <c r="I44" s="31">
        <v>134547.91099999999</v>
      </c>
    </row>
    <row r="45" spans="2:9" s="6" customFormat="1" ht="11.25" customHeight="1" x14ac:dyDescent="0.55000000000000004">
      <c r="B45" s="30" t="s">
        <v>97</v>
      </c>
      <c r="C45" s="30" t="s">
        <v>98</v>
      </c>
      <c r="D45" s="32">
        <v>60054</v>
      </c>
      <c r="E45" s="30" t="s">
        <v>20</v>
      </c>
      <c r="F45" s="30" t="s">
        <v>95</v>
      </c>
      <c r="G45" s="30" t="s">
        <v>39</v>
      </c>
      <c r="H45" s="30" t="s">
        <v>96</v>
      </c>
      <c r="I45" s="31">
        <v>22016493.852000002</v>
      </c>
    </row>
    <row r="46" spans="2:9" s="6" customFormat="1" ht="11.25" customHeight="1" x14ac:dyDescent="0.55000000000000004">
      <c r="B46" s="30" t="s">
        <v>99</v>
      </c>
      <c r="C46" s="30" t="s">
        <v>100</v>
      </c>
      <c r="D46" s="32">
        <v>60054</v>
      </c>
      <c r="E46" s="30" t="s">
        <v>20</v>
      </c>
      <c r="F46" s="30"/>
      <c r="G46" s="30"/>
      <c r="H46" s="30" t="s">
        <v>96</v>
      </c>
      <c r="I46" s="31" t="s">
        <v>29</v>
      </c>
    </row>
    <row r="47" spans="2:9" s="6" customFormat="1" ht="11.25" customHeight="1" x14ac:dyDescent="0.55000000000000004">
      <c r="B47" s="30" t="s">
        <v>101</v>
      </c>
      <c r="C47" s="30" t="s">
        <v>102</v>
      </c>
      <c r="D47" s="32">
        <v>60054</v>
      </c>
      <c r="E47" s="30" t="s">
        <v>20</v>
      </c>
      <c r="F47" s="30"/>
      <c r="G47" s="30"/>
      <c r="H47" s="30" t="s">
        <v>96</v>
      </c>
      <c r="I47" s="31" t="s">
        <v>29</v>
      </c>
    </row>
    <row r="48" spans="2:9" s="6" customFormat="1" ht="11.25" customHeight="1" x14ac:dyDescent="0.55000000000000004">
      <c r="B48" s="30" t="s">
        <v>103</v>
      </c>
      <c r="C48" s="30" t="s">
        <v>104</v>
      </c>
      <c r="D48" s="32">
        <v>76490</v>
      </c>
      <c r="E48" s="30" t="s">
        <v>15</v>
      </c>
      <c r="F48" s="30"/>
      <c r="G48" s="30"/>
      <c r="H48" s="30" t="s">
        <v>105</v>
      </c>
      <c r="I48" s="31" t="s">
        <v>29</v>
      </c>
    </row>
    <row r="49" spans="2:9" s="6" customFormat="1" ht="11.25" customHeight="1" x14ac:dyDescent="0.55000000000000004">
      <c r="B49" s="30" t="s">
        <v>106</v>
      </c>
      <c r="C49" s="30" t="s">
        <v>107</v>
      </c>
      <c r="D49" s="32" t="s">
        <v>29</v>
      </c>
      <c r="E49" s="30" t="s">
        <v>20</v>
      </c>
      <c r="F49" s="30" t="s">
        <v>106</v>
      </c>
      <c r="G49" s="30" t="s">
        <v>39</v>
      </c>
      <c r="H49" s="30" t="s">
        <v>108</v>
      </c>
      <c r="I49" s="31">
        <v>15426194.484000001</v>
      </c>
    </row>
    <row r="50" spans="2:9" s="6" customFormat="1" ht="11.25" customHeight="1" x14ac:dyDescent="0.55000000000000004">
      <c r="B50" s="30" t="s">
        <v>109</v>
      </c>
      <c r="C50" s="30" t="s">
        <v>110</v>
      </c>
      <c r="D50" s="32">
        <v>16270</v>
      </c>
      <c r="E50" s="30" t="s">
        <v>15</v>
      </c>
      <c r="F50" s="30" t="s">
        <v>106</v>
      </c>
      <c r="G50" s="30" t="s">
        <v>25</v>
      </c>
      <c r="H50" s="30" t="s">
        <v>108</v>
      </c>
      <c r="I50" s="31" t="s">
        <v>29</v>
      </c>
    </row>
    <row r="51" spans="2:9" s="6" customFormat="1" ht="11.25" customHeight="1" x14ac:dyDescent="0.55000000000000004">
      <c r="B51" s="30" t="s">
        <v>111</v>
      </c>
      <c r="C51" s="30" t="s">
        <v>112</v>
      </c>
      <c r="D51" s="32">
        <v>78670</v>
      </c>
      <c r="E51" s="30" t="s">
        <v>15</v>
      </c>
      <c r="F51" s="30"/>
      <c r="G51" s="30"/>
      <c r="H51" s="30" t="s">
        <v>113</v>
      </c>
      <c r="I51" s="31" t="s">
        <v>29</v>
      </c>
    </row>
    <row r="52" spans="2:9" s="6" customFormat="1" ht="11.25" customHeight="1" x14ac:dyDescent="0.55000000000000004">
      <c r="B52" s="30" t="s">
        <v>114</v>
      </c>
      <c r="C52" s="30" t="s">
        <v>115</v>
      </c>
      <c r="D52" s="32">
        <v>97780</v>
      </c>
      <c r="E52" s="30" t="s">
        <v>20</v>
      </c>
      <c r="F52" s="30" t="s">
        <v>116</v>
      </c>
      <c r="G52" s="30" t="s">
        <v>35</v>
      </c>
      <c r="H52" s="30" t="s">
        <v>113</v>
      </c>
      <c r="I52" s="31">
        <v>10871947.518000001</v>
      </c>
    </row>
    <row r="53" spans="2:9" s="6" customFormat="1" ht="11.25" customHeight="1" x14ac:dyDescent="0.55000000000000004">
      <c r="B53" s="30" t="s">
        <v>117</v>
      </c>
      <c r="C53" s="30" t="s">
        <v>118</v>
      </c>
      <c r="D53" s="32">
        <v>69027</v>
      </c>
      <c r="E53" s="30" t="s">
        <v>15</v>
      </c>
      <c r="F53" s="30"/>
      <c r="G53" s="30"/>
      <c r="H53" s="30" t="s">
        <v>52</v>
      </c>
      <c r="I53" s="31" t="s">
        <v>29</v>
      </c>
    </row>
    <row r="54" spans="2:9" s="6" customFormat="1" ht="11.25" customHeight="1" x14ac:dyDescent="0.55000000000000004">
      <c r="B54" s="30" t="s">
        <v>119</v>
      </c>
      <c r="C54" s="30" t="s">
        <v>120</v>
      </c>
      <c r="D54" s="32">
        <v>60136</v>
      </c>
      <c r="E54" s="30" t="s">
        <v>15</v>
      </c>
      <c r="F54" s="30"/>
      <c r="G54" s="30"/>
      <c r="H54" s="30" t="s">
        <v>30</v>
      </c>
      <c r="I54" s="31" t="s">
        <v>29</v>
      </c>
    </row>
    <row r="55" spans="2:9" s="6" customFormat="1" ht="11.25" customHeight="1" x14ac:dyDescent="0.55000000000000004">
      <c r="B55" s="30" t="s">
        <v>121</v>
      </c>
      <c r="C55" s="30" t="s">
        <v>122</v>
      </c>
      <c r="D55" s="32">
        <v>13771</v>
      </c>
      <c r="E55" s="30" t="s">
        <v>15</v>
      </c>
      <c r="F55" s="30"/>
      <c r="G55" s="30" t="s">
        <v>16</v>
      </c>
      <c r="H55" s="30"/>
      <c r="I55" s="31" t="s">
        <v>29</v>
      </c>
    </row>
    <row r="56" spans="2:9" s="6" customFormat="1" ht="11.25" customHeight="1" x14ac:dyDescent="0.55000000000000004">
      <c r="B56" s="30" t="s">
        <v>116</v>
      </c>
      <c r="C56" s="30" t="s">
        <v>123</v>
      </c>
      <c r="D56" s="32" t="s">
        <v>29</v>
      </c>
      <c r="E56" s="30" t="s">
        <v>20</v>
      </c>
      <c r="F56" s="30" t="s">
        <v>116</v>
      </c>
      <c r="G56" s="30" t="s">
        <v>155</v>
      </c>
      <c r="H56" s="30" t="s">
        <v>124</v>
      </c>
      <c r="I56" s="31">
        <v>308075031.74400002</v>
      </c>
    </row>
    <row r="57" spans="2:9" s="6" customFormat="1" ht="11.25" customHeight="1" x14ac:dyDescent="0.55000000000000004">
      <c r="B57" s="30" t="s">
        <v>125</v>
      </c>
      <c r="C57" s="30" t="s">
        <v>126</v>
      </c>
      <c r="D57" s="32" t="s">
        <v>29</v>
      </c>
      <c r="E57" s="30" t="s">
        <v>20</v>
      </c>
      <c r="F57" s="30"/>
      <c r="G57" s="30"/>
      <c r="H57" s="30" t="s">
        <v>124</v>
      </c>
      <c r="I57" s="31" t="s">
        <v>29</v>
      </c>
    </row>
    <row r="58" spans="2:9" s="6" customFormat="1" ht="11.25" customHeight="1" x14ac:dyDescent="0.55000000000000004">
      <c r="B58" s="30" t="s">
        <v>127</v>
      </c>
      <c r="C58" s="30" t="s">
        <v>128</v>
      </c>
      <c r="D58" s="32">
        <v>60615</v>
      </c>
      <c r="E58" s="30" t="s">
        <v>15</v>
      </c>
      <c r="F58" s="30" t="s">
        <v>116</v>
      </c>
      <c r="G58" s="30" t="s">
        <v>129</v>
      </c>
      <c r="H58" s="30" t="s">
        <v>130</v>
      </c>
      <c r="I58" s="31" t="s">
        <v>29</v>
      </c>
    </row>
    <row r="59" spans="2:9" s="6" customFormat="1" ht="11.25" customHeight="1" x14ac:dyDescent="0.55000000000000004">
      <c r="B59" s="30" t="s">
        <v>131</v>
      </c>
      <c r="C59" s="30" t="s">
        <v>132</v>
      </c>
      <c r="D59" s="32">
        <v>13034</v>
      </c>
      <c r="E59" s="30" t="s">
        <v>20</v>
      </c>
      <c r="F59" s="30"/>
      <c r="G59" s="30" t="s">
        <v>35</v>
      </c>
      <c r="H59" s="30" t="s">
        <v>48</v>
      </c>
      <c r="I59" s="31">
        <v>22167.933000000001</v>
      </c>
    </row>
    <row r="60" spans="2:9" s="6" customFormat="1" ht="11.25" customHeight="1" x14ac:dyDescent="0.55000000000000004">
      <c r="B60" s="30" t="s">
        <v>133</v>
      </c>
      <c r="C60" s="30" t="s">
        <v>134</v>
      </c>
      <c r="D60" s="32">
        <v>94331</v>
      </c>
      <c r="E60" s="30" t="s">
        <v>15</v>
      </c>
      <c r="F60" s="30"/>
      <c r="G60" s="30" t="s">
        <v>35</v>
      </c>
      <c r="H60" s="30" t="s">
        <v>48</v>
      </c>
      <c r="I60" s="31" t="s">
        <v>29</v>
      </c>
    </row>
    <row r="61" spans="2:9" s="6" customFormat="1" ht="11.25" customHeight="1" x14ac:dyDescent="0.55000000000000004">
      <c r="B61" s="30" t="s">
        <v>135</v>
      </c>
      <c r="C61" s="30" t="s">
        <v>136</v>
      </c>
      <c r="D61" s="32">
        <v>94064</v>
      </c>
      <c r="E61" s="30" t="s">
        <v>15</v>
      </c>
      <c r="F61" s="30" t="s">
        <v>137</v>
      </c>
      <c r="G61" s="30"/>
      <c r="H61" s="30" t="s">
        <v>30</v>
      </c>
      <c r="I61" s="31" t="s">
        <v>29</v>
      </c>
    </row>
    <row r="62" spans="2:9" s="6" customFormat="1" ht="11.25" customHeight="1" x14ac:dyDescent="0.55000000000000004">
      <c r="B62" s="30" t="s">
        <v>138</v>
      </c>
      <c r="C62" s="30" t="s">
        <v>139</v>
      </c>
      <c r="D62" s="32">
        <v>94064</v>
      </c>
      <c r="E62" s="30" t="s">
        <v>15</v>
      </c>
      <c r="F62" s="30"/>
      <c r="G62" s="30"/>
      <c r="H62" s="30" t="s">
        <v>30</v>
      </c>
      <c r="I62" s="31" t="s">
        <v>29</v>
      </c>
    </row>
    <row r="63" spans="2:9" s="6" customFormat="1" ht="11.25" customHeight="1" x14ac:dyDescent="0.55000000000000004">
      <c r="B63" s="30" t="s">
        <v>140</v>
      </c>
      <c r="C63" s="30" t="s">
        <v>141</v>
      </c>
      <c r="D63" s="32">
        <v>79049</v>
      </c>
      <c r="E63" s="30" t="s">
        <v>20</v>
      </c>
      <c r="F63" s="30"/>
      <c r="G63" s="30" t="s">
        <v>35</v>
      </c>
      <c r="H63" s="30" t="s">
        <v>48</v>
      </c>
      <c r="I63" s="31">
        <v>1543933.1140000001</v>
      </c>
    </row>
    <row r="64" spans="2:9" s="6" customFormat="1" ht="11.25" customHeight="1" x14ac:dyDescent="0.55000000000000004">
      <c r="B64" s="30" t="s">
        <v>142</v>
      </c>
      <c r="C64" s="30" t="s">
        <v>143</v>
      </c>
      <c r="D64" s="32">
        <v>91952</v>
      </c>
      <c r="E64" s="30" t="s">
        <v>15</v>
      </c>
      <c r="F64" s="30"/>
      <c r="G64" s="30"/>
      <c r="H64" s="30" t="s">
        <v>113</v>
      </c>
      <c r="I64" s="31" t="s">
        <v>29</v>
      </c>
    </row>
    <row r="65" spans="2:9" s="6" customFormat="1" ht="11.25" customHeight="1" x14ac:dyDescent="0.55000000000000004">
      <c r="B65" s="30" t="s">
        <v>144</v>
      </c>
      <c r="C65" s="30" t="s">
        <v>145</v>
      </c>
      <c r="D65" s="32">
        <v>60097</v>
      </c>
      <c r="E65" s="30" t="s">
        <v>15</v>
      </c>
      <c r="F65" s="30" t="s">
        <v>116</v>
      </c>
      <c r="G65" s="30"/>
      <c r="H65" s="30" t="s">
        <v>146</v>
      </c>
      <c r="I65" s="31" t="s">
        <v>29</v>
      </c>
    </row>
    <row r="66" spans="2:9" s="6" customFormat="1" ht="11.25" customHeight="1" x14ac:dyDescent="0.55000000000000004">
      <c r="B66" s="30" t="s">
        <v>147</v>
      </c>
      <c r="C66" s="30" t="s">
        <v>148</v>
      </c>
      <c r="D66" s="32">
        <v>82406</v>
      </c>
      <c r="E66" s="30" t="s">
        <v>20</v>
      </c>
      <c r="F66" s="30" t="s">
        <v>149</v>
      </c>
      <c r="G66" s="30" t="s">
        <v>21</v>
      </c>
      <c r="H66" s="30" t="s">
        <v>150</v>
      </c>
      <c r="I66" s="31">
        <v>606214.09400000004</v>
      </c>
    </row>
    <row r="67" spans="2:9" s="6" customFormat="1" ht="11.25" customHeight="1" x14ac:dyDescent="0.55000000000000004">
      <c r="B67" s="30" t="s">
        <v>151</v>
      </c>
      <c r="C67" s="30" t="s">
        <v>152</v>
      </c>
      <c r="D67" s="32">
        <v>73130</v>
      </c>
      <c r="E67" s="30" t="s">
        <v>20</v>
      </c>
      <c r="F67" s="30" t="s">
        <v>149</v>
      </c>
      <c r="G67" s="30" t="s">
        <v>16</v>
      </c>
      <c r="H67" s="30" t="s">
        <v>150</v>
      </c>
      <c r="I67" s="31">
        <v>6376.0630000000001</v>
      </c>
    </row>
    <row r="68" spans="2:9" s="6" customFormat="1" ht="11.25" customHeight="1" x14ac:dyDescent="0.55000000000000004">
      <c r="B68" s="30" t="s">
        <v>153</v>
      </c>
      <c r="C68" s="30" t="s">
        <v>154</v>
      </c>
      <c r="D68" s="32" t="s">
        <v>29</v>
      </c>
      <c r="E68" s="30" t="s">
        <v>20</v>
      </c>
      <c r="F68" s="30" t="s">
        <v>153</v>
      </c>
      <c r="G68" s="30" t="s">
        <v>155</v>
      </c>
      <c r="H68" s="30" t="s">
        <v>156</v>
      </c>
      <c r="I68" s="31">
        <v>162158729.68900001</v>
      </c>
    </row>
    <row r="69" spans="2:9" s="6" customFormat="1" ht="11.25" customHeight="1" x14ac:dyDescent="0.55000000000000004">
      <c r="B69" s="30" t="s">
        <v>157</v>
      </c>
      <c r="C69" s="30" t="s">
        <v>158</v>
      </c>
      <c r="D69" s="32" t="s">
        <v>29</v>
      </c>
      <c r="E69" s="30" t="s">
        <v>20</v>
      </c>
      <c r="F69" s="30"/>
      <c r="G69" s="30"/>
      <c r="H69" s="30"/>
      <c r="I69" s="31" t="s">
        <v>29</v>
      </c>
    </row>
    <row r="70" spans="2:9" s="6" customFormat="1" ht="11.25" customHeight="1" x14ac:dyDescent="0.55000000000000004">
      <c r="B70" s="30" t="s">
        <v>159</v>
      </c>
      <c r="C70" s="30" t="s">
        <v>160</v>
      </c>
      <c r="D70" s="32">
        <v>90611</v>
      </c>
      <c r="E70" s="30" t="s">
        <v>20</v>
      </c>
      <c r="F70" s="30" t="s">
        <v>153</v>
      </c>
      <c r="G70" s="30" t="s">
        <v>155</v>
      </c>
      <c r="H70" s="30" t="s">
        <v>156</v>
      </c>
      <c r="I70" s="31">
        <v>158483659.81999999</v>
      </c>
    </row>
    <row r="71" spans="2:9" s="6" customFormat="1" ht="11.25" customHeight="1" x14ac:dyDescent="0.55000000000000004">
      <c r="B71" s="30" t="s">
        <v>161</v>
      </c>
      <c r="C71" s="30" t="s">
        <v>162</v>
      </c>
      <c r="D71" s="32">
        <v>90611</v>
      </c>
      <c r="E71" s="30" t="s">
        <v>20</v>
      </c>
      <c r="F71" s="30"/>
      <c r="G71" s="30"/>
      <c r="H71" s="30" t="s">
        <v>156</v>
      </c>
      <c r="I71" s="31" t="s">
        <v>29</v>
      </c>
    </row>
    <row r="72" spans="2:9" s="6" customFormat="1" ht="11.25" customHeight="1" x14ac:dyDescent="0.55000000000000004">
      <c r="B72" s="30" t="s">
        <v>163</v>
      </c>
      <c r="C72" s="30" t="s">
        <v>164</v>
      </c>
      <c r="D72" s="32">
        <v>90611</v>
      </c>
      <c r="E72" s="30" t="s">
        <v>20</v>
      </c>
      <c r="F72" s="30"/>
      <c r="G72" s="30"/>
      <c r="H72" s="30" t="s">
        <v>156</v>
      </c>
      <c r="I72" s="31" t="s">
        <v>29</v>
      </c>
    </row>
    <row r="73" spans="2:9" s="6" customFormat="1" ht="11.25" customHeight="1" x14ac:dyDescent="0.55000000000000004">
      <c r="B73" s="30" t="s">
        <v>165</v>
      </c>
      <c r="C73" s="30" t="s">
        <v>166</v>
      </c>
      <c r="D73" s="32">
        <v>90611</v>
      </c>
      <c r="E73" s="30" t="s">
        <v>20</v>
      </c>
      <c r="F73" s="30"/>
      <c r="G73" s="30"/>
      <c r="H73" s="30" t="s">
        <v>156</v>
      </c>
      <c r="I73" s="31" t="s">
        <v>29</v>
      </c>
    </row>
    <row r="74" spans="2:9" s="6" customFormat="1" ht="11.25" customHeight="1" x14ac:dyDescent="0.55000000000000004">
      <c r="B74" s="30" t="s">
        <v>167</v>
      </c>
      <c r="C74" s="30" t="s">
        <v>168</v>
      </c>
      <c r="D74" s="32">
        <v>64190</v>
      </c>
      <c r="E74" s="30" t="s">
        <v>20</v>
      </c>
      <c r="F74" s="30" t="s">
        <v>153</v>
      </c>
      <c r="G74" s="30" t="s">
        <v>155</v>
      </c>
      <c r="H74" s="30" t="s">
        <v>156</v>
      </c>
      <c r="I74" s="31">
        <v>3846405.9020000002</v>
      </c>
    </row>
    <row r="75" spans="2:9" s="6" customFormat="1" ht="11.25" customHeight="1" x14ac:dyDescent="0.55000000000000004">
      <c r="B75" s="30" t="s">
        <v>169</v>
      </c>
      <c r="C75" s="30" t="s">
        <v>170</v>
      </c>
      <c r="D75" s="32">
        <v>64190</v>
      </c>
      <c r="E75" s="30" t="s">
        <v>20</v>
      </c>
      <c r="F75" s="30"/>
      <c r="G75" s="30"/>
      <c r="H75" s="30" t="s">
        <v>156</v>
      </c>
      <c r="I75" s="31" t="s">
        <v>29</v>
      </c>
    </row>
    <row r="76" spans="2:9" s="6" customFormat="1" ht="11.25" customHeight="1" x14ac:dyDescent="0.55000000000000004">
      <c r="B76" s="30" t="s">
        <v>171</v>
      </c>
      <c r="C76" s="30" t="s">
        <v>172</v>
      </c>
      <c r="D76" s="32">
        <v>64190</v>
      </c>
      <c r="E76" s="30" t="s">
        <v>20</v>
      </c>
      <c r="F76" s="30"/>
      <c r="G76" s="30"/>
      <c r="H76" s="30" t="s">
        <v>156</v>
      </c>
      <c r="I76" s="31" t="s">
        <v>29</v>
      </c>
    </row>
    <row r="77" spans="2:9" s="6" customFormat="1" ht="11.25" customHeight="1" x14ac:dyDescent="0.55000000000000004">
      <c r="B77" s="30" t="s">
        <v>173</v>
      </c>
      <c r="C77" s="30" t="s">
        <v>174</v>
      </c>
      <c r="D77" s="32">
        <v>64190</v>
      </c>
      <c r="E77" s="30" t="s">
        <v>20</v>
      </c>
      <c r="F77" s="30"/>
      <c r="G77" s="30"/>
      <c r="H77" s="30" t="s">
        <v>156</v>
      </c>
      <c r="I77" s="31" t="s">
        <v>29</v>
      </c>
    </row>
    <row r="78" spans="2:9" s="6" customFormat="1" ht="11.25" customHeight="1" x14ac:dyDescent="0.55000000000000004">
      <c r="B78" s="30" t="s">
        <v>175</v>
      </c>
      <c r="C78" s="30" t="s">
        <v>176</v>
      </c>
      <c r="D78" s="32">
        <v>82228</v>
      </c>
      <c r="E78" s="30" t="s">
        <v>15</v>
      </c>
      <c r="F78" s="30"/>
      <c r="G78" s="30" t="s">
        <v>25</v>
      </c>
      <c r="H78" s="30" t="s">
        <v>113</v>
      </c>
      <c r="I78" s="31" t="s">
        <v>29</v>
      </c>
    </row>
    <row r="79" spans="2:9" s="6" customFormat="1" ht="11.25" customHeight="1" x14ac:dyDescent="0.55000000000000004">
      <c r="B79" s="30" t="s">
        <v>177</v>
      </c>
      <c r="C79" s="30" t="s">
        <v>178</v>
      </c>
      <c r="D79" s="32">
        <v>60209</v>
      </c>
      <c r="E79" s="30" t="s">
        <v>15</v>
      </c>
      <c r="F79" s="30"/>
      <c r="G79" s="30"/>
      <c r="H79" s="30" t="s">
        <v>179</v>
      </c>
      <c r="I79" s="31" t="s">
        <v>29</v>
      </c>
    </row>
    <row r="80" spans="2:9" s="6" customFormat="1" ht="11.25" customHeight="1" x14ac:dyDescent="0.55000000000000004">
      <c r="B80" s="30" t="s">
        <v>180</v>
      </c>
      <c r="C80" s="30" t="s">
        <v>181</v>
      </c>
      <c r="D80" s="32">
        <v>60178</v>
      </c>
      <c r="E80" s="30" t="s">
        <v>15</v>
      </c>
      <c r="F80" s="30" t="s">
        <v>182</v>
      </c>
      <c r="G80" s="30"/>
      <c r="H80" s="30" t="s">
        <v>63</v>
      </c>
      <c r="I80" s="31" t="s">
        <v>29</v>
      </c>
    </row>
    <row r="81" spans="2:9" s="6" customFormat="1" ht="11.25" customHeight="1" x14ac:dyDescent="0.55000000000000004">
      <c r="B81" s="30" t="s">
        <v>183</v>
      </c>
      <c r="C81" s="30" t="s">
        <v>184</v>
      </c>
      <c r="D81" s="32">
        <v>79030</v>
      </c>
      <c r="E81" s="30" t="s">
        <v>15</v>
      </c>
      <c r="F81" s="30" t="s">
        <v>185</v>
      </c>
      <c r="G81" s="30"/>
      <c r="H81" s="30" t="s">
        <v>146</v>
      </c>
      <c r="I81" s="31" t="s">
        <v>29</v>
      </c>
    </row>
    <row r="82" spans="2:9" s="6" customFormat="1" ht="11.25" customHeight="1" x14ac:dyDescent="0.55000000000000004">
      <c r="B82" s="30" t="s">
        <v>186</v>
      </c>
      <c r="C82" s="30" t="s">
        <v>187</v>
      </c>
      <c r="D82" s="32">
        <v>70866</v>
      </c>
      <c r="E82" s="30" t="s">
        <v>20</v>
      </c>
      <c r="F82" s="30" t="s">
        <v>188</v>
      </c>
      <c r="G82" s="30" t="s">
        <v>35</v>
      </c>
      <c r="H82" s="30" t="s">
        <v>22</v>
      </c>
      <c r="I82" s="31">
        <v>775951.12800000003</v>
      </c>
    </row>
    <row r="83" spans="2:9" s="6" customFormat="1" ht="11.25" customHeight="1" x14ac:dyDescent="0.55000000000000004">
      <c r="B83" s="30" t="s">
        <v>189</v>
      </c>
      <c r="C83" s="30" t="s">
        <v>190</v>
      </c>
      <c r="D83" s="32">
        <v>70866</v>
      </c>
      <c r="E83" s="30" t="s">
        <v>20</v>
      </c>
      <c r="F83" s="30"/>
      <c r="G83" s="30"/>
      <c r="H83" s="30" t="s">
        <v>22</v>
      </c>
      <c r="I83" s="31" t="s">
        <v>29</v>
      </c>
    </row>
    <row r="84" spans="2:9" s="6" customFormat="1" ht="11.25" customHeight="1" x14ac:dyDescent="0.55000000000000004">
      <c r="B84" s="30" t="s">
        <v>191</v>
      </c>
      <c r="C84" s="30" t="s">
        <v>192</v>
      </c>
      <c r="D84" s="32">
        <v>70866</v>
      </c>
      <c r="E84" s="30" t="s">
        <v>20</v>
      </c>
      <c r="F84" s="30"/>
      <c r="G84" s="30"/>
      <c r="H84" s="30" t="s">
        <v>22</v>
      </c>
      <c r="I84" s="31" t="s">
        <v>29</v>
      </c>
    </row>
    <row r="85" spans="2:9" s="6" customFormat="1" ht="11.25" customHeight="1" x14ac:dyDescent="0.55000000000000004">
      <c r="B85" s="30" t="s">
        <v>188</v>
      </c>
      <c r="C85" s="30" t="s">
        <v>193</v>
      </c>
      <c r="D85" s="32" t="s">
        <v>29</v>
      </c>
      <c r="E85" s="30" t="s">
        <v>20</v>
      </c>
      <c r="F85" s="30" t="s">
        <v>188</v>
      </c>
      <c r="G85" s="30" t="s">
        <v>194</v>
      </c>
      <c r="H85" s="30" t="s">
        <v>22</v>
      </c>
      <c r="I85" s="31">
        <v>38613634.178000003</v>
      </c>
    </row>
    <row r="86" spans="2:9" s="6" customFormat="1" ht="11.25" customHeight="1" x14ac:dyDescent="0.55000000000000004">
      <c r="B86" s="30" t="s">
        <v>195</v>
      </c>
      <c r="C86" s="30" t="s">
        <v>196</v>
      </c>
      <c r="D86" s="32" t="s">
        <v>29</v>
      </c>
      <c r="E86" s="30" t="s">
        <v>20</v>
      </c>
      <c r="F86" s="30"/>
      <c r="G86" s="30"/>
      <c r="H86" s="30" t="s">
        <v>22</v>
      </c>
      <c r="I86" s="31" t="s">
        <v>29</v>
      </c>
    </row>
    <row r="87" spans="2:9" s="6" customFormat="1" ht="11.25" customHeight="1" x14ac:dyDescent="0.55000000000000004">
      <c r="B87" s="30" t="s">
        <v>197</v>
      </c>
      <c r="C87" s="30" t="s">
        <v>198</v>
      </c>
      <c r="D87" s="32">
        <v>70874</v>
      </c>
      <c r="E87" s="30" t="s">
        <v>20</v>
      </c>
      <c r="F87" s="30" t="s">
        <v>188</v>
      </c>
      <c r="G87" s="30" t="s">
        <v>35</v>
      </c>
      <c r="H87" s="30" t="s">
        <v>124</v>
      </c>
      <c r="I87" s="31">
        <v>6215810.4850000003</v>
      </c>
    </row>
    <row r="88" spans="2:9" s="6" customFormat="1" ht="11.25" customHeight="1" x14ac:dyDescent="0.55000000000000004">
      <c r="B88" s="30" t="s">
        <v>199</v>
      </c>
      <c r="C88" s="30" t="s">
        <v>200</v>
      </c>
      <c r="D88" s="32">
        <v>70874</v>
      </c>
      <c r="E88" s="30" t="s">
        <v>20</v>
      </c>
      <c r="F88" s="30"/>
      <c r="G88" s="30"/>
      <c r="H88" s="30" t="s">
        <v>124</v>
      </c>
      <c r="I88" s="31" t="s">
        <v>29</v>
      </c>
    </row>
    <row r="89" spans="2:9" s="6" customFormat="1" ht="11.25" customHeight="1" x14ac:dyDescent="0.55000000000000004">
      <c r="B89" s="30" t="s">
        <v>201</v>
      </c>
      <c r="C89" s="30" t="s">
        <v>202</v>
      </c>
      <c r="D89" s="32">
        <v>70874</v>
      </c>
      <c r="E89" s="30" t="s">
        <v>20</v>
      </c>
      <c r="F89" s="30"/>
      <c r="G89" s="30"/>
      <c r="H89" s="30" t="s">
        <v>124</v>
      </c>
      <c r="I89" s="31" t="s">
        <v>29</v>
      </c>
    </row>
    <row r="90" spans="2:9" s="6" customFormat="1" ht="11.25" customHeight="1" x14ac:dyDescent="0.55000000000000004">
      <c r="B90" s="30" t="s">
        <v>203</v>
      </c>
      <c r="C90" s="30" t="s">
        <v>204</v>
      </c>
      <c r="D90" s="32">
        <v>70874</v>
      </c>
      <c r="E90" s="30" t="s">
        <v>20</v>
      </c>
      <c r="F90" s="30"/>
      <c r="G90" s="30"/>
      <c r="H90" s="30" t="s">
        <v>124</v>
      </c>
      <c r="I90" s="31" t="s">
        <v>29</v>
      </c>
    </row>
    <row r="91" spans="2:9" s="6" customFormat="1" ht="11.25" customHeight="1" x14ac:dyDescent="0.55000000000000004">
      <c r="B91" s="30" t="s">
        <v>205</v>
      </c>
      <c r="C91" s="30" t="s">
        <v>206</v>
      </c>
      <c r="D91" s="32">
        <v>60186</v>
      </c>
      <c r="E91" s="30" t="s">
        <v>20</v>
      </c>
      <c r="F91" s="30" t="s">
        <v>188</v>
      </c>
      <c r="G91" s="30" t="s">
        <v>35</v>
      </c>
      <c r="H91" s="30" t="s">
        <v>22</v>
      </c>
      <c r="I91" s="31">
        <v>30166425.035</v>
      </c>
    </row>
    <row r="92" spans="2:9" s="6" customFormat="1" ht="11.25" customHeight="1" x14ac:dyDescent="0.55000000000000004">
      <c r="B92" s="30" t="s">
        <v>207</v>
      </c>
      <c r="C92" s="30" t="s">
        <v>208</v>
      </c>
      <c r="D92" s="32">
        <v>60186</v>
      </c>
      <c r="E92" s="30" t="s">
        <v>20</v>
      </c>
      <c r="F92" s="30"/>
      <c r="G92" s="30"/>
      <c r="H92" s="30" t="s">
        <v>22</v>
      </c>
      <c r="I92" s="31" t="s">
        <v>29</v>
      </c>
    </row>
    <row r="93" spans="2:9" s="6" customFormat="1" ht="11.25" customHeight="1" x14ac:dyDescent="0.55000000000000004">
      <c r="B93" s="30" t="s">
        <v>209</v>
      </c>
      <c r="C93" s="30" t="s">
        <v>210</v>
      </c>
      <c r="D93" s="32">
        <v>60186</v>
      </c>
      <c r="E93" s="30" t="s">
        <v>20</v>
      </c>
      <c r="F93" s="30"/>
      <c r="G93" s="30"/>
      <c r="H93" s="30" t="s">
        <v>22</v>
      </c>
      <c r="I93" s="31" t="s">
        <v>29</v>
      </c>
    </row>
    <row r="94" spans="2:9" s="6" customFormat="1" ht="11.25" customHeight="1" x14ac:dyDescent="0.55000000000000004">
      <c r="B94" s="30" t="s">
        <v>211</v>
      </c>
      <c r="C94" s="30" t="s">
        <v>212</v>
      </c>
      <c r="D94" s="32">
        <v>60186</v>
      </c>
      <c r="E94" s="30" t="s">
        <v>20</v>
      </c>
      <c r="F94" s="30"/>
      <c r="G94" s="30"/>
      <c r="H94" s="30" t="s">
        <v>22</v>
      </c>
      <c r="I94" s="31" t="s">
        <v>29</v>
      </c>
    </row>
    <row r="95" spans="2:9" s="6" customFormat="1" ht="11.25" customHeight="1" x14ac:dyDescent="0.55000000000000004">
      <c r="B95" s="30" t="s">
        <v>213</v>
      </c>
      <c r="C95" s="30" t="s">
        <v>214</v>
      </c>
      <c r="D95" s="32">
        <v>60208</v>
      </c>
      <c r="E95" s="30" t="s">
        <v>20</v>
      </c>
      <c r="F95" s="30"/>
      <c r="G95" s="30" t="s">
        <v>21</v>
      </c>
      <c r="H95" s="30" t="s">
        <v>124</v>
      </c>
      <c r="I95" s="31">
        <v>4914.5129999999999</v>
      </c>
    </row>
    <row r="96" spans="2:9" s="6" customFormat="1" ht="11.25" customHeight="1" x14ac:dyDescent="0.55000000000000004">
      <c r="B96" s="30" t="s">
        <v>215</v>
      </c>
      <c r="C96" s="30" t="s">
        <v>216</v>
      </c>
      <c r="D96" s="32">
        <v>60216</v>
      </c>
      <c r="E96" s="30" t="s">
        <v>20</v>
      </c>
      <c r="F96" s="30"/>
      <c r="G96" s="30" t="s">
        <v>129</v>
      </c>
      <c r="H96" s="30" t="s">
        <v>124</v>
      </c>
      <c r="I96" s="31">
        <v>142956.72500000001</v>
      </c>
    </row>
    <row r="97" spans="2:9" s="6" customFormat="1" ht="11.25" customHeight="1" x14ac:dyDescent="0.55000000000000004">
      <c r="B97" s="30" t="s">
        <v>217</v>
      </c>
      <c r="C97" s="30" t="s">
        <v>218</v>
      </c>
      <c r="D97" s="32">
        <v>98248</v>
      </c>
      <c r="E97" s="30" t="s">
        <v>15</v>
      </c>
      <c r="F97" s="30"/>
      <c r="G97" s="30" t="s">
        <v>80</v>
      </c>
      <c r="H97" s="30" t="s">
        <v>113</v>
      </c>
      <c r="I97" s="31" t="s">
        <v>29</v>
      </c>
    </row>
    <row r="98" spans="2:9" s="6" customFormat="1" ht="11.25" customHeight="1" x14ac:dyDescent="0.55000000000000004">
      <c r="B98" s="30" t="s">
        <v>219</v>
      </c>
      <c r="C98" s="30" t="s">
        <v>220</v>
      </c>
      <c r="D98" s="32">
        <v>77798</v>
      </c>
      <c r="E98" s="30" t="s">
        <v>15</v>
      </c>
      <c r="F98" s="30" t="s">
        <v>221</v>
      </c>
      <c r="G98" s="30"/>
      <c r="H98" s="30" t="s">
        <v>124</v>
      </c>
      <c r="I98" s="31" t="s">
        <v>29</v>
      </c>
    </row>
    <row r="99" spans="2:9" s="6" customFormat="1" ht="11.25" customHeight="1" x14ac:dyDescent="0.55000000000000004">
      <c r="B99" s="30" t="s">
        <v>222</v>
      </c>
      <c r="C99" s="30" t="s">
        <v>223</v>
      </c>
      <c r="D99" s="32">
        <v>77798</v>
      </c>
      <c r="E99" s="30" t="s">
        <v>15</v>
      </c>
      <c r="F99" s="30"/>
      <c r="G99" s="30"/>
      <c r="H99" s="30" t="s">
        <v>124</v>
      </c>
      <c r="I99" s="31" t="s">
        <v>29</v>
      </c>
    </row>
    <row r="100" spans="2:9" s="6" customFormat="1" ht="11.25" customHeight="1" x14ac:dyDescent="0.55000000000000004">
      <c r="B100" s="30" t="s">
        <v>224</v>
      </c>
      <c r="C100" s="30" t="s">
        <v>225</v>
      </c>
      <c r="D100" s="32">
        <v>99600</v>
      </c>
      <c r="E100" s="30" t="s">
        <v>20</v>
      </c>
      <c r="F100" s="30"/>
      <c r="G100" s="30" t="s">
        <v>155</v>
      </c>
      <c r="H100" s="30" t="s">
        <v>113</v>
      </c>
      <c r="I100" s="31">
        <v>18570.897000000001</v>
      </c>
    </row>
    <row r="101" spans="2:9" s="6" customFormat="1" ht="11.25" customHeight="1" x14ac:dyDescent="0.55000000000000004">
      <c r="B101" s="30" t="s">
        <v>226</v>
      </c>
      <c r="C101" s="30" t="s">
        <v>227</v>
      </c>
      <c r="D101" s="32">
        <v>94234</v>
      </c>
      <c r="E101" s="30" t="s">
        <v>15</v>
      </c>
      <c r="F101" s="30" t="s">
        <v>221</v>
      </c>
      <c r="G101" s="30"/>
      <c r="H101" s="30" t="s">
        <v>156</v>
      </c>
      <c r="I101" s="31" t="s">
        <v>29</v>
      </c>
    </row>
    <row r="102" spans="2:9" s="6" customFormat="1" ht="11.25" customHeight="1" x14ac:dyDescent="0.55000000000000004">
      <c r="B102" s="30" t="s">
        <v>228</v>
      </c>
      <c r="C102" s="30" t="s">
        <v>229</v>
      </c>
      <c r="D102" s="32">
        <v>94234</v>
      </c>
      <c r="E102" s="30" t="s">
        <v>15</v>
      </c>
      <c r="F102" s="30"/>
      <c r="G102" s="30"/>
      <c r="H102" s="30" t="s">
        <v>156</v>
      </c>
      <c r="I102" s="31" t="s">
        <v>29</v>
      </c>
    </row>
    <row r="103" spans="2:9" s="6" customFormat="1" ht="11.25" customHeight="1" x14ac:dyDescent="0.55000000000000004">
      <c r="B103" s="30" t="s">
        <v>230</v>
      </c>
      <c r="C103" s="30" t="s">
        <v>231</v>
      </c>
      <c r="D103" s="32">
        <v>11135</v>
      </c>
      <c r="E103" s="30" t="s">
        <v>20</v>
      </c>
      <c r="F103" s="30" t="s">
        <v>232</v>
      </c>
      <c r="G103" s="30" t="s">
        <v>155</v>
      </c>
      <c r="H103" s="30" t="s">
        <v>63</v>
      </c>
      <c r="I103" s="31">
        <v>188616.429</v>
      </c>
    </row>
    <row r="104" spans="2:9" s="6" customFormat="1" ht="11.25" customHeight="1" x14ac:dyDescent="0.55000000000000004">
      <c r="B104" s="30" t="s">
        <v>233</v>
      </c>
      <c r="C104" s="30" t="s">
        <v>234</v>
      </c>
      <c r="D104" s="32">
        <v>92738</v>
      </c>
      <c r="E104" s="30" t="s">
        <v>20</v>
      </c>
      <c r="F104" s="30" t="s">
        <v>232</v>
      </c>
      <c r="G104" s="30" t="s">
        <v>155</v>
      </c>
      <c r="H104" s="30" t="s">
        <v>63</v>
      </c>
      <c r="I104" s="31">
        <v>57673180.204999998</v>
      </c>
    </row>
    <row r="105" spans="2:9" s="6" customFormat="1" ht="11.25" customHeight="1" x14ac:dyDescent="0.55000000000000004">
      <c r="B105" s="30" t="s">
        <v>235</v>
      </c>
      <c r="C105" s="30" t="s">
        <v>236</v>
      </c>
      <c r="D105" s="32">
        <v>92738</v>
      </c>
      <c r="E105" s="30" t="s">
        <v>20</v>
      </c>
      <c r="F105" s="30"/>
      <c r="G105" s="30"/>
      <c r="H105" s="30" t="s">
        <v>63</v>
      </c>
      <c r="I105" s="31" t="s">
        <v>29</v>
      </c>
    </row>
    <row r="106" spans="2:9" s="6" customFormat="1" ht="11.25" customHeight="1" x14ac:dyDescent="0.55000000000000004">
      <c r="B106" s="30" t="s">
        <v>237</v>
      </c>
      <c r="C106" s="30" t="s">
        <v>238</v>
      </c>
      <c r="D106" s="32">
        <v>60073</v>
      </c>
      <c r="E106" s="30" t="s">
        <v>15</v>
      </c>
      <c r="F106" s="30"/>
      <c r="G106" s="30"/>
      <c r="H106" s="30" t="s">
        <v>239</v>
      </c>
      <c r="I106" s="31" t="s">
        <v>29</v>
      </c>
    </row>
    <row r="107" spans="2:9" s="6" customFormat="1" ht="11.25" customHeight="1" x14ac:dyDescent="0.55000000000000004">
      <c r="B107" s="30" t="s">
        <v>240</v>
      </c>
      <c r="C107" s="30" t="s">
        <v>241</v>
      </c>
      <c r="D107" s="32">
        <v>60380</v>
      </c>
      <c r="E107" s="30" t="s">
        <v>20</v>
      </c>
      <c r="F107" s="30" t="s">
        <v>106</v>
      </c>
      <c r="G107" s="30" t="s">
        <v>39</v>
      </c>
      <c r="H107" s="30" t="s">
        <v>108</v>
      </c>
      <c r="I107" s="31">
        <v>14123822.575000001</v>
      </c>
    </row>
    <row r="108" spans="2:9" s="6" customFormat="1" ht="11.25" customHeight="1" x14ac:dyDescent="0.55000000000000004">
      <c r="B108" s="30" t="s">
        <v>242</v>
      </c>
      <c r="C108" s="30" t="s">
        <v>243</v>
      </c>
      <c r="D108" s="32">
        <v>60380</v>
      </c>
      <c r="E108" s="30" t="s">
        <v>20</v>
      </c>
      <c r="F108" s="30"/>
      <c r="G108" s="30"/>
      <c r="H108" s="30" t="s">
        <v>108</v>
      </c>
      <c r="I108" s="31" t="s">
        <v>29</v>
      </c>
    </row>
    <row r="109" spans="2:9" s="6" customFormat="1" ht="11.25" customHeight="1" x14ac:dyDescent="0.55000000000000004">
      <c r="B109" s="30" t="s">
        <v>244</v>
      </c>
      <c r="C109" s="30" t="s">
        <v>245</v>
      </c>
      <c r="D109" s="32">
        <v>60380</v>
      </c>
      <c r="E109" s="30" t="s">
        <v>20</v>
      </c>
      <c r="F109" s="30"/>
      <c r="G109" s="30"/>
      <c r="H109" s="30" t="s">
        <v>108</v>
      </c>
      <c r="I109" s="31" t="s">
        <v>29</v>
      </c>
    </row>
    <row r="110" spans="2:9" s="6" customFormat="1" ht="11.25" customHeight="1" x14ac:dyDescent="0.55000000000000004">
      <c r="B110" s="30" t="s">
        <v>246</v>
      </c>
      <c r="C110" s="30" t="s">
        <v>247</v>
      </c>
      <c r="D110" s="32">
        <v>60526</v>
      </c>
      <c r="E110" s="30" t="s">
        <v>20</v>
      </c>
      <c r="F110" s="30" t="s">
        <v>106</v>
      </c>
      <c r="G110" s="30" t="s">
        <v>39</v>
      </c>
      <c r="H110" s="30" t="s">
        <v>124</v>
      </c>
      <c r="I110" s="31">
        <v>982924.32700000005</v>
      </c>
    </row>
    <row r="111" spans="2:9" s="6" customFormat="1" ht="11.25" customHeight="1" x14ac:dyDescent="0.55000000000000004">
      <c r="B111" s="30" t="s">
        <v>248</v>
      </c>
      <c r="C111" s="30" t="s">
        <v>249</v>
      </c>
      <c r="D111" s="32">
        <v>60004</v>
      </c>
      <c r="E111" s="30" t="s">
        <v>20</v>
      </c>
      <c r="F111" s="30"/>
      <c r="G111" s="30" t="s">
        <v>155</v>
      </c>
      <c r="H111" s="30" t="s">
        <v>45</v>
      </c>
      <c r="I111" s="31">
        <v>31157.386000000002</v>
      </c>
    </row>
    <row r="112" spans="2:9" s="6" customFormat="1" ht="11.25" customHeight="1" x14ac:dyDescent="0.55000000000000004">
      <c r="B112" s="30" t="s">
        <v>250</v>
      </c>
      <c r="C112" s="30" t="s">
        <v>251</v>
      </c>
      <c r="D112" s="32">
        <v>66672</v>
      </c>
      <c r="E112" s="30" t="s">
        <v>15</v>
      </c>
      <c r="F112" s="30" t="s">
        <v>116</v>
      </c>
      <c r="G112" s="30" t="s">
        <v>35</v>
      </c>
      <c r="H112" s="30" t="s">
        <v>92</v>
      </c>
      <c r="I112" s="31" t="s">
        <v>29</v>
      </c>
    </row>
    <row r="113" spans="2:9" s="6" customFormat="1" ht="11.25" customHeight="1" x14ac:dyDescent="0.55000000000000004">
      <c r="B113" s="30" t="s">
        <v>252</v>
      </c>
      <c r="C113" s="30" t="s">
        <v>253</v>
      </c>
      <c r="D113" s="32">
        <v>66842</v>
      </c>
      <c r="E113" s="30" t="s">
        <v>15</v>
      </c>
      <c r="F113" s="30" t="s">
        <v>116</v>
      </c>
      <c r="G113" s="30" t="s">
        <v>21</v>
      </c>
      <c r="H113" s="30" t="s">
        <v>113</v>
      </c>
      <c r="I113" s="31" t="s">
        <v>29</v>
      </c>
    </row>
    <row r="114" spans="2:9" s="6" customFormat="1" ht="11.25" customHeight="1" x14ac:dyDescent="0.55000000000000004">
      <c r="B114" s="30" t="s">
        <v>254</v>
      </c>
      <c r="C114" s="30" t="s">
        <v>255</v>
      </c>
      <c r="D114" s="32">
        <v>66842</v>
      </c>
      <c r="E114" s="30" t="s">
        <v>15</v>
      </c>
      <c r="F114" s="30"/>
      <c r="G114" s="30"/>
      <c r="H114" s="30" t="s">
        <v>113</v>
      </c>
      <c r="I114" s="31" t="s">
        <v>29</v>
      </c>
    </row>
    <row r="115" spans="2:9" s="6" customFormat="1" ht="11.25" customHeight="1" x14ac:dyDescent="0.55000000000000004">
      <c r="B115" s="30" t="s">
        <v>256</v>
      </c>
      <c r="C115" s="30" t="s">
        <v>257</v>
      </c>
      <c r="D115" s="32">
        <v>67571</v>
      </c>
      <c r="E115" s="30" t="s">
        <v>15</v>
      </c>
      <c r="F115" s="30" t="s">
        <v>116</v>
      </c>
      <c r="G115" s="30"/>
      <c r="H115" s="30" t="s">
        <v>124</v>
      </c>
      <c r="I115" s="31" t="s">
        <v>29</v>
      </c>
    </row>
    <row r="116" spans="2:9" s="6" customFormat="1" ht="11.25" customHeight="1" x14ac:dyDescent="0.55000000000000004">
      <c r="B116" s="30" t="s">
        <v>258</v>
      </c>
      <c r="C116" s="30" t="s">
        <v>259</v>
      </c>
      <c r="D116" s="32">
        <v>67571</v>
      </c>
      <c r="E116" s="30" t="s">
        <v>15</v>
      </c>
      <c r="F116" s="30"/>
      <c r="G116" s="30"/>
      <c r="H116" s="30" t="s">
        <v>124</v>
      </c>
      <c r="I116" s="31" t="s">
        <v>29</v>
      </c>
    </row>
    <row r="117" spans="2:9" s="6" customFormat="1" ht="11.25" customHeight="1" x14ac:dyDescent="0.55000000000000004">
      <c r="B117" s="30" t="s">
        <v>260</v>
      </c>
      <c r="C117" s="30" t="s">
        <v>261</v>
      </c>
      <c r="D117" s="32">
        <v>90468</v>
      </c>
      <c r="E117" s="30" t="s">
        <v>15</v>
      </c>
      <c r="F117" s="30" t="s">
        <v>188</v>
      </c>
      <c r="G117" s="30"/>
      <c r="H117" s="30" t="s">
        <v>262</v>
      </c>
      <c r="I117" s="31" t="s">
        <v>29</v>
      </c>
    </row>
    <row r="118" spans="2:9" s="6" customFormat="1" ht="11.25" customHeight="1" x14ac:dyDescent="0.55000000000000004">
      <c r="B118" s="30" t="s">
        <v>263</v>
      </c>
      <c r="C118" s="30" t="s">
        <v>264</v>
      </c>
      <c r="D118" s="32">
        <v>83860</v>
      </c>
      <c r="E118" s="30" t="s">
        <v>20</v>
      </c>
      <c r="F118" s="30"/>
      <c r="G118" s="30" t="s">
        <v>265</v>
      </c>
      <c r="H118" s="30" t="s">
        <v>266</v>
      </c>
      <c r="I118" s="31">
        <v>23721.23</v>
      </c>
    </row>
    <row r="119" spans="2:9" s="6" customFormat="1" ht="11.25" customHeight="1" x14ac:dyDescent="0.55000000000000004">
      <c r="B119" s="30" t="s">
        <v>267</v>
      </c>
      <c r="C119" s="30" t="s">
        <v>268</v>
      </c>
      <c r="D119" s="32">
        <v>60607</v>
      </c>
      <c r="E119" s="30" t="s">
        <v>15</v>
      </c>
      <c r="F119" s="30" t="s">
        <v>116</v>
      </c>
      <c r="G119" s="30" t="s">
        <v>265</v>
      </c>
      <c r="H119" s="30" t="s">
        <v>124</v>
      </c>
      <c r="I119" s="31" t="s">
        <v>29</v>
      </c>
    </row>
    <row r="120" spans="2:9" s="6" customFormat="1" ht="11.25" customHeight="1" x14ac:dyDescent="0.55000000000000004">
      <c r="B120" s="30" t="s">
        <v>269</v>
      </c>
      <c r="C120" s="30" t="s">
        <v>270</v>
      </c>
      <c r="D120" s="32">
        <v>60607</v>
      </c>
      <c r="E120" s="30" t="s">
        <v>15</v>
      </c>
      <c r="F120" s="30"/>
      <c r="G120" s="30"/>
      <c r="H120" s="30" t="s">
        <v>124</v>
      </c>
      <c r="I120" s="31" t="s">
        <v>29</v>
      </c>
    </row>
    <row r="121" spans="2:9" s="6" customFormat="1" ht="11.25" customHeight="1" x14ac:dyDescent="0.55000000000000004">
      <c r="B121" s="30" t="s">
        <v>271</v>
      </c>
      <c r="C121" s="30" t="s">
        <v>272</v>
      </c>
      <c r="D121" s="32">
        <v>60631</v>
      </c>
      <c r="E121" s="30" t="s">
        <v>15</v>
      </c>
      <c r="F121" s="30" t="s">
        <v>273</v>
      </c>
      <c r="G121" s="30" t="s">
        <v>155</v>
      </c>
      <c r="H121" s="30" t="s">
        <v>86</v>
      </c>
      <c r="I121" s="31" t="s">
        <v>29</v>
      </c>
    </row>
    <row r="122" spans="2:9" s="6" customFormat="1" ht="11.25" customHeight="1" x14ac:dyDescent="0.55000000000000004">
      <c r="B122" s="30" t="s">
        <v>274</v>
      </c>
      <c r="C122" s="30" t="s">
        <v>275</v>
      </c>
      <c r="D122" s="32">
        <v>60631</v>
      </c>
      <c r="E122" s="30" t="s">
        <v>15</v>
      </c>
      <c r="F122" s="30"/>
      <c r="G122" s="30"/>
      <c r="H122" s="30" t="s">
        <v>86</v>
      </c>
      <c r="I122" s="31" t="s">
        <v>29</v>
      </c>
    </row>
    <row r="123" spans="2:9" s="6" customFormat="1" ht="11.25" customHeight="1" x14ac:dyDescent="0.55000000000000004">
      <c r="B123" s="30" t="s">
        <v>276</v>
      </c>
      <c r="C123" s="30" t="s">
        <v>277</v>
      </c>
      <c r="D123" s="32">
        <v>60666</v>
      </c>
      <c r="E123" s="30" t="s">
        <v>20</v>
      </c>
      <c r="F123" s="30"/>
      <c r="G123" s="30" t="s">
        <v>21</v>
      </c>
      <c r="H123" s="30" t="s">
        <v>278</v>
      </c>
      <c r="I123" s="31">
        <v>263430.70299999998</v>
      </c>
    </row>
    <row r="124" spans="2:9" s="6" customFormat="1" ht="11.25" customHeight="1" x14ac:dyDescent="0.55000000000000004">
      <c r="B124" s="30" t="s">
        <v>279</v>
      </c>
      <c r="C124" s="30" t="s">
        <v>280</v>
      </c>
      <c r="D124" s="32">
        <v>13682</v>
      </c>
      <c r="E124" s="30" t="s">
        <v>15</v>
      </c>
      <c r="F124" s="30"/>
      <c r="G124" s="30" t="s">
        <v>35</v>
      </c>
      <c r="H124" s="30" t="s">
        <v>40</v>
      </c>
      <c r="I124" s="31" t="s">
        <v>29</v>
      </c>
    </row>
    <row r="125" spans="2:9" s="6" customFormat="1" ht="11.25" customHeight="1" x14ac:dyDescent="0.55000000000000004">
      <c r="B125" s="30" t="s">
        <v>281</v>
      </c>
      <c r="C125" s="30" t="s">
        <v>282</v>
      </c>
      <c r="D125" s="32">
        <v>71773</v>
      </c>
      <c r="E125" s="30" t="s">
        <v>20</v>
      </c>
      <c r="F125" s="30" t="s">
        <v>283</v>
      </c>
      <c r="G125" s="30" t="s">
        <v>39</v>
      </c>
      <c r="H125" s="30" t="s">
        <v>113</v>
      </c>
      <c r="I125" s="31">
        <v>131621.296</v>
      </c>
    </row>
    <row r="126" spans="2:9" s="6" customFormat="1" ht="11.25" customHeight="1" x14ac:dyDescent="0.55000000000000004">
      <c r="B126" s="30" t="s">
        <v>284</v>
      </c>
      <c r="C126" s="30" t="s">
        <v>285</v>
      </c>
      <c r="D126" s="32">
        <v>13762</v>
      </c>
      <c r="E126" s="30" t="s">
        <v>15</v>
      </c>
      <c r="F126" s="30" t="s">
        <v>283</v>
      </c>
      <c r="G126" s="30" t="s">
        <v>155</v>
      </c>
      <c r="H126" s="30" t="s">
        <v>113</v>
      </c>
      <c r="I126" s="31" t="s">
        <v>29</v>
      </c>
    </row>
    <row r="127" spans="2:9" s="6" customFormat="1" ht="11.25" customHeight="1" x14ac:dyDescent="0.55000000000000004">
      <c r="B127" s="30" t="s">
        <v>286</v>
      </c>
      <c r="C127" s="30" t="s">
        <v>287</v>
      </c>
      <c r="D127" s="32">
        <v>63126</v>
      </c>
      <c r="E127" s="30" t="s">
        <v>20</v>
      </c>
      <c r="F127" s="30" t="s">
        <v>283</v>
      </c>
      <c r="G127" s="30" t="s">
        <v>155</v>
      </c>
      <c r="H127" s="30" t="s">
        <v>113</v>
      </c>
      <c r="I127" s="31">
        <v>2779207.5959999999</v>
      </c>
    </row>
    <row r="128" spans="2:9" s="6" customFormat="1" ht="11.25" customHeight="1" x14ac:dyDescent="0.55000000000000004">
      <c r="B128" s="30" t="s">
        <v>288</v>
      </c>
      <c r="C128" s="30" t="s">
        <v>289</v>
      </c>
      <c r="D128" s="32">
        <v>80624</v>
      </c>
      <c r="E128" s="30" t="s">
        <v>20</v>
      </c>
      <c r="F128" s="30" t="s">
        <v>290</v>
      </c>
      <c r="G128" s="30" t="s">
        <v>39</v>
      </c>
      <c r="H128" s="30" t="s">
        <v>262</v>
      </c>
      <c r="I128" s="31">
        <v>301210.45400000003</v>
      </c>
    </row>
    <row r="129" spans="2:9" s="6" customFormat="1" ht="11.25" customHeight="1" x14ac:dyDescent="0.55000000000000004">
      <c r="B129" s="30" t="s">
        <v>291</v>
      </c>
      <c r="C129" s="30" t="s">
        <v>292</v>
      </c>
      <c r="D129" s="32">
        <v>88366</v>
      </c>
      <c r="E129" s="30" t="s">
        <v>20</v>
      </c>
      <c r="F129" s="30" t="s">
        <v>293</v>
      </c>
      <c r="G129" s="30" t="s">
        <v>39</v>
      </c>
      <c r="H129" s="30" t="s">
        <v>113</v>
      </c>
      <c r="I129" s="31">
        <v>131664.52499999999</v>
      </c>
    </row>
    <row r="130" spans="2:9" s="6" customFormat="1" ht="11.25" customHeight="1" x14ac:dyDescent="0.55000000000000004">
      <c r="B130" s="30" t="s">
        <v>294</v>
      </c>
      <c r="C130" s="30" t="s">
        <v>295</v>
      </c>
      <c r="D130" s="32">
        <v>63452</v>
      </c>
      <c r="E130" s="30" t="s">
        <v>15</v>
      </c>
      <c r="F130" s="30"/>
      <c r="G130" s="30"/>
      <c r="H130" s="30" t="s">
        <v>45</v>
      </c>
      <c r="I130" s="31" t="s">
        <v>29</v>
      </c>
    </row>
    <row r="131" spans="2:9" s="6" customFormat="1" ht="11.25" customHeight="1" x14ac:dyDescent="0.55000000000000004">
      <c r="B131" s="30" t="s">
        <v>296</v>
      </c>
      <c r="C131" s="30" t="s">
        <v>297</v>
      </c>
      <c r="D131" s="32">
        <v>92649</v>
      </c>
      <c r="E131" s="30" t="s">
        <v>15</v>
      </c>
      <c r="F131" s="30" t="s">
        <v>298</v>
      </c>
      <c r="G131" s="30" t="s">
        <v>265</v>
      </c>
      <c r="H131" s="30" t="s">
        <v>86</v>
      </c>
      <c r="I131" s="31" t="s">
        <v>29</v>
      </c>
    </row>
    <row r="132" spans="2:9" s="6" customFormat="1" ht="11.25" customHeight="1" x14ac:dyDescent="0.55000000000000004">
      <c r="B132" s="30" t="s">
        <v>299</v>
      </c>
      <c r="C132" s="30" t="s">
        <v>300</v>
      </c>
      <c r="D132" s="32">
        <v>92649</v>
      </c>
      <c r="E132" s="30" t="s">
        <v>15</v>
      </c>
      <c r="F132" s="30"/>
      <c r="G132" s="30"/>
      <c r="H132" s="30" t="s">
        <v>86</v>
      </c>
      <c r="I132" s="31" t="s">
        <v>29</v>
      </c>
    </row>
    <row r="133" spans="2:9" s="6" customFormat="1" ht="11.25" customHeight="1" x14ac:dyDescent="0.55000000000000004">
      <c r="B133" s="30" t="s">
        <v>301</v>
      </c>
      <c r="C133" s="30" t="s">
        <v>302</v>
      </c>
      <c r="D133" s="32">
        <v>60101</v>
      </c>
      <c r="E133" s="30" t="s">
        <v>15</v>
      </c>
      <c r="F133" s="30"/>
      <c r="G133" s="30"/>
      <c r="H133" s="30" t="s">
        <v>22</v>
      </c>
      <c r="I133" s="31" t="s">
        <v>29</v>
      </c>
    </row>
    <row r="134" spans="2:9" s="6" customFormat="1" ht="11.25" customHeight="1" x14ac:dyDescent="0.55000000000000004">
      <c r="B134" s="30" t="s">
        <v>303</v>
      </c>
      <c r="C134" s="30" t="s">
        <v>304</v>
      </c>
      <c r="D134" s="32">
        <v>75078</v>
      </c>
      <c r="E134" s="30" t="s">
        <v>15</v>
      </c>
      <c r="F134" s="30"/>
      <c r="G134" s="30"/>
      <c r="H134" s="30" t="s">
        <v>108</v>
      </c>
      <c r="I134" s="31" t="s">
        <v>29</v>
      </c>
    </row>
    <row r="135" spans="2:9" s="6" customFormat="1" ht="11.25" customHeight="1" x14ac:dyDescent="0.55000000000000004">
      <c r="B135" s="30" t="s">
        <v>305</v>
      </c>
      <c r="C135" s="30" t="s">
        <v>306</v>
      </c>
      <c r="D135" s="32">
        <v>60275</v>
      </c>
      <c r="E135" s="30" t="s">
        <v>20</v>
      </c>
      <c r="F135" s="30" t="s">
        <v>307</v>
      </c>
      <c r="G135" s="30" t="s">
        <v>80</v>
      </c>
      <c r="H135" s="30" t="s">
        <v>262</v>
      </c>
      <c r="I135" s="31">
        <v>353436.25900000002</v>
      </c>
    </row>
    <row r="136" spans="2:9" s="6" customFormat="1" ht="11.25" customHeight="1" x14ac:dyDescent="0.55000000000000004">
      <c r="B136" s="30" t="s">
        <v>308</v>
      </c>
      <c r="C136" s="30" t="s">
        <v>309</v>
      </c>
      <c r="D136" s="32">
        <v>66001</v>
      </c>
      <c r="E136" s="30" t="s">
        <v>20</v>
      </c>
      <c r="F136" s="30" t="s">
        <v>310</v>
      </c>
      <c r="G136" s="30" t="s">
        <v>35</v>
      </c>
      <c r="H136" s="30" t="s">
        <v>113</v>
      </c>
      <c r="I136" s="31">
        <v>202878.47899999999</v>
      </c>
    </row>
    <row r="137" spans="2:9" s="6" customFormat="1" ht="11.25" customHeight="1" x14ac:dyDescent="0.55000000000000004">
      <c r="B137" s="30" t="s">
        <v>311</v>
      </c>
      <c r="C137" s="30" t="s">
        <v>312</v>
      </c>
      <c r="D137" s="32">
        <v>60283</v>
      </c>
      <c r="E137" s="30" t="s">
        <v>15</v>
      </c>
      <c r="F137" s="30"/>
      <c r="G137" s="30"/>
      <c r="H137" s="30" t="s">
        <v>313</v>
      </c>
      <c r="I137" s="31" t="s">
        <v>29</v>
      </c>
    </row>
    <row r="138" spans="2:9" s="6" customFormat="1" ht="11.25" customHeight="1" x14ac:dyDescent="0.55000000000000004">
      <c r="B138" s="30" t="s">
        <v>314</v>
      </c>
      <c r="C138" s="30" t="s">
        <v>315</v>
      </c>
      <c r="D138" s="32">
        <v>60291</v>
      </c>
      <c r="E138" s="30" t="s">
        <v>15</v>
      </c>
      <c r="F138" s="30"/>
      <c r="G138" s="30" t="s">
        <v>35</v>
      </c>
      <c r="H138" s="30" t="s">
        <v>22</v>
      </c>
      <c r="I138" s="31" t="s">
        <v>29</v>
      </c>
    </row>
    <row r="139" spans="2:9" s="6" customFormat="1" ht="11.25" customHeight="1" x14ac:dyDescent="0.55000000000000004">
      <c r="B139" s="30" t="s">
        <v>316</v>
      </c>
      <c r="C139" s="30" t="s">
        <v>317</v>
      </c>
      <c r="D139" s="32">
        <v>97810</v>
      </c>
      <c r="E139" s="30" t="s">
        <v>20</v>
      </c>
      <c r="F139" s="30"/>
      <c r="G139" s="30" t="s">
        <v>155</v>
      </c>
      <c r="H139" s="30" t="s">
        <v>45</v>
      </c>
      <c r="I139" s="31">
        <v>89765.205000000002</v>
      </c>
    </row>
    <row r="140" spans="2:9" s="6" customFormat="1" ht="11.25" customHeight="1" x14ac:dyDescent="0.55000000000000004">
      <c r="B140" s="30" t="s">
        <v>318</v>
      </c>
      <c r="C140" s="30" t="s">
        <v>319</v>
      </c>
      <c r="D140" s="32">
        <v>75914</v>
      </c>
      <c r="E140" s="30" t="s">
        <v>15</v>
      </c>
      <c r="F140" s="30"/>
      <c r="G140" s="30"/>
      <c r="H140" s="30" t="s">
        <v>313</v>
      </c>
      <c r="I140" s="31" t="s">
        <v>29</v>
      </c>
    </row>
    <row r="141" spans="2:9" s="6" customFormat="1" ht="11.25" customHeight="1" x14ac:dyDescent="0.55000000000000004">
      <c r="B141" s="30" t="s">
        <v>320</v>
      </c>
      <c r="C141" s="30" t="s">
        <v>321</v>
      </c>
      <c r="D141" s="32">
        <v>12321</v>
      </c>
      <c r="E141" s="30" t="s">
        <v>20</v>
      </c>
      <c r="F141" s="30" t="s">
        <v>95</v>
      </c>
      <c r="G141" s="30" t="s">
        <v>39</v>
      </c>
      <c r="H141" s="30" t="s">
        <v>92</v>
      </c>
      <c r="I141" s="31">
        <v>299286.56200000003</v>
      </c>
    </row>
    <row r="142" spans="2:9" s="6" customFormat="1" ht="11.25" customHeight="1" x14ac:dyDescent="0.55000000000000004">
      <c r="B142" s="30" t="s">
        <v>322</v>
      </c>
      <c r="C142" s="30" t="s">
        <v>323</v>
      </c>
      <c r="D142" s="32">
        <v>72427</v>
      </c>
      <c r="E142" s="30" t="s">
        <v>15</v>
      </c>
      <c r="F142" s="30"/>
      <c r="G142" s="30"/>
      <c r="H142" s="30" t="s">
        <v>48</v>
      </c>
      <c r="I142" s="31" t="s">
        <v>29</v>
      </c>
    </row>
    <row r="143" spans="2:9" s="6" customFormat="1" ht="11.25" customHeight="1" x14ac:dyDescent="0.55000000000000004">
      <c r="B143" s="30" t="s">
        <v>324</v>
      </c>
      <c r="C143" s="30" t="s">
        <v>325</v>
      </c>
      <c r="D143" s="32">
        <v>60305</v>
      </c>
      <c r="E143" s="30" t="s">
        <v>15</v>
      </c>
      <c r="F143" s="30"/>
      <c r="G143" s="30" t="s">
        <v>21</v>
      </c>
      <c r="H143" s="30" t="s">
        <v>30</v>
      </c>
      <c r="I143" s="31" t="s">
        <v>29</v>
      </c>
    </row>
    <row r="144" spans="2:9" s="6" customFormat="1" ht="11.25" customHeight="1" x14ac:dyDescent="0.55000000000000004">
      <c r="B144" s="30" t="s">
        <v>326</v>
      </c>
      <c r="C144" s="30" t="s">
        <v>327</v>
      </c>
      <c r="D144" s="32">
        <v>79561</v>
      </c>
      <c r="E144" s="30" t="s">
        <v>15</v>
      </c>
      <c r="F144" s="30"/>
      <c r="G144" s="30"/>
      <c r="H144" s="30" t="s">
        <v>239</v>
      </c>
      <c r="I144" s="31" t="s">
        <v>29</v>
      </c>
    </row>
    <row r="145" spans="2:9" s="6" customFormat="1" ht="11.25" customHeight="1" x14ac:dyDescent="0.55000000000000004">
      <c r="B145" s="30" t="s">
        <v>328</v>
      </c>
      <c r="C145" s="30" t="s">
        <v>329</v>
      </c>
      <c r="D145" s="32">
        <v>94439</v>
      </c>
      <c r="E145" s="30" t="s">
        <v>20</v>
      </c>
      <c r="F145" s="30"/>
      <c r="G145" s="30" t="s">
        <v>16</v>
      </c>
      <c r="H145" s="30" t="s">
        <v>330</v>
      </c>
      <c r="I145" s="31">
        <v>11644.861000000001</v>
      </c>
    </row>
    <row r="146" spans="2:9" s="6" customFormat="1" ht="11.25" customHeight="1" x14ac:dyDescent="0.55000000000000004">
      <c r="B146" s="30" t="s">
        <v>331</v>
      </c>
      <c r="C146" s="30" t="s">
        <v>332</v>
      </c>
      <c r="D146" s="32" t="s">
        <v>29</v>
      </c>
      <c r="E146" s="30" t="s">
        <v>20</v>
      </c>
      <c r="F146" s="30" t="s">
        <v>331</v>
      </c>
      <c r="G146" s="30" t="s">
        <v>39</v>
      </c>
      <c r="H146" s="30" t="s">
        <v>63</v>
      </c>
      <c r="I146" s="31">
        <v>2569820.7540000002</v>
      </c>
    </row>
    <row r="147" spans="2:9" s="6" customFormat="1" ht="11.25" customHeight="1" x14ac:dyDescent="0.55000000000000004">
      <c r="B147" s="30" t="s">
        <v>232</v>
      </c>
      <c r="C147" s="30" t="s">
        <v>333</v>
      </c>
      <c r="D147" s="32" t="s">
        <v>29</v>
      </c>
      <c r="E147" s="30" t="s">
        <v>20</v>
      </c>
      <c r="F147" s="30" t="s">
        <v>232</v>
      </c>
      <c r="G147" s="30" t="s">
        <v>155</v>
      </c>
      <c r="H147" s="30" t="s">
        <v>63</v>
      </c>
      <c r="I147" s="31">
        <v>59303406.266000003</v>
      </c>
    </row>
    <row r="148" spans="2:9" s="6" customFormat="1" ht="11.25" customHeight="1" x14ac:dyDescent="0.55000000000000004">
      <c r="B148" s="30" t="s">
        <v>334</v>
      </c>
      <c r="C148" s="30" t="s">
        <v>335</v>
      </c>
      <c r="D148" s="32">
        <v>60372</v>
      </c>
      <c r="E148" s="30" t="s">
        <v>15</v>
      </c>
      <c r="F148" s="30"/>
      <c r="G148" s="30" t="s">
        <v>39</v>
      </c>
      <c r="H148" s="30" t="s">
        <v>262</v>
      </c>
      <c r="I148" s="31" t="s">
        <v>29</v>
      </c>
    </row>
    <row r="149" spans="2:9" s="6" customFormat="1" ht="11.25" customHeight="1" x14ac:dyDescent="0.55000000000000004">
      <c r="B149" s="30" t="s">
        <v>336</v>
      </c>
      <c r="C149" s="30" t="s">
        <v>337</v>
      </c>
      <c r="D149" s="32">
        <v>60399</v>
      </c>
      <c r="E149" s="30" t="s">
        <v>20</v>
      </c>
      <c r="F149" s="30"/>
      <c r="G149" s="30" t="s">
        <v>35</v>
      </c>
      <c r="H149" s="30" t="s">
        <v>146</v>
      </c>
      <c r="I149" s="31">
        <v>5454250.3959999997</v>
      </c>
    </row>
    <row r="150" spans="2:9" s="6" customFormat="1" ht="11.25" customHeight="1" x14ac:dyDescent="0.55000000000000004">
      <c r="B150" s="30" t="s">
        <v>338</v>
      </c>
      <c r="C150" s="30" t="s">
        <v>339</v>
      </c>
      <c r="D150" s="32">
        <v>60399</v>
      </c>
      <c r="E150" s="30" t="s">
        <v>20</v>
      </c>
      <c r="F150" s="30"/>
      <c r="G150" s="30"/>
      <c r="H150" s="30" t="s">
        <v>146</v>
      </c>
      <c r="I150" s="31" t="s">
        <v>29</v>
      </c>
    </row>
    <row r="151" spans="2:9" s="6" customFormat="1" ht="11.25" customHeight="1" x14ac:dyDescent="0.55000000000000004">
      <c r="B151" s="30" t="s">
        <v>340</v>
      </c>
      <c r="C151" s="30" t="s">
        <v>341</v>
      </c>
      <c r="D151" s="32">
        <v>60399</v>
      </c>
      <c r="E151" s="30" t="s">
        <v>20</v>
      </c>
      <c r="F151" s="30"/>
      <c r="G151" s="30"/>
      <c r="H151" s="30" t="s">
        <v>146</v>
      </c>
      <c r="I151" s="31" t="s">
        <v>29</v>
      </c>
    </row>
    <row r="152" spans="2:9" s="6" customFormat="1" ht="11.25" customHeight="1" x14ac:dyDescent="0.55000000000000004">
      <c r="B152" s="30" t="s">
        <v>342</v>
      </c>
      <c r="C152" s="30" t="s">
        <v>343</v>
      </c>
      <c r="D152" s="32">
        <v>99619</v>
      </c>
      <c r="E152" s="30" t="s">
        <v>20</v>
      </c>
      <c r="F152" s="30" t="s">
        <v>344</v>
      </c>
      <c r="G152" s="30" t="s">
        <v>35</v>
      </c>
      <c r="H152" s="30" t="s">
        <v>113</v>
      </c>
      <c r="I152" s="31">
        <v>4745.13</v>
      </c>
    </row>
    <row r="153" spans="2:9" s="6" customFormat="1" ht="11.25" customHeight="1" x14ac:dyDescent="0.55000000000000004">
      <c r="B153" s="30" t="s">
        <v>345</v>
      </c>
      <c r="C153" s="30" t="s">
        <v>346</v>
      </c>
      <c r="D153" s="32">
        <v>98736</v>
      </c>
      <c r="E153" s="30" t="s">
        <v>20</v>
      </c>
      <c r="F153" s="30"/>
      <c r="G153" s="30" t="s">
        <v>80</v>
      </c>
      <c r="H153" s="30" t="s">
        <v>179</v>
      </c>
      <c r="I153" s="31">
        <v>28605.831000000002</v>
      </c>
    </row>
    <row r="154" spans="2:9" s="6" customFormat="1" ht="11.25" customHeight="1" x14ac:dyDescent="0.55000000000000004">
      <c r="B154" s="30" t="s">
        <v>347</v>
      </c>
      <c r="C154" s="30" t="s">
        <v>348</v>
      </c>
      <c r="D154" s="32" t="s">
        <v>29</v>
      </c>
      <c r="E154" s="30" t="s">
        <v>20</v>
      </c>
      <c r="F154" s="30" t="s">
        <v>347</v>
      </c>
      <c r="G154" s="30" t="s">
        <v>21</v>
      </c>
      <c r="H154" s="30" t="s">
        <v>45</v>
      </c>
      <c r="I154" s="31">
        <v>6756068.3660000004</v>
      </c>
    </row>
    <row r="155" spans="2:9" s="6" customFormat="1" ht="11.25" customHeight="1" x14ac:dyDescent="0.55000000000000004">
      <c r="B155" s="30" t="s">
        <v>349</v>
      </c>
      <c r="C155" s="30" t="s">
        <v>350</v>
      </c>
      <c r="D155" s="32">
        <v>60410</v>
      </c>
      <c r="E155" s="30" t="s">
        <v>20</v>
      </c>
      <c r="F155" s="30" t="s">
        <v>347</v>
      </c>
      <c r="G155" s="30" t="s">
        <v>21</v>
      </c>
      <c r="H155" s="30" t="s">
        <v>45</v>
      </c>
      <c r="I155" s="31">
        <v>6656824.727</v>
      </c>
    </row>
    <row r="156" spans="2:9" s="6" customFormat="1" ht="11.25" customHeight="1" x14ac:dyDescent="0.55000000000000004">
      <c r="B156" s="30" t="s">
        <v>351</v>
      </c>
      <c r="C156" s="30" t="s">
        <v>352</v>
      </c>
      <c r="D156" s="32">
        <v>60410</v>
      </c>
      <c r="E156" s="30" t="s">
        <v>20</v>
      </c>
      <c r="F156" s="30"/>
      <c r="G156" s="30"/>
      <c r="H156" s="30" t="s">
        <v>45</v>
      </c>
      <c r="I156" s="31" t="s">
        <v>29</v>
      </c>
    </row>
    <row r="157" spans="2:9" s="6" customFormat="1" ht="11.25" customHeight="1" x14ac:dyDescent="0.55000000000000004">
      <c r="B157" s="30" t="s">
        <v>353</v>
      </c>
      <c r="C157" s="30" t="s">
        <v>354</v>
      </c>
      <c r="D157" s="32">
        <v>60410</v>
      </c>
      <c r="E157" s="30" t="s">
        <v>20</v>
      </c>
      <c r="F157" s="30"/>
      <c r="G157" s="30"/>
      <c r="H157" s="30" t="s">
        <v>45</v>
      </c>
      <c r="I157" s="31" t="s">
        <v>29</v>
      </c>
    </row>
    <row r="158" spans="2:9" s="6" customFormat="1" ht="11.25" customHeight="1" x14ac:dyDescent="0.55000000000000004">
      <c r="B158" s="30" t="s">
        <v>355</v>
      </c>
      <c r="C158" s="30" t="s">
        <v>356</v>
      </c>
      <c r="D158" s="32">
        <v>60410</v>
      </c>
      <c r="E158" s="30" t="s">
        <v>20</v>
      </c>
      <c r="F158" s="30"/>
      <c r="G158" s="30"/>
      <c r="H158" s="30" t="s">
        <v>45</v>
      </c>
      <c r="I158" s="31" t="s">
        <v>29</v>
      </c>
    </row>
    <row r="159" spans="2:9" s="6" customFormat="1" ht="11.25" customHeight="1" x14ac:dyDescent="0.55000000000000004">
      <c r="B159" s="30" t="s">
        <v>357</v>
      </c>
      <c r="C159" s="30" t="s">
        <v>358</v>
      </c>
      <c r="D159" s="32">
        <v>60410</v>
      </c>
      <c r="E159" s="30" t="s">
        <v>20</v>
      </c>
      <c r="F159" s="30"/>
      <c r="G159" s="30"/>
      <c r="H159" s="30" t="s">
        <v>45</v>
      </c>
      <c r="I159" s="31" t="s">
        <v>29</v>
      </c>
    </row>
    <row r="160" spans="2:9" s="6" customFormat="1" ht="11.25" customHeight="1" x14ac:dyDescent="0.55000000000000004">
      <c r="B160" s="30" t="s">
        <v>359</v>
      </c>
      <c r="C160" s="30" t="s">
        <v>360</v>
      </c>
      <c r="D160" s="32">
        <v>60429</v>
      </c>
      <c r="E160" s="30" t="s">
        <v>20</v>
      </c>
      <c r="F160" s="30"/>
      <c r="G160" s="30" t="s">
        <v>25</v>
      </c>
      <c r="H160" s="30" t="s">
        <v>262</v>
      </c>
      <c r="I160" s="31">
        <v>401120.60499999998</v>
      </c>
    </row>
    <row r="161" spans="2:9" s="6" customFormat="1" ht="11.25" customHeight="1" x14ac:dyDescent="0.55000000000000004">
      <c r="B161" s="30" t="s">
        <v>361</v>
      </c>
      <c r="C161" s="30" t="s">
        <v>362</v>
      </c>
      <c r="D161" s="32">
        <v>92541</v>
      </c>
      <c r="E161" s="30" t="s">
        <v>15</v>
      </c>
      <c r="F161" s="30"/>
      <c r="G161" s="30" t="s">
        <v>16</v>
      </c>
      <c r="H161" s="30" t="s">
        <v>113</v>
      </c>
      <c r="I161" s="31" t="s">
        <v>29</v>
      </c>
    </row>
    <row r="162" spans="2:9" s="6" customFormat="1" ht="11.25" customHeight="1" x14ac:dyDescent="0.55000000000000004">
      <c r="B162" s="30" t="s">
        <v>363</v>
      </c>
      <c r="C162" s="30" t="s">
        <v>364</v>
      </c>
      <c r="D162" s="32">
        <v>69337</v>
      </c>
      <c r="E162" s="30" t="s">
        <v>20</v>
      </c>
      <c r="F162" s="30"/>
      <c r="G162" s="30" t="s">
        <v>21</v>
      </c>
      <c r="H162" s="30" t="s">
        <v>262</v>
      </c>
      <c r="I162" s="31">
        <v>26127.296000000002</v>
      </c>
    </row>
    <row r="163" spans="2:9" s="6" customFormat="1" ht="11.25" customHeight="1" x14ac:dyDescent="0.55000000000000004">
      <c r="B163" s="30" t="s">
        <v>365</v>
      </c>
      <c r="C163" s="30" t="s">
        <v>366</v>
      </c>
      <c r="D163" s="32">
        <v>73091</v>
      </c>
      <c r="E163" s="30" t="s">
        <v>15</v>
      </c>
      <c r="F163" s="30"/>
      <c r="G163" s="30"/>
      <c r="H163" s="30" t="s">
        <v>17</v>
      </c>
      <c r="I163" s="31" t="s">
        <v>29</v>
      </c>
    </row>
    <row r="164" spans="2:9" s="6" customFormat="1" ht="11.25" customHeight="1" x14ac:dyDescent="0.55000000000000004">
      <c r="B164" s="30" t="s">
        <v>367</v>
      </c>
      <c r="C164" s="30" t="s">
        <v>368</v>
      </c>
      <c r="D164" s="32">
        <v>94226</v>
      </c>
      <c r="E164" s="30" t="s">
        <v>15</v>
      </c>
      <c r="F164" s="30" t="s">
        <v>116</v>
      </c>
      <c r="G164" s="30"/>
      <c r="H164" s="30" t="s">
        <v>22</v>
      </c>
      <c r="I164" s="31" t="s">
        <v>29</v>
      </c>
    </row>
    <row r="165" spans="2:9" s="6" customFormat="1" ht="11.25" customHeight="1" x14ac:dyDescent="0.55000000000000004">
      <c r="B165" s="30" t="s">
        <v>369</v>
      </c>
      <c r="C165" s="30" t="s">
        <v>370</v>
      </c>
      <c r="D165" s="32">
        <v>94226</v>
      </c>
      <c r="E165" s="30" t="s">
        <v>15</v>
      </c>
      <c r="F165" s="30"/>
      <c r="G165" s="30"/>
      <c r="H165" s="30" t="s">
        <v>22</v>
      </c>
      <c r="I165" s="31" t="s">
        <v>29</v>
      </c>
    </row>
    <row r="166" spans="2:9" s="6" customFormat="1" ht="11.25" customHeight="1" x14ac:dyDescent="0.55000000000000004">
      <c r="B166" s="30" t="s">
        <v>371</v>
      </c>
      <c r="C166" s="30" t="s">
        <v>372</v>
      </c>
      <c r="D166" s="32">
        <v>75710</v>
      </c>
      <c r="E166" s="30" t="s">
        <v>15</v>
      </c>
      <c r="F166" s="30"/>
      <c r="G166" s="30"/>
      <c r="H166" s="30" t="s">
        <v>113</v>
      </c>
      <c r="I166" s="31" t="s">
        <v>29</v>
      </c>
    </row>
    <row r="167" spans="2:9" s="6" customFormat="1" ht="11.25" customHeight="1" x14ac:dyDescent="0.55000000000000004">
      <c r="B167" s="30" t="s">
        <v>373</v>
      </c>
      <c r="C167" s="30" t="s">
        <v>374</v>
      </c>
      <c r="D167" s="32">
        <v>68373</v>
      </c>
      <c r="E167" s="30" t="s">
        <v>15</v>
      </c>
      <c r="F167" s="30" t="s">
        <v>116</v>
      </c>
      <c r="G167" s="30" t="s">
        <v>129</v>
      </c>
      <c r="H167" s="30" t="s">
        <v>113</v>
      </c>
      <c r="I167" s="31" t="s">
        <v>29</v>
      </c>
    </row>
    <row r="168" spans="2:9" s="6" customFormat="1" ht="11.25" customHeight="1" x14ac:dyDescent="0.55000000000000004">
      <c r="B168" s="30" t="s">
        <v>375</v>
      </c>
      <c r="C168" s="30" t="s">
        <v>376</v>
      </c>
      <c r="D168" s="32">
        <v>60488</v>
      </c>
      <c r="E168" s="30" t="s">
        <v>20</v>
      </c>
      <c r="F168" s="30" t="s">
        <v>116</v>
      </c>
      <c r="G168" s="30" t="s">
        <v>155</v>
      </c>
      <c r="H168" s="30" t="s">
        <v>113</v>
      </c>
      <c r="I168" s="31">
        <v>192292551.926</v>
      </c>
    </row>
    <row r="169" spans="2:9" s="6" customFormat="1" ht="11.25" customHeight="1" x14ac:dyDescent="0.55000000000000004">
      <c r="B169" s="30" t="s">
        <v>377</v>
      </c>
      <c r="C169" s="30" t="s">
        <v>378</v>
      </c>
      <c r="D169" s="32">
        <v>60488</v>
      </c>
      <c r="E169" s="30" t="s">
        <v>20</v>
      </c>
      <c r="F169" s="30"/>
      <c r="G169" s="30"/>
      <c r="H169" s="30" t="s">
        <v>113</v>
      </c>
      <c r="I169" s="31" t="s">
        <v>29</v>
      </c>
    </row>
    <row r="170" spans="2:9" s="6" customFormat="1" ht="11.25" customHeight="1" x14ac:dyDescent="0.55000000000000004">
      <c r="B170" s="30" t="s">
        <v>379</v>
      </c>
      <c r="C170" s="30" t="s">
        <v>380</v>
      </c>
      <c r="D170" s="32">
        <v>60488</v>
      </c>
      <c r="E170" s="30" t="s">
        <v>20</v>
      </c>
      <c r="F170" s="30"/>
      <c r="G170" s="30"/>
      <c r="H170" s="30" t="s">
        <v>113</v>
      </c>
      <c r="I170" s="31" t="s">
        <v>29</v>
      </c>
    </row>
    <row r="171" spans="2:9" s="6" customFormat="1" ht="11.25" customHeight="1" x14ac:dyDescent="0.55000000000000004">
      <c r="B171" s="30" t="s">
        <v>381</v>
      </c>
      <c r="C171" s="30" t="s">
        <v>382</v>
      </c>
      <c r="D171" s="32">
        <v>60488</v>
      </c>
      <c r="E171" s="30" t="s">
        <v>20</v>
      </c>
      <c r="F171" s="30"/>
      <c r="G171" s="30"/>
      <c r="H171" s="30" t="s">
        <v>113</v>
      </c>
      <c r="I171" s="31" t="s">
        <v>29</v>
      </c>
    </row>
    <row r="172" spans="2:9" s="6" customFormat="1" ht="11.25" customHeight="1" x14ac:dyDescent="0.55000000000000004">
      <c r="B172" s="30" t="s">
        <v>383</v>
      </c>
      <c r="C172" s="30" t="s">
        <v>384</v>
      </c>
      <c r="D172" s="32">
        <v>68667</v>
      </c>
      <c r="E172" s="30" t="s">
        <v>15</v>
      </c>
      <c r="F172" s="30" t="s">
        <v>116</v>
      </c>
      <c r="G172" s="30"/>
      <c r="H172" s="30" t="s">
        <v>385</v>
      </c>
      <c r="I172" s="31" t="s">
        <v>29</v>
      </c>
    </row>
    <row r="173" spans="2:9" s="6" customFormat="1" ht="11.25" customHeight="1" x14ac:dyDescent="0.55000000000000004">
      <c r="B173" s="30" t="s">
        <v>386</v>
      </c>
      <c r="C173" s="30" t="s">
        <v>387</v>
      </c>
      <c r="D173" s="32">
        <v>82414</v>
      </c>
      <c r="E173" s="30" t="s">
        <v>15</v>
      </c>
      <c r="F173" s="30"/>
      <c r="G173" s="30"/>
      <c r="H173" s="30" t="s">
        <v>113</v>
      </c>
      <c r="I173" s="31" t="s">
        <v>29</v>
      </c>
    </row>
    <row r="174" spans="2:9" s="6" customFormat="1" ht="11.25" customHeight="1" x14ac:dyDescent="0.55000000000000004">
      <c r="B174" s="30" t="s">
        <v>388</v>
      </c>
      <c r="C174" s="30" t="s">
        <v>389</v>
      </c>
      <c r="D174" s="32">
        <v>60518</v>
      </c>
      <c r="E174" s="30" t="s">
        <v>20</v>
      </c>
      <c r="F174" s="30"/>
      <c r="G174" s="30" t="s">
        <v>80</v>
      </c>
      <c r="H174" s="30" t="s">
        <v>113</v>
      </c>
      <c r="I174" s="31">
        <v>1281564.699</v>
      </c>
    </row>
    <row r="175" spans="2:9" s="6" customFormat="1" ht="11.25" customHeight="1" x14ac:dyDescent="0.55000000000000004">
      <c r="B175" s="30" t="s">
        <v>390</v>
      </c>
      <c r="C175" s="30" t="s">
        <v>391</v>
      </c>
      <c r="D175" s="32">
        <v>60534</v>
      </c>
      <c r="E175" s="30" t="s">
        <v>20</v>
      </c>
      <c r="F175" s="30" t="s">
        <v>188</v>
      </c>
      <c r="G175" s="30" t="s">
        <v>21</v>
      </c>
      <c r="H175" s="30" t="s">
        <v>262</v>
      </c>
      <c r="I175" s="31">
        <v>2075345.7779999999</v>
      </c>
    </row>
    <row r="176" spans="2:9" s="6" customFormat="1" ht="11.25" customHeight="1" x14ac:dyDescent="0.55000000000000004">
      <c r="B176" s="30" t="s">
        <v>392</v>
      </c>
      <c r="C176" s="30" t="s">
        <v>393</v>
      </c>
      <c r="D176" s="32">
        <v>60542</v>
      </c>
      <c r="E176" s="30" t="s">
        <v>20</v>
      </c>
      <c r="F176" s="30"/>
      <c r="G176" s="30" t="s">
        <v>35</v>
      </c>
      <c r="H176" s="30" t="s">
        <v>86</v>
      </c>
      <c r="I176" s="31">
        <v>268244.04600000003</v>
      </c>
    </row>
    <row r="177" spans="2:9" s="6" customFormat="1" ht="11.25" customHeight="1" x14ac:dyDescent="0.55000000000000004">
      <c r="B177" s="30" t="s">
        <v>394</v>
      </c>
      <c r="C177" s="30" t="s">
        <v>395</v>
      </c>
      <c r="D177" s="32">
        <v>60577</v>
      </c>
      <c r="E177" s="30" t="s">
        <v>20</v>
      </c>
      <c r="F177" s="30" t="s">
        <v>396</v>
      </c>
      <c r="G177" s="30" t="s">
        <v>35</v>
      </c>
      <c r="H177" s="30" t="s">
        <v>113</v>
      </c>
      <c r="I177" s="31">
        <v>4391102.5970000001</v>
      </c>
    </row>
    <row r="178" spans="2:9" s="6" customFormat="1" ht="11.25" customHeight="1" x14ac:dyDescent="0.55000000000000004">
      <c r="B178" s="30" t="s">
        <v>397</v>
      </c>
      <c r="C178" s="30" t="s">
        <v>398</v>
      </c>
      <c r="D178" s="32">
        <v>60243</v>
      </c>
      <c r="E178" s="30" t="s">
        <v>20</v>
      </c>
      <c r="F178" s="30"/>
      <c r="G178" s="30" t="s">
        <v>39</v>
      </c>
      <c r="H178" s="30" t="s">
        <v>75</v>
      </c>
      <c r="I178" s="31">
        <v>17192.236000000001</v>
      </c>
    </row>
    <row r="179" spans="2:9" s="6" customFormat="1" ht="11.25" customHeight="1" x14ac:dyDescent="0.55000000000000004">
      <c r="B179" s="30" t="s">
        <v>399</v>
      </c>
      <c r="C179" s="30" t="s">
        <v>400</v>
      </c>
      <c r="D179" s="32">
        <v>74993</v>
      </c>
      <c r="E179" s="30" t="s">
        <v>15</v>
      </c>
      <c r="F179" s="30" t="s">
        <v>401</v>
      </c>
      <c r="G179" s="30"/>
      <c r="H179" s="30" t="s">
        <v>75</v>
      </c>
      <c r="I179" s="31" t="s">
        <v>29</v>
      </c>
    </row>
    <row r="180" spans="2:9" s="6" customFormat="1" ht="11.25" customHeight="1" x14ac:dyDescent="0.55000000000000004">
      <c r="B180" s="30" t="s">
        <v>402</v>
      </c>
      <c r="C180" s="30" t="s">
        <v>403</v>
      </c>
      <c r="D180" s="32">
        <v>81833</v>
      </c>
      <c r="E180" s="30" t="s">
        <v>15</v>
      </c>
      <c r="F180" s="30"/>
      <c r="G180" s="30" t="s">
        <v>35</v>
      </c>
      <c r="H180" s="30" t="s">
        <v>113</v>
      </c>
      <c r="I180" s="31" t="s">
        <v>29</v>
      </c>
    </row>
    <row r="181" spans="2:9" s="6" customFormat="1" ht="11.25" customHeight="1" x14ac:dyDescent="0.55000000000000004">
      <c r="B181" s="30" t="s">
        <v>404</v>
      </c>
      <c r="C181" s="30" t="s">
        <v>405</v>
      </c>
      <c r="D181" s="32">
        <v>81949</v>
      </c>
      <c r="E181" s="30" t="s">
        <v>15</v>
      </c>
      <c r="F181" s="30"/>
      <c r="G181" s="30" t="s">
        <v>39</v>
      </c>
      <c r="H181" s="30" t="s">
        <v>86</v>
      </c>
      <c r="I181" s="31" t="s">
        <v>29</v>
      </c>
    </row>
    <row r="182" spans="2:9" s="6" customFormat="1" ht="11.25" customHeight="1" x14ac:dyDescent="0.55000000000000004">
      <c r="B182" s="30" t="s">
        <v>406</v>
      </c>
      <c r="C182" s="30" t="s">
        <v>407</v>
      </c>
      <c r="D182" s="32">
        <v>88820</v>
      </c>
      <c r="E182" s="30" t="s">
        <v>20</v>
      </c>
      <c r="F182" s="30"/>
      <c r="G182" s="30" t="s">
        <v>35</v>
      </c>
      <c r="H182" s="30" t="s">
        <v>266</v>
      </c>
      <c r="I182" s="31">
        <v>1675.9470000000001</v>
      </c>
    </row>
    <row r="183" spans="2:9" s="6" customFormat="1" ht="11.25" customHeight="1" x14ac:dyDescent="0.55000000000000004">
      <c r="B183" s="30" t="s">
        <v>408</v>
      </c>
      <c r="C183" s="30" t="s">
        <v>409</v>
      </c>
      <c r="D183" s="32">
        <v>83887</v>
      </c>
      <c r="E183" s="30" t="s">
        <v>15</v>
      </c>
      <c r="F183" s="30"/>
      <c r="G183" s="30"/>
      <c r="H183" s="30" t="s">
        <v>266</v>
      </c>
      <c r="I183" s="31" t="s">
        <v>29</v>
      </c>
    </row>
    <row r="184" spans="2:9" s="6" customFormat="1" ht="11.25" customHeight="1" x14ac:dyDescent="0.55000000000000004">
      <c r="B184" s="30" t="s">
        <v>410</v>
      </c>
      <c r="C184" s="30" t="s">
        <v>411</v>
      </c>
      <c r="D184" s="32">
        <v>89427</v>
      </c>
      <c r="E184" s="30" t="s">
        <v>20</v>
      </c>
      <c r="F184" s="30"/>
      <c r="G184" s="30" t="s">
        <v>39</v>
      </c>
      <c r="H184" s="30" t="s">
        <v>75</v>
      </c>
      <c r="I184" s="31">
        <v>10970.848</v>
      </c>
    </row>
    <row r="185" spans="2:9" s="6" customFormat="1" ht="11.25" customHeight="1" x14ac:dyDescent="0.55000000000000004">
      <c r="B185" s="30" t="s">
        <v>412</v>
      </c>
      <c r="C185" s="30" t="s">
        <v>413</v>
      </c>
      <c r="D185" s="32">
        <v>60235</v>
      </c>
      <c r="E185" s="30" t="s">
        <v>15</v>
      </c>
      <c r="F185" s="30"/>
      <c r="G185" s="30" t="s">
        <v>155</v>
      </c>
      <c r="H185" s="30" t="s">
        <v>92</v>
      </c>
      <c r="I185" s="31" t="s">
        <v>29</v>
      </c>
    </row>
    <row r="186" spans="2:9" s="6" customFormat="1" ht="11.25" customHeight="1" x14ac:dyDescent="0.55000000000000004">
      <c r="B186" s="30" t="s">
        <v>414</v>
      </c>
      <c r="C186" s="30" t="s">
        <v>415</v>
      </c>
      <c r="D186" s="32">
        <v>90298</v>
      </c>
      <c r="E186" s="30" t="s">
        <v>15</v>
      </c>
      <c r="F186" s="30"/>
      <c r="G186" s="30"/>
      <c r="H186" s="30" t="s">
        <v>113</v>
      </c>
      <c r="I186" s="31" t="s">
        <v>29</v>
      </c>
    </row>
    <row r="187" spans="2:9" s="6" customFormat="1" ht="11.25" customHeight="1" x14ac:dyDescent="0.55000000000000004">
      <c r="B187" s="30" t="s">
        <v>416</v>
      </c>
      <c r="C187" s="30" t="s">
        <v>417</v>
      </c>
      <c r="D187" s="32">
        <v>80977</v>
      </c>
      <c r="E187" s="30" t="s">
        <v>15</v>
      </c>
      <c r="F187" s="30" t="s">
        <v>396</v>
      </c>
      <c r="G187" s="30" t="s">
        <v>35</v>
      </c>
      <c r="H187" s="30" t="s">
        <v>113</v>
      </c>
      <c r="I187" s="31" t="s">
        <v>29</v>
      </c>
    </row>
    <row r="188" spans="2:9" s="6" customFormat="1" ht="11.25" customHeight="1" x14ac:dyDescent="0.55000000000000004">
      <c r="B188" s="30" t="s">
        <v>418</v>
      </c>
      <c r="C188" s="30" t="s">
        <v>419</v>
      </c>
      <c r="D188" s="32">
        <v>73881</v>
      </c>
      <c r="E188" s="30" t="s">
        <v>20</v>
      </c>
      <c r="F188" s="30"/>
      <c r="G188" s="30" t="s">
        <v>155</v>
      </c>
      <c r="H188" s="30" t="s">
        <v>266</v>
      </c>
      <c r="I188" s="31">
        <v>53755.741000000002</v>
      </c>
    </row>
    <row r="189" spans="2:9" s="6" customFormat="1" ht="11.25" customHeight="1" x14ac:dyDescent="0.55000000000000004">
      <c r="B189" s="30" t="s">
        <v>420</v>
      </c>
      <c r="C189" s="30" t="s">
        <v>421</v>
      </c>
      <c r="D189" s="32">
        <v>60674</v>
      </c>
      <c r="E189" s="30" t="s">
        <v>15</v>
      </c>
      <c r="F189" s="30" t="s">
        <v>95</v>
      </c>
      <c r="G189" s="30" t="s">
        <v>16</v>
      </c>
      <c r="H189" s="30" t="s">
        <v>22</v>
      </c>
      <c r="I189" s="31" t="s">
        <v>29</v>
      </c>
    </row>
    <row r="190" spans="2:9" s="6" customFormat="1" ht="11.25" customHeight="1" x14ac:dyDescent="0.55000000000000004">
      <c r="B190" s="30" t="s">
        <v>422</v>
      </c>
      <c r="C190" s="30" t="s">
        <v>423</v>
      </c>
      <c r="D190" s="32">
        <v>67253</v>
      </c>
      <c r="E190" s="30" t="s">
        <v>20</v>
      </c>
      <c r="F190" s="30"/>
      <c r="G190" s="30" t="s">
        <v>155</v>
      </c>
      <c r="H190" s="30" t="s">
        <v>40</v>
      </c>
      <c r="I190" s="31">
        <v>186110.11199999999</v>
      </c>
    </row>
    <row r="191" spans="2:9" s="6" customFormat="1" ht="11.25" customHeight="1" x14ac:dyDescent="0.55000000000000004">
      <c r="B191" s="30" t="s">
        <v>424</v>
      </c>
      <c r="C191" s="30" t="s">
        <v>425</v>
      </c>
      <c r="D191" s="32">
        <v>88161</v>
      </c>
      <c r="E191" s="30" t="s">
        <v>15</v>
      </c>
      <c r="F191" s="30"/>
      <c r="G191" s="30"/>
      <c r="H191" s="30" t="s">
        <v>48</v>
      </c>
      <c r="I191" s="31" t="s">
        <v>29</v>
      </c>
    </row>
    <row r="192" spans="2:9" s="6" customFormat="1" ht="11.25" customHeight="1" x14ac:dyDescent="0.55000000000000004">
      <c r="B192" s="30" t="s">
        <v>426</v>
      </c>
      <c r="C192" s="30" t="s">
        <v>427</v>
      </c>
      <c r="D192" s="32">
        <v>60690</v>
      </c>
      <c r="E192" s="30" t="s">
        <v>20</v>
      </c>
      <c r="F192" s="30" t="s">
        <v>428</v>
      </c>
      <c r="G192" s="30" t="s">
        <v>35</v>
      </c>
      <c r="H192" s="30" t="s">
        <v>429</v>
      </c>
      <c r="I192" s="31">
        <v>11623116.99</v>
      </c>
    </row>
    <row r="193" spans="2:9" s="6" customFormat="1" ht="11.25" customHeight="1" x14ac:dyDescent="0.55000000000000004">
      <c r="B193" s="30" t="s">
        <v>430</v>
      </c>
      <c r="C193" s="30" t="s">
        <v>431</v>
      </c>
      <c r="D193" s="32">
        <v>60690</v>
      </c>
      <c r="E193" s="30" t="s">
        <v>20</v>
      </c>
      <c r="F193" s="30"/>
      <c r="G193" s="30"/>
      <c r="H193" s="30" t="s">
        <v>429</v>
      </c>
      <c r="I193" s="31" t="s">
        <v>29</v>
      </c>
    </row>
    <row r="194" spans="2:9" s="6" customFormat="1" ht="11.25" customHeight="1" x14ac:dyDescent="0.55000000000000004">
      <c r="B194" s="30" t="s">
        <v>432</v>
      </c>
      <c r="C194" s="30" t="s">
        <v>433</v>
      </c>
      <c r="D194" s="32">
        <v>60690</v>
      </c>
      <c r="E194" s="30" t="s">
        <v>20</v>
      </c>
      <c r="F194" s="30"/>
      <c r="G194" s="30"/>
      <c r="H194" s="30" t="s">
        <v>429</v>
      </c>
      <c r="I194" s="31" t="s">
        <v>29</v>
      </c>
    </row>
    <row r="195" spans="2:9" s="6" customFormat="1" ht="11.25" customHeight="1" x14ac:dyDescent="0.55000000000000004">
      <c r="B195" s="30" t="s">
        <v>434</v>
      </c>
      <c r="C195" s="30" t="s">
        <v>435</v>
      </c>
      <c r="D195" s="32">
        <v>60690</v>
      </c>
      <c r="E195" s="30" t="s">
        <v>20</v>
      </c>
      <c r="F195" s="30"/>
      <c r="G195" s="30"/>
      <c r="H195" s="30" t="s">
        <v>429</v>
      </c>
      <c r="I195" s="31" t="s">
        <v>29</v>
      </c>
    </row>
    <row r="196" spans="2:9" s="6" customFormat="1" ht="11.25" customHeight="1" x14ac:dyDescent="0.55000000000000004">
      <c r="B196" s="30" t="s">
        <v>436</v>
      </c>
      <c r="C196" s="30" t="s">
        <v>437</v>
      </c>
      <c r="D196" s="32">
        <v>60690</v>
      </c>
      <c r="E196" s="30" t="s">
        <v>20</v>
      </c>
      <c r="F196" s="30"/>
      <c r="G196" s="30"/>
      <c r="H196" s="30" t="s">
        <v>429</v>
      </c>
      <c r="I196" s="31" t="s">
        <v>29</v>
      </c>
    </row>
    <row r="197" spans="2:9" s="6" customFormat="1" ht="11.25" customHeight="1" x14ac:dyDescent="0.55000000000000004">
      <c r="B197" s="30" t="s">
        <v>438</v>
      </c>
      <c r="C197" s="30" t="s">
        <v>439</v>
      </c>
      <c r="D197" s="32">
        <v>84158</v>
      </c>
      <c r="E197" s="30" t="s">
        <v>15</v>
      </c>
      <c r="F197" s="30"/>
      <c r="G197" s="30" t="s">
        <v>39</v>
      </c>
      <c r="H197" s="30" t="s">
        <v>22</v>
      </c>
      <c r="I197" s="31" t="s">
        <v>29</v>
      </c>
    </row>
    <row r="198" spans="2:9" s="6" customFormat="1" ht="11.25" customHeight="1" x14ac:dyDescent="0.55000000000000004">
      <c r="B198" s="30" t="s">
        <v>440</v>
      </c>
      <c r="C198" s="30" t="s">
        <v>441</v>
      </c>
      <c r="D198" s="32">
        <v>81213</v>
      </c>
      <c r="E198" s="30" t="s">
        <v>20</v>
      </c>
      <c r="F198" s="30" t="s">
        <v>442</v>
      </c>
      <c r="G198" s="30" t="s">
        <v>155</v>
      </c>
      <c r="H198" s="30" t="s">
        <v>96</v>
      </c>
      <c r="I198" s="31">
        <v>63817.357000000004</v>
      </c>
    </row>
    <row r="199" spans="2:9" s="6" customFormat="1" ht="11.25" customHeight="1" x14ac:dyDescent="0.55000000000000004">
      <c r="B199" s="30" t="s">
        <v>443</v>
      </c>
      <c r="C199" s="30" t="s">
        <v>444</v>
      </c>
      <c r="D199" s="32">
        <v>81213</v>
      </c>
      <c r="E199" s="30" t="s">
        <v>20</v>
      </c>
      <c r="F199" s="30"/>
      <c r="G199" s="30"/>
      <c r="H199" s="30" t="s">
        <v>96</v>
      </c>
      <c r="I199" s="31" t="s">
        <v>29</v>
      </c>
    </row>
    <row r="200" spans="2:9" s="6" customFormat="1" ht="11.25" customHeight="1" x14ac:dyDescent="0.55000000000000004">
      <c r="B200" s="30" t="s">
        <v>445</v>
      </c>
      <c r="C200" s="30" t="s">
        <v>446</v>
      </c>
      <c r="D200" s="32">
        <v>81213</v>
      </c>
      <c r="E200" s="30" t="s">
        <v>20</v>
      </c>
      <c r="F200" s="30"/>
      <c r="G200" s="30"/>
      <c r="H200" s="30" t="s">
        <v>96</v>
      </c>
      <c r="I200" s="31" t="s">
        <v>29</v>
      </c>
    </row>
    <row r="201" spans="2:9" s="6" customFormat="1" ht="11.25" customHeight="1" x14ac:dyDescent="0.55000000000000004">
      <c r="B201" s="30" t="s">
        <v>447</v>
      </c>
      <c r="C201" s="30" t="s">
        <v>448</v>
      </c>
      <c r="D201" s="32">
        <v>81213</v>
      </c>
      <c r="E201" s="30" t="s">
        <v>20</v>
      </c>
      <c r="F201" s="30"/>
      <c r="G201" s="30"/>
      <c r="H201" s="30" t="s">
        <v>96</v>
      </c>
      <c r="I201" s="31" t="s">
        <v>29</v>
      </c>
    </row>
    <row r="202" spans="2:9" s="6" customFormat="1" ht="11.25" customHeight="1" x14ac:dyDescent="0.55000000000000004">
      <c r="B202" s="30" t="s">
        <v>449</v>
      </c>
      <c r="C202" s="30" t="s">
        <v>450</v>
      </c>
      <c r="D202" s="32">
        <v>60712</v>
      </c>
      <c r="E202" s="30" t="s">
        <v>15</v>
      </c>
      <c r="F202" s="30" t="s">
        <v>451</v>
      </c>
      <c r="G202" s="30"/>
      <c r="H202" s="30" t="s">
        <v>124</v>
      </c>
      <c r="I202" s="31" t="s">
        <v>29</v>
      </c>
    </row>
    <row r="203" spans="2:9" s="6" customFormat="1" ht="11.25" customHeight="1" x14ac:dyDescent="0.55000000000000004">
      <c r="B203" s="30" t="s">
        <v>452</v>
      </c>
      <c r="C203" s="30" t="s">
        <v>453</v>
      </c>
      <c r="D203" s="32">
        <v>91707</v>
      </c>
      <c r="E203" s="30" t="s">
        <v>15</v>
      </c>
      <c r="F203" s="30"/>
      <c r="G203" s="30"/>
      <c r="H203" s="30" t="s">
        <v>146</v>
      </c>
      <c r="I203" s="31" t="s">
        <v>29</v>
      </c>
    </row>
    <row r="204" spans="2:9" s="6" customFormat="1" ht="11.25" customHeight="1" x14ac:dyDescent="0.55000000000000004">
      <c r="B204" s="30" t="s">
        <v>454</v>
      </c>
      <c r="C204" s="30" t="s">
        <v>455</v>
      </c>
      <c r="D204" s="32">
        <v>81400</v>
      </c>
      <c r="E204" s="30" t="s">
        <v>15</v>
      </c>
      <c r="F204" s="30" t="s">
        <v>149</v>
      </c>
      <c r="G204" s="30"/>
      <c r="H204" s="30" t="s">
        <v>146</v>
      </c>
      <c r="I204" s="31" t="s">
        <v>29</v>
      </c>
    </row>
    <row r="205" spans="2:9" s="6" customFormat="1" ht="11.25" customHeight="1" x14ac:dyDescent="0.55000000000000004">
      <c r="B205" s="30" t="s">
        <v>456</v>
      </c>
      <c r="C205" s="30" t="s">
        <v>457</v>
      </c>
      <c r="D205" s="32">
        <v>81418</v>
      </c>
      <c r="E205" s="30" t="s">
        <v>15</v>
      </c>
      <c r="F205" s="30"/>
      <c r="G205" s="30" t="s">
        <v>16</v>
      </c>
      <c r="H205" s="30" t="s">
        <v>124</v>
      </c>
      <c r="I205" s="31" t="s">
        <v>29</v>
      </c>
    </row>
    <row r="206" spans="2:9" s="6" customFormat="1" ht="11.25" customHeight="1" x14ac:dyDescent="0.55000000000000004">
      <c r="B206" s="30" t="s">
        <v>458</v>
      </c>
      <c r="C206" s="30" t="s">
        <v>459</v>
      </c>
      <c r="D206" s="32">
        <v>67989</v>
      </c>
      <c r="E206" s="30" t="s">
        <v>20</v>
      </c>
      <c r="F206" s="30" t="s">
        <v>307</v>
      </c>
      <c r="G206" s="30" t="s">
        <v>25</v>
      </c>
      <c r="H206" s="30" t="s">
        <v>460</v>
      </c>
      <c r="I206" s="31">
        <v>3558611.236</v>
      </c>
    </row>
    <row r="207" spans="2:9" s="6" customFormat="1" ht="11.25" customHeight="1" x14ac:dyDescent="0.55000000000000004">
      <c r="B207" s="30" t="s">
        <v>461</v>
      </c>
      <c r="C207" s="30" t="s">
        <v>462</v>
      </c>
      <c r="D207" s="32">
        <v>90948</v>
      </c>
      <c r="E207" s="30" t="s">
        <v>15</v>
      </c>
      <c r="F207" s="30" t="s">
        <v>182</v>
      </c>
      <c r="G207" s="30"/>
      <c r="H207" s="30" t="s">
        <v>262</v>
      </c>
      <c r="I207" s="31" t="s">
        <v>29</v>
      </c>
    </row>
    <row r="208" spans="2:9" s="6" customFormat="1" ht="11.25" customHeight="1" x14ac:dyDescent="0.55000000000000004">
      <c r="B208" s="30" t="s">
        <v>463</v>
      </c>
      <c r="C208" s="30" t="s">
        <v>464</v>
      </c>
      <c r="D208" s="32">
        <v>65811</v>
      </c>
      <c r="E208" s="30" t="s">
        <v>15</v>
      </c>
      <c r="F208" s="30" t="s">
        <v>465</v>
      </c>
      <c r="G208" s="30" t="s">
        <v>80</v>
      </c>
      <c r="H208" s="30" t="s">
        <v>156</v>
      </c>
      <c r="I208" s="31" t="s">
        <v>29</v>
      </c>
    </row>
    <row r="209" spans="2:9" s="6" customFormat="1" ht="11.25" customHeight="1" x14ac:dyDescent="0.55000000000000004">
      <c r="B209" s="30" t="s">
        <v>283</v>
      </c>
      <c r="C209" s="30" t="s">
        <v>466</v>
      </c>
      <c r="D209" s="32" t="s">
        <v>29</v>
      </c>
      <c r="E209" s="30" t="s">
        <v>20</v>
      </c>
      <c r="F209" s="30" t="s">
        <v>283</v>
      </c>
      <c r="G209" s="30" t="s">
        <v>155</v>
      </c>
      <c r="H209" s="30" t="s">
        <v>113</v>
      </c>
      <c r="I209" s="31">
        <v>24352091.934</v>
      </c>
    </row>
    <row r="210" spans="2:9" s="6" customFormat="1" ht="11.25" customHeight="1" x14ac:dyDescent="0.55000000000000004">
      <c r="B210" s="30" t="s">
        <v>467</v>
      </c>
      <c r="C210" s="30" t="s">
        <v>468</v>
      </c>
      <c r="D210" s="32">
        <v>60739</v>
      </c>
      <c r="E210" s="30" t="s">
        <v>20</v>
      </c>
      <c r="F210" s="30" t="s">
        <v>283</v>
      </c>
      <c r="G210" s="30" t="s">
        <v>265</v>
      </c>
      <c r="H210" s="30" t="s">
        <v>113</v>
      </c>
      <c r="I210" s="31">
        <v>21443423.815000001</v>
      </c>
    </row>
    <row r="211" spans="2:9" s="6" customFormat="1" ht="11.25" customHeight="1" x14ac:dyDescent="0.55000000000000004">
      <c r="B211" s="30" t="s">
        <v>469</v>
      </c>
      <c r="C211" s="30" t="s">
        <v>470</v>
      </c>
      <c r="D211" s="32">
        <v>60739</v>
      </c>
      <c r="E211" s="30" t="s">
        <v>20</v>
      </c>
      <c r="F211" s="30"/>
      <c r="G211" s="30"/>
      <c r="H211" s="30" t="s">
        <v>113</v>
      </c>
      <c r="I211" s="31" t="s">
        <v>29</v>
      </c>
    </row>
    <row r="212" spans="2:9" s="6" customFormat="1" ht="11.25" customHeight="1" x14ac:dyDescent="0.55000000000000004">
      <c r="B212" s="30" t="s">
        <v>471</v>
      </c>
      <c r="C212" s="30" t="s">
        <v>472</v>
      </c>
      <c r="D212" s="32">
        <v>60739</v>
      </c>
      <c r="E212" s="30" t="s">
        <v>20</v>
      </c>
      <c r="F212" s="30"/>
      <c r="G212" s="30"/>
      <c r="H212" s="30" t="s">
        <v>113</v>
      </c>
      <c r="I212" s="31" t="s">
        <v>29</v>
      </c>
    </row>
    <row r="213" spans="2:9" s="6" customFormat="1" ht="11.25" customHeight="1" x14ac:dyDescent="0.55000000000000004">
      <c r="B213" s="30" t="s">
        <v>473</v>
      </c>
      <c r="C213" s="30" t="s">
        <v>474</v>
      </c>
      <c r="D213" s="32">
        <v>81078</v>
      </c>
      <c r="E213" s="30" t="s">
        <v>15</v>
      </c>
      <c r="F213" s="30"/>
      <c r="G213" s="30" t="s">
        <v>39</v>
      </c>
      <c r="H213" s="30" t="s">
        <v>75</v>
      </c>
      <c r="I213" s="31" t="s">
        <v>29</v>
      </c>
    </row>
    <row r="214" spans="2:9" s="6" customFormat="1" ht="11.25" customHeight="1" x14ac:dyDescent="0.55000000000000004">
      <c r="B214" s="30" t="s">
        <v>475</v>
      </c>
      <c r="C214" s="30" t="s">
        <v>476</v>
      </c>
      <c r="D214" s="32">
        <v>93653</v>
      </c>
      <c r="E214" s="30" t="s">
        <v>15</v>
      </c>
      <c r="F214" s="30" t="s">
        <v>221</v>
      </c>
      <c r="G214" s="30"/>
      <c r="H214" s="30" t="s">
        <v>156</v>
      </c>
      <c r="I214" s="31" t="s">
        <v>29</v>
      </c>
    </row>
    <row r="215" spans="2:9" s="6" customFormat="1" ht="11.25" customHeight="1" x14ac:dyDescent="0.55000000000000004">
      <c r="B215" s="30" t="s">
        <v>477</v>
      </c>
      <c r="C215" s="30" t="s">
        <v>478</v>
      </c>
      <c r="D215" s="32">
        <v>93653</v>
      </c>
      <c r="E215" s="30" t="s">
        <v>15</v>
      </c>
      <c r="F215" s="30"/>
      <c r="G215" s="30"/>
      <c r="H215" s="30" t="s">
        <v>156</v>
      </c>
      <c r="I215" s="31" t="s">
        <v>29</v>
      </c>
    </row>
    <row r="216" spans="2:9" s="6" customFormat="1" ht="11.25" customHeight="1" x14ac:dyDescent="0.55000000000000004">
      <c r="B216" s="30" t="s">
        <v>479</v>
      </c>
      <c r="C216" s="30" t="s">
        <v>480</v>
      </c>
      <c r="D216" s="32">
        <v>60763</v>
      </c>
      <c r="E216" s="30" t="s">
        <v>15</v>
      </c>
      <c r="F216" s="30" t="s">
        <v>481</v>
      </c>
      <c r="G216" s="30" t="s">
        <v>39</v>
      </c>
      <c r="H216" s="30" t="s">
        <v>262</v>
      </c>
      <c r="I216" s="31" t="s">
        <v>29</v>
      </c>
    </row>
    <row r="217" spans="2:9" s="6" customFormat="1" ht="11.25" customHeight="1" x14ac:dyDescent="0.55000000000000004">
      <c r="B217" s="30" t="s">
        <v>482</v>
      </c>
      <c r="C217" s="30" t="s">
        <v>483</v>
      </c>
      <c r="D217" s="32">
        <v>60801</v>
      </c>
      <c r="E217" s="30" t="s">
        <v>20</v>
      </c>
      <c r="F217" s="30" t="s">
        <v>347</v>
      </c>
      <c r="G217" s="30" t="s">
        <v>21</v>
      </c>
      <c r="H217" s="30" t="s">
        <v>179</v>
      </c>
      <c r="I217" s="31">
        <v>99243.638999999996</v>
      </c>
    </row>
    <row r="218" spans="2:9" s="6" customFormat="1" ht="11.25" customHeight="1" x14ac:dyDescent="0.55000000000000004">
      <c r="B218" s="30" t="s">
        <v>484</v>
      </c>
      <c r="C218" s="30" t="s">
        <v>485</v>
      </c>
      <c r="D218" s="32">
        <v>67679</v>
      </c>
      <c r="E218" s="30" t="s">
        <v>20</v>
      </c>
      <c r="F218" s="30" t="s">
        <v>331</v>
      </c>
      <c r="G218" s="30" t="s">
        <v>16</v>
      </c>
      <c r="H218" s="30" t="s">
        <v>63</v>
      </c>
      <c r="I218" s="31">
        <v>15118.76</v>
      </c>
    </row>
    <row r="219" spans="2:9" s="6" customFormat="1" ht="11.25" customHeight="1" x14ac:dyDescent="0.55000000000000004">
      <c r="B219" s="30" t="s">
        <v>486</v>
      </c>
      <c r="C219" s="30" t="s">
        <v>487</v>
      </c>
      <c r="D219" s="32">
        <v>60836</v>
      </c>
      <c r="E219" s="30" t="s">
        <v>20</v>
      </c>
      <c r="F219" s="30" t="s">
        <v>331</v>
      </c>
      <c r="G219" s="30" t="s">
        <v>39</v>
      </c>
      <c r="H219" s="30" t="s">
        <v>63</v>
      </c>
      <c r="I219" s="31">
        <v>1135277.574</v>
      </c>
    </row>
    <row r="220" spans="2:9" s="6" customFormat="1" ht="11.25" customHeight="1" x14ac:dyDescent="0.55000000000000004">
      <c r="B220" s="30" t="s">
        <v>488</v>
      </c>
      <c r="C220" s="30" t="s">
        <v>489</v>
      </c>
      <c r="D220" s="32">
        <v>60836</v>
      </c>
      <c r="E220" s="30" t="s">
        <v>20</v>
      </c>
      <c r="F220" s="30"/>
      <c r="G220" s="30"/>
      <c r="H220" s="30" t="s">
        <v>63</v>
      </c>
      <c r="I220" s="31" t="s">
        <v>29</v>
      </c>
    </row>
    <row r="221" spans="2:9" s="6" customFormat="1" ht="11.25" customHeight="1" x14ac:dyDescent="0.55000000000000004">
      <c r="B221" s="30" t="s">
        <v>490</v>
      </c>
      <c r="C221" s="30" t="s">
        <v>491</v>
      </c>
      <c r="D221" s="32">
        <v>60836</v>
      </c>
      <c r="E221" s="30" t="s">
        <v>20</v>
      </c>
      <c r="F221" s="30"/>
      <c r="G221" s="30"/>
      <c r="H221" s="30" t="s">
        <v>63</v>
      </c>
      <c r="I221" s="31" t="s">
        <v>29</v>
      </c>
    </row>
    <row r="222" spans="2:9" s="6" customFormat="1" ht="11.25" customHeight="1" x14ac:dyDescent="0.55000000000000004">
      <c r="B222" s="30" t="s">
        <v>492</v>
      </c>
      <c r="C222" s="30" t="s">
        <v>493</v>
      </c>
      <c r="D222" s="32">
        <v>72435</v>
      </c>
      <c r="E222" s="30" t="s">
        <v>15</v>
      </c>
      <c r="F222" s="30" t="s">
        <v>310</v>
      </c>
      <c r="G222" s="30" t="s">
        <v>155</v>
      </c>
      <c r="H222" s="30" t="s">
        <v>113</v>
      </c>
      <c r="I222" s="31" t="s">
        <v>29</v>
      </c>
    </row>
    <row r="223" spans="2:9" s="6" customFormat="1" ht="11.25" customHeight="1" x14ac:dyDescent="0.55000000000000004">
      <c r="B223" s="30" t="s">
        <v>494</v>
      </c>
      <c r="C223" s="30" t="s">
        <v>495</v>
      </c>
      <c r="D223" s="32">
        <v>60021</v>
      </c>
      <c r="E223" s="30" t="s">
        <v>15</v>
      </c>
      <c r="F223" s="30"/>
      <c r="G223" s="30"/>
      <c r="H223" s="30" t="s">
        <v>63</v>
      </c>
      <c r="I223" s="31" t="s">
        <v>29</v>
      </c>
    </row>
    <row r="224" spans="2:9" s="6" customFormat="1" ht="11.25" customHeight="1" x14ac:dyDescent="0.55000000000000004">
      <c r="B224" s="30" t="s">
        <v>496</v>
      </c>
      <c r="C224" s="30" t="s">
        <v>497</v>
      </c>
      <c r="D224" s="32">
        <v>91910</v>
      </c>
      <c r="E224" s="30" t="s">
        <v>20</v>
      </c>
      <c r="F224" s="30"/>
      <c r="G224" s="30" t="s">
        <v>155</v>
      </c>
      <c r="H224" s="30" t="s">
        <v>105</v>
      </c>
      <c r="I224" s="31">
        <v>66829.163</v>
      </c>
    </row>
    <row r="225" spans="2:9" s="6" customFormat="1" ht="11.25" customHeight="1" x14ac:dyDescent="0.55000000000000004">
      <c r="B225" s="30" t="s">
        <v>498</v>
      </c>
      <c r="C225" s="30" t="s">
        <v>499</v>
      </c>
      <c r="D225" s="32">
        <v>76201</v>
      </c>
      <c r="E225" s="30" t="s">
        <v>20</v>
      </c>
      <c r="F225" s="30"/>
      <c r="G225" s="30" t="s">
        <v>21</v>
      </c>
      <c r="H225" s="30" t="s">
        <v>500</v>
      </c>
      <c r="I225" s="31">
        <v>1484.086</v>
      </c>
    </row>
    <row r="226" spans="2:9" s="6" customFormat="1" ht="11.25" customHeight="1" x14ac:dyDescent="0.55000000000000004">
      <c r="B226" s="30" t="s">
        <v>501</v>
      </c>
      <c r="C226" s="30" t="s">
        <v>502</v>
      </c>
      <c r="D226" s="32">
        <v>60879</v>
      </c>
      <c r="E226" s="30" t="s">
        <v>15</v>
      </c>
      <c r="F226" s="30" t="s">
        <v>503</v>
      </c>
      <c r="G226" s="30"/>
      <c r="H226" s="30" t="s">
        <v>17</v>
      </c>
      <c r="I226" s="31" t="s">
        <v>29</v>
      </c>
    </row>
    <row r="227" spans="2:9" s="6" customFormat="1" ht="11.25" customHeight="1" x14ac:dyDescent="0.55000000000000004">
      <c r="B227" s="30" t="s">
        <v>504</v>
      </c>
      <c r="C227" s="30" t="s">
        <v>505</v>
      </c>
      <c r="D227" s="32">
        <v>61140</v>
      </c>
      <c r="E227" s="30" t="s">
        <v>15</v>
      </c>
      <c r="F227" s="30"/>
      <c r="G227" s="30" t="s">
        <v>21</v>
      </c>
      <c r="H227" s="30" t="s">
        <v>96</v>
      </c>
      <c r="I227" s="31" t="s">
        <v>29</v>
      </c>
    </row>
    <row r="228" spans="2:9" s="6" customFormat="1" ht="11.25" customHeight="1" x14ac:dyDescent="0.55000000000000004">
      <c r="B228" s="30" t="s">
        <v>506</v>
      </c>
      <c r="C228" s="30" t="s">
        <v>507</v>
      </c>
      <c r="D228" s="32">
        <v>78492</v>
      </c>
      <c r="E228" s="30" t="s">
        <v>15</v>
      </c>
      <c r="F228" s="30" t="s">
        <v>298</v>
      </c>
      <c r="G228" s="30"/>
      <c r="H228" s="30" t="s">
        <v>45</v>
      </c>
      <c r="I228" s="31" t="s">
        <v>29</v>
      </c>
    </row>
    <row r="229" spans="2:9" s="6" customFormat="1" ht="11.25" customHeight="1" x14ac:dyDescent="0.55000000000000004">
      <c r="B229" s="30" t="s">
        <v>508</v>
      </c>
      <c r="C229" s="30" t="s">
        <v>509</v>
      </c>
      <c r="D229" s="32">
        <v>76872</v>
      </c>
      <c r="E229" s="30" t="s">
        <v>15</v>
      </c>
      <c r="F229" s="30"/>
      <c r="G229" s="30"/>
      <c r="H229" s="30" t="s">
        <v>113</v>
      </c>
      <c r="I229" s="31" t="s">
        <v>29</v>
      </c>
    </row>
    <row r="230" spans="2:9" s="6" customFormat="1" ht="11.25" customHeight="1" x14ac:dyDescent="0.55000000000000004">
      <c r="B230" s="30" t="s">
        <v>510</v>
      </c>
      <c r="C230" s="30" t="s">
        <v>511</v>
      </c>
      <c r="D230" s="32">
        <v>60887</v>
      </c>
      <c r="E230" s="30" t="s">
        <v>15</v>
      </c>
      <c r="F230" s="30"/>
      <c r="G230" s="30"/>
      <c r="H230" s="30" t="s">
        <v>22</v>
      </c>
      <c r="I230" s="31" t="s">
        <v>29</v>
      </c>
    </row>
    <row r="231" spans="2:9" s="6" customFormat="1" ht="11.25" customHeight="1" x14ac:dyDescent="0.55000000000000004">
      <c r="B231" s="30" t="s">
        <v>512</v>
      </c>
      <c r="C231" s="30" t="s">
        <v>513</v>
      </c>
      <c r="D231" s="32">
        <v>60895</v>
      </c>
      <c r="E231" s="30" t="s">
        <v>20</v>
      </c>
      <c r="F231" s="30" t="s">
        <v>514</v>
      </c>
      <c r="G231" s="30" t="s">
        <v>155</v>
      </c>
      <c r="H231" s="30" t="s">
        <v>150</v>
      </c>
      <c r="I231" s="31">
        <v>31388903.536000002</v>
      </c>
    </row>
    <row r="232" spans="2:9" s="6" customFormat="1" ht="11.25" customHeight="1" x14ac:dyDescent="0.55000000000000004">
      <c r="B232" s="30" t="s">
        <v>515</v>
      </c>
      <c r="C232" s="30" t="s">
        <v>516</v>
      </c>
      <c r="D232" s="32">
        <v>60895</v>
      </c>
      <c r="E232" s="30" t="s">
        <v>20</v>
      </c>
      <c r="F232" s="30"/>
      <c r="G232" s="30"/>
      <c r="H232" s="30" t="s">
        <v>150</v>
      </c>
      <c r="I232" s="31" t="s">
        <v>29</v>
      </c>
    </row>
    <row r="233" spans="2:9" s="6" customFormat="1" ht="11.25" customHeight="1" x14ac:dyDescent="0.55000000000000004">
      <c r="B233" s="30" t="s">
        <v>517</v>
      </c>
      <c r="C233" s="30" t="s">
        <v>518</v>
      </c>
      <c r="D233" s="32">
        <v>60895</v>
      </c>
      <c r="E233" s="30" t="s">
        <v>20</v>
      </c>
      <c r="F233" s="30"/>
      <c r="G233" s="30"/>
      <c r="H233" s="30" t="s">
        <v>150</v>
      </c>
      <c r="I233" s="31" t="s">
        <v>29</v>
      </c>
    </row>
    <row r="234" spans="2:9" s="6" customFormat="1" ht="11.25" customHeight="1" x14ac:dyDescent="0.55000000000000004">
      <c r="B234" s="30" t="s">
        <v>519</v>
      </c>
      <c r="C234" s="30" t="s">
        <v>520</v>
      </c>
      <c r="D234" s="32">
        <v>97314</v>
      </c>
      <c r="E234" s="30" t="s">
        <v>15</v>
      </c>
      <c r="F234" s="30" t="s">
        <v>273</v>
      </c>
      <c r="G234" s="30"/>
      <c r="H234" s="30" t="s">
        <v>63</v>
      </c>
      <c r="I234" s="31" t="s">
        <v>29</v>
      </c>
    </row>
    <row r="235" spans="2:9" s="6" customFormat="1" ht="11.25" customHeight="1" x14ac:dyDescent="0.55000000000000004">
      <c r="B235" s="30" t="s">
        <v>521</v>
      </c>
      <c r="C235" s="30" t="s">
        <v>522</v>
      </c>
      <c r="D235" s="32">
        <v>60917</v>
      </c>
      <c r="E235" s="30" t="s">
        <v>15</v>
      </c>
      <c r="F235" s="30"/>
      <c r="G235" s="30"/>
      <c r="H235" s="30" t="s">
        <v>239</v>
      </c>
      <c r="I235" s="31" t="s">
        <v>29</v>
      </c>
    </row>
    <row r="236" spans="2:9" s="6" customFormat="1" ht="11.25" customHeight="1" x14ac:dyDescent="0.55000000000000004">
      <c r="B236" s="30" t="s">
        <v>523</v>
      </c>
      <c r="C236" s="30" t="s">
        <v>524</v>
      </c>
      <c r="D236" s="32">
        <v>68594</v>
      </c>
      <c r="E236" s="30" t="s">
        <v>20</v>
      </c>
      <c r="F236" s="30" t="s">
        <v>525</v>
      </c>
      <c r="G236" s="30" t="s">
        <v>35</v>
      </c>
      <c r="H236" s="30" t="s">
        <v>113</v>
      </c>
      <c r="I236" s="31">
        <v>336003.103</v>
      </c>
    </row>
    <row r="237" spans="2:9" s="6" customFormat="1" ht="11.25" customHeight="1" x14ac:dyDescent="0.55000000000000004">
      <c r="B237" s="30" t="s">
        <v>526</v>
      </c>
      <c r="C237" s="30" t="s">
        <v>527</v>
      </c>
      <c r="D237" s="32" t="s">
        <v>29</v>
      </c>
      <c r="E237" s="30" t="s">
        <v>20</v>
      </c>
      <c r="F237" s="30" t="s">
        <v>526</v>
      </c>
      <c r="G237" s="30" t="s">
        <v>265</v>
      </c>
      <c r="H237" s="30" t="s">
        <v>500</v>
      </c>
      <c r="I237" s="31">
        <v>6030081.7680000002</v>
      </c>
    </row>
    <row r="238" spans="2:9" s="6" customFormat="1" ht="11.25" customHeight="1" x14ac:dyDescent="0.55000000000000004">
      <c r="B238" s="30" t="s">
        <v>528</v>
      </c>
      <c r="C238" s="30" t="s">
        <v>529</v>
      </c>
      <c r="D238" s="32">
        <v>61999</v>
      </c>
      <c r="E238" s="30" t="s">
        <v>20</v>
      </c>
      <c r="F238" s="30" t="s">
        <v>526</v>
      </c>
      <c r="G238" s="30" t="s">
        <v>265</v>
      </c>
      <c r="H238" s="30" t="s">
        <v>500</v>
      </c>
      <c r="I238" s="31">
        <v>4935941.9910000004</v>
      </c>
    </row>
    <row r="239" spans="2:9" s="6" customFormat="1" ht="11.25" customHeight="1" x14ac:dyDescent="0.55000000000000004">
      <c r="B239" s="30" t="s">
        <v>530</v>
      </c>
      <c r="C239" s="30" t="s">
        <v>531</v>
      </c>
      <c r="D239" s="32">
        <v>94471</v>
      </c>
      <c r="E239" s="30" t="s">
        <v>15</v>
      </c>
      <c r="F239" s="30" t="s">
        <v>532</v>
      </c>
      <c r="G239" s="30" t="s">
        <v>155</v>
      </c>
      <c r="H239" s="30" t="s">
        <v>52</v>
      </c>
      <c r="I239" s="31" t="s">
        <v>29</v>
      </c>
    </row>
    <row r="240" spans="2:9" s="6" customFormat="1" ht="11.25" customHeight="1" x14ac:dyDescent="0.55000000000000004">
      <c r="B240" s="30" t="s">
        <v>51</v>
      </c>
      <c r="C240" s="30" t="s">
        <v>533</v>
      </c>
      <c r="D240" s="32" t="s">
        <v>29</v>
      </c>
      <c r="E240" s="30" t="s">
        <v>20</v>
      </c>
      <c r="F240" s="30" t="s">
        <v>51</v>
      </c>
      <c r="G240" s="30" t="s">
        <v>88</v>
      </c>
      <c r="H240" s="30" t="s">
        <v>40</v>
      </c>
      <c r="I240" s="31">
        <v>25695600.77</v>
      </c>
    </row>
    <row r="241" spans="2:9" s="6" customFormat="1" ht="11.25" customHeight="1" x14ac:dyDescent="0.55000000000000004">
      <c r="B241" s="30" t="s">
        <v>534</v>
      </c>
      <c r="C241" s="30" t="s">
        <v>535</v>
      </c>
      <c r="D241" s="32" t="s">
        <v>29</v>
      </c>
      <c r="E241" s="30" t="s">
        <v>20</v>
      </c>
      <c r="F241" s="30"/>
      <c r="G241" s="30"/>
      <c r="H241" s="30" t="s">
        <v>40</v>
      </c>
      <c r="I241" s="31" t="s">
        <v>29</v>
      </c>
    </row>
    <row r="242" spans="2:9" s="6" customFormat="1" ht="11.25" customHeight="1" x14ac:dyDescent="0.55000000000000004">
      <c r="B242" s="30" t="s">
        <v>536</v>
      </c>
      <c r="C242" s="30" t="s">
        <v>537</v>
      </c>
      <c r="D242" s="32">
        <v>72630</v>
      </c>
      <c r="E242" s="30" t="s">
        <v>15</v>
      </c>
      <c r="F242" s="30" t="s">
        <v>51</v>
      </c>
      <c r="G242" s="30"/>
      <c r="H242" s="30" t="s">
        <v>124</v>
      </c>
      <c r="I242" s="31" t="s">
        <v>29</v>
      </c>
    </row>
    <row r="243" spans="2:9" s="6" customFormat="1" ht="11.25" customHeight="1" x14ac:dyDescent="0.55000000000000004">
      <c r="B243" s="30" t="s">
        <v>538</v>
      </c>
      <c r="C243" s="30" t="s">
        <v>539</v>
      </c>
      <c r="D243" s="32">
        <v>60033</v>
      </c>
      <c r="E243" s="30" t="s">
        <v>20</v>
      </c>
      <c r="F243" s="30" t="s">
        <v>51</v>
      </c>
      <c r="G243" s="30" t="s">
        <v>155</v>
      </c>
      <c r="H243" s="30" t="s">
        <v>124</v>
      </c>
      <c r="I243" s="31">
        <v>1746688.2040000001</v>
      </c>
    </row>
    <row r="244" spans="2:9" s="6" customFormat="1" ht="11.25" customHeight="1" x14ac:dyDescent="0.55000000000000004">
      <c r="B244" s="30" t="s">
        <v>540</v>
      </c>
      <c r="C244" s="30" t="s">
        <v>541</v>
      </c>
      <c r="D244" s="32">
        <v>60033</v>
      </c>
      <c r="E244" s="30" t="s">
        <v>20</v>
      </c>
      <c r="F244" s="30"/>
      <c r="G244" s="30"/>
      <c r="H244" s="30" t="s">
        <v>124</v>
      </c>
      <c r="I244" s="31" t="s">
        <v>29</v>
      </c>
    </row>
    <row r="245" spans="2:9" s="6" customFormat="1" ht="11.25" customHeight="1" x14ac:dyDescent="0.55000000000000004">
      <c r="B245" s="30" t="s">
        <v>542</v>
      </c>
      <c r="C245" s="30" t="s">
        <v>543</v>
      </c>
      <c r="D245" s="32">
        <v>60033</v>
      </c>
      <c r="E245" s="30" t="s">
        <v>20</v>
      </c>
      <c r="F245" s="30"/>
      <c r="G245" s="30"/>
      <c r="H245" s="30" t="s">
        <v>124</v>
      </c>
      <c r="I245" s="31" t="s">
        <v>29</v>
      </c>
    </row>
    <row r="246" spans="2:9" s="6" customFormat="1" ht="11.25" customHeight="1" x14ac:dyDescent="0.55000000000000004">
      <c r="B246" s="30" t="s">
        <v>544</v>
      </c>
      <c r="C246" s="30" t="s">
        <v>545</v>
      </c>
      <c r="D246" s="32">
        <v>61301</v>
      </c>
      <c r="E246" s="30" t="s">
        <v>20</v>
      </c>
      <c r="F246" s="30" t="s">
        <v>51</v>
      </c>
      <c r="G246" s="30" t="s">
        <v>155</v>
      </c>
      <c r="H246" s="30" t="s">
        <v>40</v>
      </c>
      <c r="I246" s="31">
        <v>24057136.832000002</v>
      </c>
    </row>
    <row r="247" spans="2:9" s="6" customFormat="1" ht="11.25" customHeight="1" x14ac:dyDescent="0.55000000000000004">
      <c r="B247" s="30" t="s">
        <v>546</v>
      </c>
      <c r="C247" s="30" t="s">
        <v>547</v>
      </c>
      <c r="D247" s="32">
        <v>61301</v>
      </c>
      <c r="E247" s="30" t="s">
        <v>20</v>
      </c>
      <c r="F247" s="30"/>
      <c r="G247" s="30"/>
      <c r="H247" s="30" t="s">
        <v>40</v>
      </c>
      <c r="I247" s="31" t="s">
        <v>29</v>
      </c>
    </row>
    <row r="248" spans="2:9" s="6" customFormat="1" ht="11.25" customHeight="1" x14ac:dyDescent="0.55000000000000004">
      <c r="B248" s="30" t="s">
        <v>548</v>
      </c>
      <c r="C248" s="30" t="s">
        <v>549</v>
      </c>
      <c r="D248" s="32">
        <v>61301</v>
      </c>
      <c r="E248" s="30" t="s">
        <v>20</v>
      </c>
      <c r="F248" s="30"/>
      <c r="G248" s="30"/>
      <c r="H248" s="30" t="s">
        <v>40</v>
      </c>
      <c r="I248" s="31" t="s">
        <v>29</v>
      </c>
    </row>
    <row r="249" spans="2:9" s="6" customFormat="1" ht="11.25" customHeight="1" x14ac:dyDescent="0.55000000000000004">
      <c r="B249" s="30" t="s">
        <v>550</v>
      </c>
      <c r="C249" s="30" t="s">
        <v>551</v>
      </c>
      <c r="D249" s="32">
        <v>97977</v>
      </c>
      <c r="E249" s="30" t="s">
        <v>15</v>
      </c>
      <c r="F249" s="30" t="s">
        <v>51</v>
      </c>
      <c r="G249" s="30" t="s">
        <v>265</v>
      </c>
      <c r="H249" s="30" t="s">
        <v>40</v>
      </c>
      <c r="I249" s="31" t="s">
        <v>29</v>
      </c>
    </row>
    <row r="250" spans="2:9" s="6" customFormat="1" ht="11.25" customHeight="1" x14ac:dyDescent="0.55000000000000004">
      <c r="B250" s="30" t="s">
        <v>552</v>
      </c>
      <c r="C250" s="30" t="s">
        <v>553</v>
      </c>
      <c r="D250" s="32">
        <v>97977</v>
      </c>
      <c r="E250" s="30" t="s">
        <v>15</v>
      </c>
      <c r="F250" s="30"/>
      <c r="G250" s="30"/>
      <c r="H250" s="30" t="s">
        <v>40</v>
      </c>
      <c r="I250" s="31" t="s">
        <v>29</v>
      </c>
    </row>
    <row r="251" spans="2:9" s="6" customFormat="1" ht="11.25" customHeight="1" x14ac:dyDescent="0.55000000000000004">
      <c r="B251" s="30" t="s">
        <v>554</v>
      </c>
      <c r="C251" s="30" t="s">
        <v>555</v>
      </c>
      <c r="D251" s="32">
        <v>72222</v>
      </c>
      <c r="E251" s="30" t="s">
        <v>20</v>
      </c>
      <c r="F251" s="30"/>
      <c r="G251" s="30" t="s">
        <v>35</v>
      </c>
      <c r="H251" s="30" t="s">
        <v>556</v>
      </c>
      <c r="I251" s="31">
        <v>1361218.9540000001</v>
      </c>
    </row>
    <row r="252" spans="2:9" s="6" customFormat="1" ht="11.25" customHeight="1" x14ac:dyDescent="0.55000000000000004">
      <c r="B252" s="30" t="s">
        <v>557</v>
      </c>
      <c r="C252" s="30" t="s">
        <v>558</v>
      </c>
      <c r="D252" s="32">
        <v>60092</v>
      </c>
      <c r="E252" s="30" t="s">
        <v>15</v>
      </c>
      <c r="F252" s="30"/>
      <c r="G252" s="30"/>
      <c r="H252" s="30" t="s">
        <v>113</v>
      </c>
      <c r="I252" s="31" t="s">
        <v>29</v>
      </c>
    </row>
    <row r="253" spans="2:9" s="6" customFormat="1" ht="11.25" customHeight="1" x14ac:dyDescent="0.55000000000000004">
      <c r="B253" s="30" t="s">
        <v>559</v>
      </c>
      <c r="C253" s="30" t="s">
        <v>560</v>
      </c>
      <c r="D253" s="32">
        <v>74659</v>
      </c>
      <c r="E253" s="30" t="s">
        <v>15</v>
      </c>
      <c r="F253" s="30"/>
      <c r="G253" s="30"/>
      <c r="H253" s="30" t="s">
        <v>48</v>
      </c>
      <c r="I253" s="31" t="s">
        <v>29</v>
      </c>
    </row>
    <row r="254" spans="2:9" s="6" customFormat="1" ht="11.25" customHeight="1" x14ac:dyDescent="0.55000000000000004">
      <c r="B254" s="30" t="s">
        <v>561</v>
      </c>
      <c r="C254" s="30" t="s">
        <v>562</v>
      </c>
      <c r="D254" s="32">
        <v>93661</v>
      </c>
      <c r="E254" s="30" t="s">
        <v>20</v>
      </c>
      <c r="F254" s="30" t="s">
        <v>563</v>
      </c>
      <c r="G254" s="30" t="s">
        <v>155</v>
      </c>
      <c r="H254" s="30" t="s">
        <v>313</v>
      </c>
      <c r="I254" s="31">
        <v>3213627.7050000001</v>
      </c>
    </row>
    <row r="255" spans="2:9" s="6" customFormat="1" ht="11.25" customHeight="1" x14ac:dyDescent="0.55000000000000004">
      <c r="B255" s="30" t="s">
        <v>564</v>
      </c>
      <c r="C255" s="30" t="s">
        <v>565</v>
      </c>
      <c r="D255" s="32">
        <v>93661</v>
      </c>
      <c r="E255" s="30" t="s">
        <v>20</v>
      </c>
      <c r="F255" s="30"/>
      <c r="G255" s="30"/>
      <c r="H255" s="30" t="s">
        <v>313</v>
      </c>
      <c r="I255" s="31" t="s">
        <v>29</v>
      </c>
    </row>
    <row r="256" spans="2:9" s="6" customFormat="1" ht="11.25" customHeight="1" x14ac:dyDescent="0.55000000000000004">
      <c r="B256" s="30" t="s">
        <v>566</v>
      </c>
      <c r="C256" s="30" t="s">
        <v>567</v>
      </c>
      <c r="D256" s="32">
        <v>93661</v>
      </c>
      <c r="E256" s="30" t="s">
        <v>20</v>
      </c>
      <c r="F256" s="30"/>
      <c r="G256" s="30"/>
      <c r="H256" s="30" t="s">
        <v>313</v>
      </c>
      <c r="I256" s="31" t="s">
        <v>29</v>
      </c>
    </row>
    <row r="257" spans="2:9" s="6" customFormat="1" ht="11.25" customHeight="1" x14ac:dyDescent="0.55000000000000004">
      <c r="B257" s="30" t="s">
        <v>568</v>
      </c>
      <c r="C257" s="30" t="s">
        <v>569</v>
      </c>
      <c r="D257" s="32" t="s">
        <v>29</v>
      </c>
      <c r="E257" s="30" t="s">
        <v>20</v>
      </c>
      <c r="F257" s="30" t="s">
        <v>568</v>
      </c>
      <c r="G257" s="30" t="s">
        <v>129</v>
      </c>
      <c r="H257" s="30" t="s">
        <v>150</v>
      </c>
      <c r="I257" s="31">
        <v>1757335.513</v>
      </c>
    </row>
    <row r="258" spans="2:9" s="6" customFormat="1" ht="11.25" customHeight="1" x14ac:dyDescent="0.55000000000000004">
      <c r="B258" s="30" t="s">
        <v>570</v>
      </c>
      <c r="C258" s="30" t="s">
        <v>571</v>
      </c>
      <c r="D258" s="32">
        <v>65358</v>
      </c>
      <c r="E258" s="30" t="s">
        <v>15</v>
      </c>
      <c r="F258" s="30"/>
      <c r="G258" s="30"/>
      <c r="H258" s="30" t="s">
        <v>96</v>
      </c>
      <c r="I258" s="31" t="s">
        <v>29</v>
      </c>
    </row>
    <row r="259" spans="2:9" s="6" customFormat="1" ht="11.25" customHeight="1" x14ac:dyDescent="0.55000000000000004">
      <c r="B259" s="30" t="s">
        <v>572</v>
      </c>
      <c r="C259" s="30" t="s">
        <v>573</v>
      </c>
      <c r="D259" s="32">
        <v>13573</v>
      </c>
      <c r="E259" s="30" t="s">
        <v>20</v>
      </c>
      <c r="F259" s="30" t="s">
        <v>568</v>
      </c>
      <c r="G259" s="30" t="s">
        <v>129</v>
      </c>
      <c r="H259" s="30" t="s">
        <v>124</v>
      </c>
      <c r="I259" s="31">
        <v>29388.268</v>
      </c>
    </row>
    <row r="260" spans="2:9" s="6" customFormat="1" ht="11.25" customHeight="1" x14ac:dyDescent="0.55000000000000004">
      <c r="B260" s="30" t="s">
        <v>574</v>
      </c>
      <c r="C260" s="30" t="s">
        <v>575</v>
      </c>
      <c r="D260" s="32">
        <v>65790</v>
      </c>
      <c r="E260" s="30" t="s">
        <v>15</v>
      </c>
      <c r="F260" s="30"/>
      <c r="G260" s="30"/>
      <c r="H260" s="30" t="s">
        <v>239</v>
      </c>
      <c r="I260" s="31" t="s">
        <v>29</v>
      </c>
    </row>
    <row r="261" spans="2:9" s="6" customFormat="1" ht="11.25" customHeight="1" x14ac:dyDescent="0.55000000000000004">
      <c r="B261" s="30" t="s">
        <v>576</v>
      </c>
      <c r="C261" s="30" t="s">
        <v>577</v>
      </c>
      <c r="D261" s="32">
        <v>61069</v>
      </c>
      <c r="E261" s="30" t="s">
        <v>20</v>
      </c>
      <c r="F261" s="30" t="s">
        <v>568</v>
      </c>
      <c r="G261" s="30" t="s">
        <v>129</v>
      </c>
      <c r="H261" s="30" t="s">
        <v>313</v>
      </c>
      <c r="I261" s="31">
        <v>761705.08299999998</v>
      </c>
    </row>
    <row r="262" spans="2:9" s="6" customFormat="1" ht="11.25" customHeight="1" x14ac:dyDescent="0.55000000000000004">
      <c r="B262" s="30" t="s">
        <v>578</v>
      </c>
      <c r="C262" s="30" t="s">
        <v>579</v>
      </c>
      <c r="D262" s="32">
        <v>72591</v>
      </c>
      <c r="E262" s="30" t="s">
        <v>15</v>
      </c>
      <c r="F262" s="30"/>
      <c r="G262" s="30"/>
      <c r="H262" s="30" t="s">
        <v>22</v>
      </c>
      <c r="I262" s="31" t="s">
        <v>29</v>
      </c>
    </row>
    <row r="263" spans="2:9" s="6" customFormat="1" ht="11.25" customHeight="1" x14ac:dyDescent="0.55000000000000004">
      <c r="B263" s="30" t="s">
        <v>580</v>
      </c>
      <c r="C263" s="30" t="s">
        <v>581</v>
      </c>
      <c r="D263" s="32">
        <v>60056</v>
      </c>
      <c r="E263" s="30" t="s">
        <v>15</v>
      </c>
      <c r="F263" s="30"/>
      <c r="G263" s="30"/>
      <c r="H263" s="30" t="s">
        <v>582</v>
      </c>
      <c r="I263" s="31" t="s">
        <v>29</v>
      </c>
    </row>
    <row r="264" spans="2:9" s="6" customFormat="1" ht="11.25" customHeight="1" x14ac:dyDescent="0.55000000000000004">
      <c r="B264" s="30" t="s">
        <v>583</v>
      </c>
      <c r="C264" s="30" t="s">
        <v>584</v>
      </c>
      <c r="D264" s="32">
        <v>72060</v>
      </c>
      <c r="E264" s="30" t="s">
        <v>15</v>
      </c>
      <c r="F264" s="30"/>
      <c r="G264" s="30"/>
      <c r="H264" s="30" t="s">
        <v>239</v>
      </c>
      <c r="I264" s="31" t="s">
        <v>29</v>
      </c>
    </row>
    <row r="265" spans="2:9" s="6" customFormat="1" ht="11.25" customHeight="1" x14ac:dyDescent="0.55000000000000004">
      <c r="B265" s="30" t="s">
        <v>585</v>
      </c>
      <c r="C265" s="30" t="s">
        <v>586</v>
      </c>
      <c r="D265" s="32">
        <v>94242</v>
      </c>
      <c r="E265" s="30" t="s">
        <v>15</v>
      </c>
      <c r="F265" s="30" t="s">
        <v>182</v>
      </c>
      <c r="G265" s="30"/>
      <c r="H265" s="30" t="s">
        <v>262</v>
      </c>
      <c r="I265" s="31" t="s">
        <v>29</v>
      </c>
    </row>
    <row r="266" spans="2:9" s="6" customFormat="1" ht="11.25" customHeight="1" x14ac:dyDescent="0.55000000000000004">
      <c r="B266" s="30" t="s">
        <v>587</v>
      </c>
      <c r="C266" s="30" t="s">
        <v>588</v>
      </c>
      <c r="D266" s="32">
        <v>86118</v>
      </c>
      <c r="E266" s="30" t="s">
        <v>20</v>
      </c>
      <c r="F266" s="30"/>
      <c r="G266" s="30" t="s">
        <v>80</v>
      </c>
      <c r="H266" s="30" t="s">
        <v>266</v>
      </c>
      <c r="I266" s="31">
        <v>2546.0309999999999</v>
      </c>
    </row>
    <row r="267" spans="2:9" s="6" customFormat="1" ht="11.25" customHeight="1" x14ac:dyDescent="0.55000000000000004">
      <c r="B267" s="30" t="s">
        <v>589</v>
      </c>
      <c r="C267" s="30" t="s">
        <v>590</v>
      </c>
      <c r="D267" s="32">
        <v>97551</v>
      </c>
      <c r="E267" s="30" t="s">
        <v>15</v>
      </c>
      <c r="F267" s="30" t="s">
        <v>591</v>
      </c>
      <c r="G267" s="30" t="s">
        <v>80</v>
      </c>
      <c r="H267" s="30" t="s">
        <v>313</v>
      </c>
      <c r="I267" s="31" t="s">
        <v>29</v>
      </c>
    </row>
    <row r="268" spans="2:9" s="6" customFormat="1" ht="11.25" customHeight="1" x14ac:dyDescent="0.55000000000000004">
      <c r="B268" s="30" t="s">
        <v>592</v>
      </c>
      <c r="C268" s="30" t="s">
        <v>593</v>
      </c>
      <c r="D268" s="32">
        <v>72656</v>
      </c>
      <c r="E268" s="30" t="s">
        <v>15</v>
      </c>
      <c r="F268" s="30" t="s">
        <v>71</v>
      </c>
      <c r="G268" s="30" t="s">
        <v>265</v>
      </c>
      <c r="H268" s="30" t="s">
        <v>150</v>
      </c>
      <c r="I268" s="31" t="s">
        <v>29</v>
      </c>
    </row>
    <row r="269" spans="2:9" s="6" customFormat="1" ht="11.25" customHeight="1" x14ac:dyDescent="0.55000000000000004">
      <c r="B269" s="30" t="s">
        <v>594</v>
      </c>
      <c r="C269" s="30" t="s">
        <v>595</v>
      </c>
      <c r="D269" s="32">
        <v>76813</v>
      </c>
      <c r="E269" s="30" t="s">
        <v>15</v>
      </c>
      <c r="F269" s="30"/>
      <c r="G269" s="30"/>
      <c r="H269" s="30" t="s">
        <v>48</v>
      </c>
      <c r="I269" s="31" t="s">
        <v>29</v>
      </c>
    </row>
    <row r="270" spans="2:9" s="6" customFormat="1" ht="11.25" customHeight="1" x14ac:dyDescent="0.55000000000000004">
      <c r="B270" s="30" t="s">
        <v>596</v>
      </c>
      <c r="C270" s="30" t="s">
        <v>597</v>
      </c>
      <c r="D270" s="32">
        <v>83917</v>
      </c>
      <c r="E270" s="30" t="s">
        <v>15</v>
      </c>
      <c r="F270" s="30"/>
      <c r="G270" s="30" t="s">
        <v>35</v>
      </c>
      <c r="H270" s="30" t="s">
        <v>266</v>
      </c>
      <c r="I270" s="31" t="s">
        <v>29</v>
      </c>
    </row>
    <row r="271" spans="2:9" s="6" customFormat="1" ht="11.25" customHeight="1" x14ac:dyDescent="0.55000000000000004">
      <c r="B271" s="30" t="s">
        <v>598</v>
      </c>
      <c r="C271" s="30" t="s">
        <v>599</v>
      </c>
      <c r="D271" s="32">
        <v>71838</v>
      </c>
      <c r="E271" s="30" t="s">
        <v>15</v>
      </c>
      <c r="F271" s="30"/>
      <c r="G271" s="30"/>
      <c r="H271" s="30" t="s">
        <v>113</v>
      </c>
      <c r="I271" s="31" t="s">
        <v>29</v>
      </c>
    </row>
    <row r="272" spans="2:9" s="6" customFormat="1" ht="11.25" customHeight="1" x14ac:dyDescent="0.55000000000000004">
      <c r="B272" s="30" t="s">
        <v>600</v>
      </c>
      <c r="C272" s="30" t="s">
        <v>601</v>
      </c>
      <c r="D272" s="32">
        <v>90689</v>
      </c>
      <c r="E272" s="30" t="s">
        <v>15</v>
      </c>
      <c r="F272" s="30"/>
      <c r="G272" s="30"/>
      <c r="H272" s="30" t="s">
        <v>113</v>
      </c>
      <c r="I272" s="31" t="s">
        <v>29</v>
      </c>
    </row>
    <row r="273" spans="2:9" s="6" customFormat="1" ht="11.25" customHeight="1" x14ac:dyDescent="0.55000000000000004">
      <c r="B273" s="30" t="s">
        <v>602</v>
      </c>
      <c r="C273" s="30" t="s">
        <v>603</v>
      </c>
      <c r="D273" s="32">
        <v>90883</v>
      </c>
      <c r="E273" s="30" t="s">
        <v>15</v>
      </c>
      <c r="F273" s="30"/>
      <c r="G273" s="30" t="s">
        <v>16</v>
      </c>
      <c r="H273" s="30" t="s">
        <v>113</v>
      </c>
      <c r="I273" s="31" t="s">
        <v>29</v>
      </c>
    </row>
    <row r="274" spans="2:9" s="6" customFormat="1" ht="11.25" customHeight="1" x14ac:dyDescent="0.55000000000000004">
      <c r="B274" s="30" t="s">
        <v>604</v>
      </c>
      <c r="C274" s="30" t="s">
        <v>605</v>
      </c>
      <c r="D274" s="32">
        <v>81736</v>
      </c>
      <c r="E274" s="30" t="s">
        <v>15</v>
      </c>
      <c r="F274" s="30"/>
      <c r="G274" s="30"/>
      <c r="H274" s="30" t="s">
        <v>89</v>
      </c>
      <c r="I274" s="31" t="s">
        <v>29</v>
      </c>
    </row>
    <row r="275" spans="2:9" s="6" customFormat="1" ht="11.25" customHeight="1" x14ac:dyDescent="0.55000000000000004">
      <c r="B275" s="30" t="s">
        <v>606</v>
      </c>
      <c r="C275" s="30" t="s">
        <v>607</v>
      </c>
      <c r="D275" s="32">
        <v>87882</v>
      </c>
      <c r="E275" s="30" t="s">
        <v>15</v>
      </c>
      <c r="F275" s="30"/>
      <c r="G275" s="30" t="s">
        <v>21</v>
      </c>
      <c r="H275" s="30" t="s">
        <v>30</v>
      </c>
      <c r="I275" s="31" t="s">
        <v>29</v>
      </c>
    </row>
    <row r="276" spans="2:9" s="6" customFormat="1" ht="11.25" customHeight="1" x14ac:dyDescent="0.55000000000000004">
      <c r="B276" s="30" t="s">
        <v>608</v>
      </c>
      <c r="C276" s="30" t="s">
        <v>609</v>
      </c>
      <c r="D276" s="32">
        <v>84654</v>
      </c>
      <c r="E276" s="30" t="s">
        <v>15</v>
      </c>
      <c r="F276" s="30"/>
      <c r="G276" s="30" t="s">
        <v>16</v>
      </c>
      <c r="H276" s="30"/>
      <c r="I276" s="31" t="s">
        <v>29</v>
      </c>
    </row>
    <row r="277" spans="2:9" s="6" customFormat="1" ht="11.25" customHeight="1" x14ac:dyDescent="0.55000000000000004">
      <c r="B277" s="30" t="s">
        <v>307</v>
      </c>
      <c r="C277" s="30" t="s">
        <v>610</v>
      </c>
      <c r="D277" s="32" t="s">
        <v>29</v>
      </c>
      <c r="E277" s="30" t="s">
        <v>20</v>
      </c>
      <c r="F277" s="30" t="s">
        <v>307</v>
      </c>
      <c r="G277" s="30" t="s">
        <v>25</v>
      </c>
      <c r="H277" s="30" t="s">
        <v>124</v>
      </c>
      <c r="I277" s="31">
        <v>6770937.9410000006</v>
      </c>
    </row>
    <row r="278" spans="2:9" s="6" customFormat="1" ht="11.25" customHeight="1" x14ac:dyDescent="0.55000000000000004">
      <c r="B278" s="30" t="s">
        <v>611</v>
      </c>
      <c r="C278" s="30" t="s">
        <v>612</v>
      </c>
      <c r="D278" s="32" t="s">
        <v>29</v>
      </c>
      <c r="E278" s="30" t="s">
        <v>20</v>
      </c>
      <c r="F278" s="30"/>
      <c r="G278" s="30"/>
      <c r="H278" s="30" t="s">
        <v>124</v>
      </c>
      <c r="I278" s="31" t="s">
        <v>29</v>
      </c>
    </row>
    <row r="279" spans="2:9" s="6" customFormat="1" ht="11.25" customHeight="1" x14ac:dyDescent="0.55000000000000004">
      <c r="B279" s="30" t="s">
        <v>613</v>
      </c>
      <c r="C279" s="30" t="s">
        <v>614</v>
      </c>
      <c r="D279" s="32">
        <v>71447</v>
      </c>
      <c r="E279" s="30" t="s">
        <v>15</v>
      </c>
      <c r="F279" s="30"/>
      <c r="G279" s="30"/>
      <c r="H279" s="30" t="s">
        <v>239</v>
      </c>
      <c r="I279" s="31" t="s">
        <v>29</v>
      </c>
    </row>
    <row r="280" spans="2:9" s="6" customFormat="1" ht="11.25" customHeight="1" x14ac:dyDescent="0.55000000000000004">
      <c r="B280" s="30" t="s">
        <v>615</v>
      </c>
      <c r="C280" s="30" t="s">
        <v>616</v>
      </c>
      <c r="D280" s="32" t="s">
        <v>29</v>
      </c>
      <c r="E280" s="30" t="s">
        <v>20</v>
      </c>
      <c r="F280" s="30" t="s">
        <v>615</v>
      </c>
      <c r="G280" s="30" t="s">
        <v>194</v>
      </c>
      <c r="H280" s="30" t="s">
        <v>40</v>
      </c>
      <c r="I280" s="31">
        <v>2572338.9210000001</v>
      </c>
    </row>
    <row r="281" spans="2:9" s="6" customFormat="1" ht="11.25" customHeight="1" x14ac:dyDescent="0.55000000000000004">
      <c r="B281" s="30" t="s">
        <v>617</v>
      </c>
      <c r="C281" s="30" t="s">
        <v>618</v>
      </c>
      <c r="D281" s="32">
        <v>15940</v>
      </c>
      <c r="E281" s="30" t="s">
        <v>20</v>
      </c>
      <c r="F281" s="30" t="s">
        <v>615</v>
      </c>
      <c r="G281" s="30" t="s">
        <v>39</v>
      </c>
      <c r="H281" s="30" t="s">
        <v>40</v>
      </c>
      <c r="I281" s="31">
        <v>8161.1670000000004</v>
      </c>
    </row>
    <row r="282" spans="2:9" s="6" customFormat="1" ht="11.25" customHeight="1" x14ac:dyDescent="0.55000000000000004">
      <c r="B282" s="30" t="s">
        <v>619</v>
      </c>
      <c r="C282" s="30" t="s">
        <v>620</v>
      </c>
      <c r="D282" s="32">
        <v>71439</v>
      </c>
      <c r="E282" s="30" t="s">
        <v>20</v>
      </c>
      <c r="F282" s="30" t="s">
        <v>615</v>
      </c>
      <c r="G282" s="30" t="s">
        <v>194</v>
      </c>
      <c r="H282" s="30" t="s">
        <v>40</v>
      </c>
      <c r="I282" s="31">
        <v>2571183.7540000002</v>
      </c>
    </row>
    <row r="283" spans="2:9" s="6" customFormat="1" ht="11.25" customHeight="1" x14ac:dyDescent="0.55000000000000004">
      <c r="B283" s="30" t="s">
        <v>273</v>
      </c>
      <c r="C283" s="30" t="s">
        <v>621</v>
      </c>
      <c r="D283" s="32" t="s">
        <v>29</v>
      </c>
      <c r="E283" s="30" t="s">
        <v>20</v>
      </c>
      <c r="F283" s="30" t="s">
        <v>273</v>
      </c>
      <c r="G283" s="30" t="s">
        <v>155</v>
      </c>
      <c r="H283" s="30" t="s">
        <v>63</v>
      </c>
      <c r="I283" s="31">
        <v>97881963.559</v>
      </c>
    </row>
    <row r="284" spans="2:9" s="6" customFormat="1" ht="11.25" customHeight="1" x14ac:dyDescent="0.55000000000000004">
      <c r="B284" s="30" t="s">
        <v>622</v>
      </c>
      <c r="C284" s="30" t="s">
        <v>623</v>
      </c>
      <c r="D284" s="32" t="s">
        <v>29</v>
      </c>
      <c r="E284" s="30" t="s">
        <v>20</v>
      </c>
      <c r="F284" s="30"/>
      <c r="G284" s="30"/>
      <c r="H284" s="30"/>
      <c r="I284" s="31" t="s">
        <v>29</v>
      </c>
    </row>
    <row r="285" spans="2:9" s="6" customFormat="1" ht="11.25" customHeight="1" x14ac:dyDescent="0.55000000000000004">
      <c r="B285" s="30" t="s">
        <v>624</v>
      </c>
      <c r="C285" s="30" t="s">
        <v>625</v>
      </c>
      <c r="D285" s="32">
        <v>68039</v>
      </c>
      <c r="E285" s="30" t="s">
        <v>20</v>
      </c>
      <c r="F285" s="30" t="s">
        <v>273</v>
      </c>
      <c r="G285" s="30" t="s">
        <v>155</v>
      </c>
      <c r="H285" s="30" t="s">
        <v>124</v>
      </c>
      <c r="I285" s="31">
        <v>3243382.4620000003</v>
      </c>
    </row>
    <row r="286" spans="2:9" s="6" customFormat="1" ht="11.25" customHeight="1" x14ac:dyDescent="0.55000000000000004">
      <c r="B286" s="30" t="s">
        <v>5534</v>
      </c>
      <c r="C286" s="30" t="s">
        <v>5535</v>
      </c>
      <c r="D286" s="32">
        <v>68039</v>
      </c>
      <c r="E286" s="30" t="s">
        <v>20</v>
      </c>
      <c r="F286" s="30"/>
      <c r="G286" s="30"/>
      <c r="H286" s="30" t="s">
        <v>124</v>
      </c>
      <c r="I286" s="31" t="s">
        <v>29</v>
      </c>
    </row>
    <row r="287" spans="2:9" s="6" customFormat="1" ht="11.25" customHeight="1" x14ac:dyDescent="0.55000000000000004">
      <c r="B287" s="30" t="s">
        <v>626</v>
      </c>
      <c r="C287" s="30" t="s">
        <v>627</v>
      </c>
      <c r="D287" s="32">
        <v>68039</v>
      </c>
      <c r="E287" s="30" t="s">
        <v>20</v>
      </c>
      <c r="F287" s="30"/>
      <c r="G287" s="30"/>
      <c r="H287" s="30" t="s">
        <v>124</v>
      </c>
      <c r="I287" s="31" t="s">
        <v>29</v>
      </c>
    </row>
    <row r="288" spans="2:9" s="6" customFormat="1" ht="11.25" customHeight="1" x14ac:dyDescent="0.55000000000000004">
      <c r="B288" s="30" t="s">
        <v>628</v>
      </c>
      <c r="C288" s="30" t="s">
        <v>629</v>
      </c>
      <c r="D288" s="32">
        <v>61492</v>
      </c>
      <c r="E288" s="30" t="s">
        <v>20</v>
      </c>
      <c r="F288" s="30" t="s">
        <v>273</v>
      </c>
      <c r="G288" s="30" t="s">
        <v>155</v>
      </c>
      <c r="H288" s="30" t="s">
        <v>63</v>
      </c>
      <c r="I288" s="31">
        <v>28470747.517000001</v>
      </c>
    </row>
    <row r="289" spans="2:9" s="6" customFormat="1" ht="11.25" customHeight="1" x14ac:dyDescent="0.55000000000000004">
      <c r="B289" s="30" t="s">
        <v>630</v>
      </c>
      <c r="C289" s="30" t="s">
        <v>631</v>
      </c>
      <c r="D289" s="32">
        <v>61492</v>
      </c>
      <c r="E289" s="30" t="s">
        <v>20</v>
      </c>
      <c r="F289" s="30"/>
      <c r="G289" s="30"/>
      <c r="H289" s="30" t="s">
        <v>63</v>
      </c>
      <c r="I289" s="31" t="s">
        <v>29</v>
      </c>
    </row>
    <row r="290" spans="2:9" s="6" customFormat="1" ht="11.25" customHeight="1" x14ac:dyDescent="0.55000000000000004">
      <c r="B290" s="30" t="s">
        <v>632</v>
      </c>
      <c r="C290" s="30" t="s">
        <v>633</v>
      </c>
      <c r="D290" s="32">
        <v>61492</v>
      </c>
      <c r="E290" s="30" t="s">
        <v>20</v>
      </c>
      <c r="F290" s="30"/>
      <c r="G290" s="30"/>
      <c r="H290" s="30" t="s">
        <v>63</v>
      </c>
      <c r="I290" s="31" t="s">
        <v>29</v>
      </c>
    </row>
    <row r="291" spans="2:9" s="6" customFormat="1" ht="11.25" customHeight="1" x14ac:dyDescent="0.55000000000000004">
      <c r="B291" s="30" t="s">
        <v>634</v>
      </c>
      <c r="C291" s="30" t="s">
        <v>635</v>
      </c>
      <c r="D291" s="32">
        <v>61689</v>
      </c>
      <c r="E291" s="30" t="s">
        <v>20</v>
      </c>
      <c r="F291" s="30" t="s">
        <v>273</v>
      </c>
      <c r="G291" s="30" t="s">
        <v>155</v>
      </c>
      <c r="H291" s="30" t="s">
        <v>63</v>
      </c>
      <c r="I291" s="31">
        <v>65504862.258000001</v>
      </c>
    </row>
    <row r="292" spans="2:9" s="6" customFormat="1" ht="11.25" customHeight="1" x14ac:dyDescent="0.55000000000000004">
      <c r="B292" s="30" t="s">
        <v>636</v>
      </c>
      <c r="C292" s="30" t="s">
        <v>637</v>
      </c>
      <c r="D292" s="32">
        <v>61689</v>
      </c>
      <c r="E292" s="30" t="s">
        <v>20</v>
      </c>
      <c r="F292" s="30"/>
      <c r="G292" s="30"/>
      <c r="H292" s="30" t="s">
        <v>63</v>
      </c>
      <c r="I292" s="31" t="s">
        <v>29</v>
      </c>
    </row>
    <row r="293" spans="2:9" s="6" customFormat="1" ht="11.25" customHeight="1" x14ac:dyDescent="0.55000000000000004">
      <c r="B293" s="30" t="s">
        <v>638</v>
      </c>
      <c r="C293" s="30" t="s">
        <v>639</v>
      </c>
      <c r="D293" s="32">
        <v>61689</v>
      </c>
      <c r="E293" s="30" t="s">
        <v>20</v>
      </c>
      <c r="F293" s="30"/>
      <c r="G293" s="30"/>
      <c r="H293" s="30" t="s">
        <v>63</v>
      </c>
      <c r="I293" s="31" t="s">
        <v>29</v>
      </c>
    </row>
    <row r="294" spans="2:9" s="6" customFormat="1" ht="11.25" customHeight="1" x14ac:dyDescent="0.55000000000000004">
      <c r="B294" s="30" t="s">
        <v>640</v>
      </c>
      <c r="C294" s="30" t="s">
        <v>641</v>
      </c>
      <c r="D294" s="32">
        <v>61689</v>
      </c>
      <c r="E294" s="30" t="s">
        <v>20</v>
      </c>
      <c r="F294" s="30"/>
      <c r="G294" s="30"/>
      <c r="H294" s="30" t="s">
        <v>63</v>
      </c>
      <c r="I294" s="31" t="s">
        <v>29</v>
      </c>
    </row>
    <row r="295" spans="2:9" s="6" customFormat="1" ht="11.25" customHeight="1" x14ac:dyDescent="0.55000000000000004">
      <c r="B295" s="30" t="s">
        <v>642</v>
      </c>
      <c r="C295" s="30" t="s">
        <v>643</v>
      </c>
      <c r="D295" s="32">
        <v>61689</v>
      </c>
      <c r="E295" s="30" t="s">
        <v>20</v>
      </c>
      <c r="F295" s="30"/>
      <c r="G295" s="30"/>
      <c r="H295" s="30" t="s">
        <v>63</v>
      </c>
      <c r="I295" s="31" t="s">
        <v>29</v>
      </c>
    </row>
    <row r="296" spans="2:9" s="6" customFormat="1" ht="11.25" customHeight="1" x14ac:dyDescent="0.55000000000000004">
      <c r="B296" s="30" t="s">
        <v>644</v>
      </c>
      <c r="C296" s="30" t="s">
        <v>645</v>
      </c>
      <c r="D296" s="32">
        <v>63932</v>
      </c>
      <c r="E296" s="30" t="s">
        <v>20</v>
      </c>
      <c r="F296" s="30" t="s">
        <v>273</v>
      </c>
      <c r="G296" s="30" t="s">
        <v>16</v>
      </c>
      <c r="H296" s="30" t="s">
        <v>124</v>
      </c>
      <c r="I296" s="31">
        <v>957638.43400000001</v>
      </c>
    </row>
    <row r="297" spans="2:9" s="6" customFormat="1" ht="11.25" customHeight="1" x14ac:dyDescent="0.55000000000000004">
      <c r="B297" s="30" t="s">
        <v>646</v>
      </c>
      <c r="C297" s="30" t="s">
        <v>647</v>
      </c>
      <c r="D297" s="32">
        <v>13965</v>
      </c>
      <c r="E297" s="30" t="s">
        <v>15</v>
      </c>
      <c r="F297" s="30" t="s">
        <v>273</v>
      </c>
      <c r="G297" s="30" t="s">
        <v>16</v>
      </c>
      <c r="H297" s="30" t="s">
        <v>63</v>
      </c>
      <c r="I297" s="31" t="s">
        <v>29</v>
      </c>
    </row>
    <row r="298" spans="2:9" s="6" customFormat="1" ht="11.25" customHeight="1" x14ac:dyDescent="0.55000000000000004">
      <c r="B298" s="30" t="s">
        <v>648</v>
      </c>
      <c r="C298" s="30" t="s">
        <v>649</v>
      </c>
      <c r="D298" s="32">
        <v>61093</v>
      </c>
      <c r="E298" s="30" t="s">
        <v>20</v>
      </c>
      <c r="F298" s="30"/>
      <c r="G298" s="30" t="s">
        <v>25</v>
      </c>
      <c r="H298" s="30" t="s">
        <v>108</v>
      </c>
      <c r="I298" s="31">
        <v>23089.289000000001</v>
      </c>
    </row>
    <row r="299" spans="2:9" s="6" customFormat="1" ht="11.25" customHeight="1" x14ac:dyDescent="0.55000000000000004">
      <c r="B299" s="30" t="s">
        <v>401</v>
      </c>
      <c r="C299" s="30" t="s">
        <v>650</v>
      </c>
      <c r="D299" s="32" t="s">
        <v>29</v>
      </c>
      <c r="E299" s="30" t="s">
        <v>20</v>
      </c>
      <c r="F299" s="30" t="s">
        <v>401</v>
      </c>
      <c r="G299" s="30" t="s">
        <v>39</v>
      </c>
      <c r="H299" s="30" t="s">
        <v>108</v>
      </c>
      <c r="I299" s="31">
        <v>230851.86199999999</v>
      </c>
    </row>
    <row r="300" spans="2:9" s="6" customFormat="1" ht="11.25" customHeight="1" x14ac:dyDescent="0.55000000000000004">
      <c r="B300" s="30" t="s">
        <v>651</v>
      </c>
      <c r="C300" s="30" t="s">
        <v>652</v>
      </c>
      <c r="D300" s="32">
        <v>61107</v>
      </c>
      <c r="E300" s="30" t="s">
        <v>15</v>
      </c>
      <c r="F300" s="30" t="s">
        <v>401</v>
      </c>
      <c r="G300" s="30"/>
      <c r="H300" s="30" t="s">
        <v>108</v>
      </c>
      <c r="I300" s="31" t="s">
        <v>29</v>
      </c>
    </row>
    <row r="301" spans="2:9" s="6" customFormat="1" ht="11.25" customHeight="1" x14ac:dyDescent="0.55000000000000004">
      <c r="B301" s="30" t="s">
        <v>653</v>
      </c>
      <c r="C301" s="30" t="s">
        <v>654</v>
      </c>
      <c r="D301" s="32">
        <v>61115</v>
      </c>
      <c r="E301" s="30" t="s">
        <v>20</v>
      </c>
      <c r="F301" s="30" t="s">
        <v>38</v>
      </c>
      <c r="G301" s="30" t="s">
        <v>155</v>
      </c>
      <c r="H301" s="30" t="s">
        <v>655</v>
      </c>
      <c r="I301" s="31">
        <v>466382.64900000003</v>
      </c>
    </row>
    <row r="302" spans="2:9" s="6" customFormat="1" ht="11.25" customHeight="1" x14ac:dyDescent="0.55000000000000004">
      <c r="B302" s="30" t="s">
        <v>656</v>
      </c>
      <c r="C302" s="30" t="s">
        <v>657</v>
      </c>
      <c r="D302" s="32">
        <v>61166</v>
      </c>
      <c r="E302" s="30" t="s">
        <v>15</v>
      </c>
      <c r="F302" s="30" t="s">
        <v>182</v>
      </c>
      <c r="G302" s="30"/>
      <c r="H302" s="30" t="s">
        <v>96</v>
      </c>
      <c r="I302" s="31" t="s">
        <v>29</v>
      </c>
    </row>
    <row r="303" spans="2:9" s="6" customFormat="1" ht="11.25" customHeight="1" x14ac:dyDescent="0.55000000000000004">
      <c r="B303" s="30" t="s">
        <v>658</v>
      </c>
      <c r="C303" s="30" t="s">
        <v>659</v>
      </c>
      <c r="D303" s="32">
        <v>61182</v>
      </c>
      <c r="E303" s="30" t="s">
        <v>20</v>
      </c>
      <c r="F303" s="30" t="s">
        <v>660</v>
      </c>
      <c r="G303" s="30" t="s">
        <v>35</v>
      </c>
      <c r="H303" s="30" t="s">
        <v>96</v>
      </c>
      <c r="I303" s="31">
        <v>2936596.4739999999</v>
      </c>
    </row>
    <row r="304" spans="2:9" s="6" customFormat="1" ht="11.25" customHeight="1" x14ac:dyDescent="0.55000000000000004">
      <c r="B304" s="30" t="s">
        <v>661</v>
      </c>
      <c r="C304" s="30" t="s">
        <v>662</v>
      </c>
      <c r="D304" s="32">
        <v>83358</v>
      </c>
      <c r="E304" s="30" t="s">
        <v>15</v>
      </c>
      <c r="F304" s="30"/>
      <c r="G304" s="30"/>
      <c r="H304" s="30" t="s">
        <v>63</v>
      </c>
      <c r="I304" s="31" t="s">
        <v>29</v>
      </c>
    </row>
    <row r="305" spans="2:9" s="6" customFormat="1" ht="11.25" customHeight="1" x14ac:dyDescent="0.55000000000000004">
      <c r="B305" s="30" t="s">
        <v>663</v>
      </c>
      <c r="C305" s="30" t="s">
        <v>664</v>
      </c>
      <c r="D305" s="32">
        <v>84522</v>
      </c>
      <c r="E305" s="30" t="s">
        <v>20</v>
      </c>
      <c r="F305" s="30"/>
      <c r="G305" s="30" t="s">
        <v>25</v>
      </c>
      <c r="H305" s="30" t="s">
        <v>30</v>
      </c>
      <c r="I305" s="31">
        <v>886866.91300000006</v>
      </c>
    </row>
    <row r="306" spans="2:9" s="6" customFormat="1" ht="11.25" customHeight="1" x14ac:dyDescent="0.55000000000000004">
      <c r="B306" s="30" t="s">
        <v>665</v>
      </c>
      <c r="C306" s="30" t="s">
        <v>666</v>
      </c>
      <c r="D306" s="32">
        <v>60256</v>
      </c>
      <c r="E306" s="30" t="s">
        <v>20</v>
      </c>
      <c r="F306" s="30"/>
      <c r="G306" s="30" t="s">
        <v>25</v>
      </c>
      <c r="H306" s="30" t="s">
        <v>239</v>
      </c>
      <c r="I306" s="31">
        <v>1460006.9990000001</v>
      </c>
    </row>
    <row r="307" spans="2:9" s="6" customFormat="1" ht="11.25" customHeight="1" x14ac:dyDescent="0.55000000000000004">
      <c r="B307" s="30" t="s">
        <v>667</v>
      </c>
      <c r="C307" s="30" t="s">
        <v>668</v>
      </c>
      <c r="D307" s="32">
        <v>61190</v>
      </c>
      <c r="E307" s="30" t="s">
        <v>20</v>
      </c>
      <c r="F307" s="30"/>
      <c r="G307" s="30" t="s">
        <v>35</v>
      </c>
      <c r="H307" s="30" t="s">
        <v>30</v>
      </c>
      <c r="I307" s="31">
        <v>4201090.6440000003</v>
      </c>
    </row>
    <row r="308" spans="2:9" s="6" customFormat="1" ht="11.25" customHeight="1" x14ac:dyDescent="0.55000000000000004">
      <c r="B308" s="30" t="s">
        <v>669</v>
      </c>
      <c r="C308" s="30" t="s">
        <v>670</v>
      </c>
      <c r="D308" s="32">
        <v>61190</v>
      </c>
      <c r="E308" s="30" t="s">
        <v>20</v>
      </c>
      <c r="F308" s="30"/>
      <c r="G308" s="30"/>
      <c r="H308" s="30" t="s">
        <v>30</v>
      </c>
      <c r="I308" s="31" t="s">
        <v>29</v>
      </c>
    </row>
    <row r="309" spans="2:9" s="6" customFormat="1" ht="11.25" customHeight="1" x14ac:dyDescent="0.55000000000000004">
      <c r="B309" s="30" t="s">
        <v>671</v>
      </c>
      <c r="C309" s="30" t="s">
        <v>672</v>
      </c>
      <c r="D309" s="32">
        <v>61190</v>
      </c>
      <c r="E309" s="30" t="s">
        <v>20</v>
      </c>
      <c r="F309" s="30"/>
      <c r="G309" s="30"/>
      <c r="H309" s="30" t="s">
        <v>30</v>
      </c>
      <c r="I309" s="31" t="s">
        <v>29</v>
      </c>
    </row>
    <row r="310" spans="2:9" s="6" customFormat="1" ht="11.25" customHeight="1" x14ac:dyDescent="0.55000000000000004">
      <c r="B310" s="30" t="s">
        <v>673</v>
      </c>
      <c r="C310" s="30" t="s">
        <v>674</v>
      </c>
      <c r="D310" s="32">
        <v>62898</v>
      </c>
      <c r="E310" s="30" t="s">
        <v>15</v>
      </c>
      <c r="F310" s="30" t="s">
        <v>273</v>
      </c>
      <c r="G310" s="30" t="s">
        <v>155</v>
      </c>
      <c r="H310" s="30" t="s">
        <v>63</v>
      </c>
      <c r="I310" s="31" t="s">
        <v>29</v>
      </c>
    </row>
    <row r="311" spans="2:9" s="6" customFormat="1" ht="11.25" customHeight="1" x14ac:dyDescent="0.55000000000000004">
      <c r="B311" s="30" t="s">
        <v>675</v>
      </c>
      <c r="C311" s="30" t="s">
        <v>676</v>
      </c>
      <c r="D311" s="32">
        <v>92665</v>
      </c>
      <c r="E311" s="30" t="s">
        <v>15</v>
      </c>
      <c r="F311" s="30" t="s">
        <v>273</v>
      </c>
      <c r="G311" s="30" t="s">
        <v>265</v>
      </c>
      <c r="H311" s="30" t="s">
        <v>63</v>
      </c>
      <c r="I311" s="31" t="s">
        <v>29</v>
      </c>
    </row>
    <row r="312" spans="2:9" s="6" customFormat="1" ht="11.25" customHeight="1" x14ac:dyDescent="0.55000000000000004">
      <c r="B312" s="30" t="s">
        <v>677</v>
      </c>
      <c r="C312" s="30" t="s">
        <v>678</v>
      </c>
      <c r="D312" s="32">
        <v>13075</v>
      </c>
      <c r="E312" s="30" t="s">
        <v>15</v>
      </c>
      <c r="F312" s="30"/>
      <c r="G312" s="30" t="s">
        <v>35</v>
      </c>
      <c r="H312" s="30" t="s">
        <v>63</v>
      </c>
      <c r="I312" s="31" t="s">
        <v>29</v>
      </c>
    </row>
    <row r="313" spans="2:9" s="6" customFormat="1" ht="11.25" customHeight="1" x14ac:dyDescent="0.55000000000000004">
      <c r="B313" s="30" t="s">
        <v>679</v>
      </c>
      <c r="C313" s="30" t="s">
        <v>680</v>
      </c>
      <c r="D313" s="32">
        <v>82516</v>
      </c>
      <c r="E313" s="30" t="s">
        <v>15</v>
      </c>
      <c r="F313" s="30"/>
      <c r="G313" s="30"/>
      <c r="H313" s="30" t="s">
        <v>262</v>
      </c>
      <c r="I313" s="31" t="s">
        <v>29</v>
      </c>
    </row>
    <row r="314" spans="2:9" s="6" customFormat="1" ht="11.25" customHeight="1" x14ac:dyDescent="0.55000000000000004">
      <c r="B314" s="30" t="s">
        <v>681</v>
      </c>
      <c r="C314" s="30" t="s">
        <v>682</v>
      </c>
      <c r="D314" s="32">
        <v>68365</v>
      </c>
      <c r="E314" s="30" t="s">
        <v>20</v>
      </c>
      <c r="F314" s="30" t="s">
        <v>683</v>
      </c>
      <c r="G314" s="30" t="s">
        <v>35</v>
      </c>
      <c r="H314" s="30" t="s">
        <v>385</v>
      </c>
      <c r="I314" s="31">
        <v>284614.18099999998</v>
      </c>
    </row>
    <row r="315" spans="2:9" s="6" customFormat="1" ht="11.25" customHeight="1" x14ac:dyDescent="0.55000000000000004">
      <c r="B315" s="30" t="s">
        <v>684</v>
      </c>
      <c r="C315" s="30" t="s">
        <v>685</v>
      </c>
      <c r="D315" s="32">
        <v>62880</v>
      </c>
      <c r="E315" s="30" t="s">
        <v>20</v>
      </c>
      <c r="F315" s="30" t="s">
        <v>683</v>
      </c>
      <c r="G315" s="30" t="s">
        <v>16</v>
      </c>
      <c r="H315" s="30" t="s">
        <v>686</v>
      </c>
      <c r="I315" s="31">
        <v>551301.57000000007</v>
      </c>
    </row>
    <row r="316" spans="2:9" s="6" customFormat="1" ht="11.25" customHeight="1" x14ac:dyDescent="0.55000000000000004">
      <c r="B316" s="30" t="s">
        <v>691</v>
      </c>
      <c r="C316" s="30" t="s">
        <v>692</v>
      </c>
      <c r="D316" s="32">
        <v>66478</v>
      </c>
      <c r="E316" s="30" t="s">
        <v>15</v>
      </c>
      <c r="F316" s="30"/>
      <c r="G316" s="30"/>
      <c r="H316" s="30" t="s">
        <v>105</v>
      </c>
      <c r="I316" s="31" t="s">
        <v>29</v>
      </c>
    </row>
    <row r="317" spans="2:9" s="6" customFormat="1" ht="11.25" customHeight="1" x14ac:dyDescent="0.55000000000000004">
      <c r="B317" s="30" t="s">
        <v>693</v>
      </c>
      <c r="C317" s="30" t="s">
        <v>694</v>
      </c>
      <c r="D317" s="32">
        <v>10097</v>
      </c>
      <c r="E317" s="30" t="s">
        <v>15</v>
      </c>
      <c r="F317" s="30" t="s">
        <v>465</v>
      </c>
      <c r="G317" s="30" t="s">
        <v>35</v>
      </c>
      <c r="H317" s="30" t="s">
        <v>124</v>
      </c>
      <c r="I317" s="31" t="s">
        <v>29</v>
      </c>
    </row>
    <row r="318" spans="2:9" s="6" customFormat="1" ht="11.25" customHeight="1" x14ac:dyDescent="0.55000000000000004">
      <c r="B318" s="30" t="s">
        <v>695</v>
      </c>
      <c r="C318" s="30" t="s">
        <v>696</v>
      </c>
      <c r="D318" s="32">
        <v>68160</v>
      </c>
      <c r="E318" s="30" t="s">
        <v>15</v>
      </c>
      <c r="F318" s="30" t="s">
        <v>465</v>
      </c>
      <c r="G318" s="30" t="s">
        <v>21</v>
      </c>
      <c r="H318" s="30" t="s">
        <v>156</v>
      </c>
      <c r="I318" s="31" t="s">
        <v>29</v>
      </c>
    </row>
    <row r="319" spans="2:9" s="6" customFormat="1" ht="11.25" customHeight="1" x14ac:dyDescent="0.55000000000000004">
      <c r="B319" s="30" t="s">
        <v>697</v>
      </c>
      <c r="C319" s="30" t="s">
        <v>698</v>
      </c>
      <c r="D319" s="32">
        <v>61212</v>
      </c>
      <c r="E319" s="30" t="s">
        <v>20</v>
      </c>
      <c r="F319" s="30"/>
      <c r="G319" s="30" t="s">
        <v>35</v>
      </c>
      <c r="H319" s="30" t="s">
        <v>52</v>
      </c>
      <c r="I319" s="31">
        <v>1306405.186</v>
      </c>
    </row>
    <row r="320" spans="2:9" s="6" customFormat="1" ht="11.25" customHeight="1" x14ac:dyDescent="0.55000000000000004">
      <c r="B320" s="30" t="s">
        <v>699</v>
      </c>
      <c r="C320" s="30" t="s">
        <v>700</v>
      </c>
      <c r="D320" s="32">
        <v>99872</v>
      </c>
      <c r="E320" s="30" t="s">
        <v>15</v>
      </c>
      <c r="F320" s="30"/>
      <c r="G320" s="30" t="s">
        <v>80</v>
      </c>
      <c r="H320" s="30" t="s">
        <v>278</v>
      </c>
      <c r="I320" s="31" t="s">
        <v>29</v>
      </c>
    </row>
    <row r="321" spans="2:9" s="6" customFormat="1" ht="11.25" customHeight="1" x14ac:dyDescent="0.55000000000000004">
      <c r="B321" s="30" t="s">
        <v>701</v>
      </c>
      <c r="C321" s="30" t="s">
        <v>702</v>
      </c>
      <c r="D321" s="32" t="s">
        <v>29</v>
      </c>
      <c r="E321" s="30" t="s">
        <v>20</v>
      </c>
      <c r="F321" s="30" t="s">
        <v>701</v>
      </c>
      <c r="G321" s="30" t="s">
        <v>25</v>
      </c>
      <c r="H321" s="30" t="s">
        <v>105</v>
      </c>
      <c r="I321" s="31" t="s">
        <v>29</v>
      </c>
    </row>
    <row r="322" spans="2:9" s="6" customFormat="1" ht="11.25" customHeight="1" x14ac:dyDescent="0.55000000000000004">
      <c r="B322" s="30" t="s">
        <v>703</v>
      </c>
      <c r="C322" s="30" t="s">
        <v>704</v>
      </c>
      <c r="D322" s="32">
        <v>79936</v>
      </c>
      <c r="E322" s="30" t="s">
        <v>15</v>
      </c>
      <c r="F322" s="30" t="s">
        <v>307</v>
      </c>
      <c r="G322" s="30"/>
      <c r="H322" s="30" t="s">
        <v>262</v>
      </c>
      <c r="I322" s="31" t="s">
        <v>29</v>
      </c>
    </row>
    <row r="323" spans="2:9" s="6" customFormat="1" ht="11.25" customHeight="1" x14ac:dyDescent="0.55000000000000004">
      <c r="B323" s="30" t="s">
        <v>705</v>
      </c>
      <c r="C323" s="30" t="s">
        <v>706</v>
      </c>
      <c r="D323" s="32">
        <v>61220</v>
      </c>
      <c r="E323" s="30" t="s">
        <v>15</v>
      </c>
      <c r="F323" s="30"/>
      <c r="G323" s="30"/>
      <c r="H323" s="30" t="s">
        <v>113</v>
      </c>
      <c r="I323" s="31" t="s">
        <v>29</v>
      </c>
    </row>
    <row r="324" spans="2:9" s="6" customFormat="1" ht="11.25" customHeight="1" x14ac:dyDescent="0.55000000000000004">
      <c r="B324" s="30" t="s">
        <v>707</v>
      </c>
      <c r="C324" s="30" t="s">
        <v>708</v>
      </c>
      <c r="D324" s="32">
        <v>68560</v>
      </c>
      <c r="E324" s="30" t="s">
        <v>20</v>
      </c>
      <c r="F324" s="30" t="s">
        <v>709</v>
      </c>
      <c r="G324" s="30" t="s">
        <v>35</v>
      </c>
      <c r="H324" s="30" t="s">
        <v>150</v>
      </c>
      <c r="I324" s="31">
        <v>523491.74</v>
      </c>
    </row>
    <row r="325" spans="2:9" s="6" customFormat="1" ht="11.25" customHeight="1" x14ac:dyDescent="0.55000000000000004">
      <c r="B325" s="30" t="s">
        <v>710</v>
      </c>
      <c r="C325" s="30" t="s">
        <v>711</v>
      </c>
      <c r="D325" s="32">
        <v>71366</v>
      </c>
      <c r="E325" s="30" t="s">
        <v>15</v>
      </c>
      <c r="F325" s="30"/>
      <c r="G325" s="30"/>
      <c r="H325" s="30" t="s">
        <v>48</v>
      </c>
      <c r="I325" s="31" t="s">
        <v>29</v>
      </c>
    </row>
    <row r="326" spans="2:9" s="6" customFormat="1" ht="11.25" customHeight="1" x14ac:dyDescent="0.55000000000000004">
      <c r="B326" s="30" t="s">
        <v>712</v>
      </c>
      <c r="C326" s="30" t="s">
        <v>713</v>
      </c>
      <c r="D326" s="32">
        <v>71919</v>
      </c>
      <c r="E326" s="30" t="s">
        <v>20</v>
      </c>
      <c r="F326" s="30" t="s">
        <v>401</v>
      </c>
      <c r="G326" s="30" t="s">
        <v>16</v>
      </c>
      <c r="H326" s="30" t="s">
        <v>108</v>
      </c>
      <c r="I326" s="31">
        <v>10829.763000000001</v>
      </c>
    </row>
    <row r="327" spans="2:9" s="6" customFormat="1" ht="11.25" customHeight="1" x14ac:dyDescent="0.55000000000000004">
      <c r="B327" s="30" t="s">
        <v>714</v>
      </c>
      <c r="C327" s="30" t="s">
        <v>715</v>
      </c>
      <c r="D327" s="32">
        <v>61239</v>
      </c>
      <c r="E327" s="30" t="s">
        <v>20</v>
      </c>
      <c r="F327" s="30" t="s">
        <v>401</v>
      </c>
      <c r="G327" s="30" t="s">
        <v>39</v>
      </c>
      <c r="H327" s="30" t="s">
        <v>108</v>
      </c>
      <c r="I327" s="31">
        <v>159120.712</v>
      </c>
    </row>
    <row r="328" spans="2:9" s="6" customFormat="1" ht="11.25" customHeight="1" x14ac:dyDescent="0.55000000000000004">
      <c r="B328" s="30" t="s">
        <v>716</v>
      </c>
      <c r="C328" s="30" t="s">
        <v>717</v>
      </c>
      <c r="D328" s="32">
        <v>62723</v>
      </c>
      <c r="E328" s="30" t="s">
        <v>15</v>
      </c>
      <c r="F328" s="30"/>
      <c r="G328" s="30"/>
      <c r="H328" s="30" t="s">
        <v>52</v>
      </c>
      <c r="I328" s="31" t="s">
        <v>29</v>
      </c>
    </row>
    <row r="329" spans="2:9" s="6" customFormat="1" ht="11.25" customHeight="1" x14ac:dyDescent="0.55000000000000004">
      <c r="B329" s="30" t="s">
        <v>718</v>
      </c>
      <c r="C329" s="30" t="s">
        <v>719</v>
      </c>
      <c r="D329" s="32">
        <v>61263</v>
      </c>
      <c r="E329" s="30" t="s">
        <v>20</v>
      </c>
      <c r="F329" s="30" t="s">
        <v>709</v>
      </c>
      <c r="G329" s="30" t="s">
        <v>88</v>
      </c>
      <c r="H329" s="30" t="s">
        <v>22</v>
      </c>
      <c r="I329" s="31">
        <v>16369454.418</v>
      </c>
    </row>
    <row r="330" spans="2:9" s="6" customFormat="1" ht="11.25" customHeight="1" x14ac:dyDescent="0.55000000000000004">
      <c r="B330" s="30" t="s">
        <v>720</v>
      </c>
      <c r="C330" s="30" t="s">
        <v>721</v>
      </c>
      <c r="D330" s="32">
        <v>61328</v>
      </c>
      <c r="E330" s="30" t="s">
        <v>20</v>
      </c>
      <c r="F330" s="30"/>
      <c r="G330" s="30" t="s">
        <v>35</v>
      </c>
      <c r="H330" s="30" t="s">
        <v>113</v>
      </c>
      <c r="I330" s="31">
        <v>6036.3289999999997</v>
      </c>
    </row>
    <row r="331" spans="2:9" s="6" customFormat="1" ht="11.25" customHeight="1" x14ac:dyDescent="0.55000000000000004">
      <c r="B331" s="30" t="s">
        <v>722</v>
      </c>
      <c r="C331" s="30" t="s">
        <v>723</v>
      </c>
      <c r="D331" s="32">
        <v>65415</v>
      </c>
      <c r="E331" s="30" t="s">
        <v>15</v>
      </c>
      <c r="F331" s="30" t="s">
        <v>709</v>
      </c>
      <c r="G331" s="30" t="s">
        <v>35</v>
      </c>
      <c r="H331" s="30" t="s">
        <v>22</v>
      </c>
      <c r="I331" s="31" t="s">
        <v>29</v>
      </c>
    </row>
    <row r="332" spans="2:9" s="6" customFormat="1" ht="11.25" customHeight="1" x14ac:dyDescent="0.55000000000000004">
      <c r="B332" s="30" t="s">
        <v>724</v>
      </c>
      <c r="C332" s="30" t="s">
        <v>725</v>
      </c>
      <c r="D332" s="32">
        <v>81043</v>
      </c>
      <c r="E332" s="30" t="s">
        <v>15</v>
      </c>
      <c r="F332" s="30"/>
      <c r="G332" s="30" t="s">
        <v>155</v>
      </c>
      <c r="H332" s="30" t="s">
        <v>686</v>
      </c>
      <c r="I332" s="31" t="s">
        <v>29</v>
      </c>
    </row>
    <row r="333" spans="2:9" s="6" customFormat="1" ht="11.25" customHeight="1" x14ac:dyDescent="0.55000000000000004">
      <c r="B333" s="30" t="s">
        <v>726</v>
      </c>
      <c r="C333" s="30" t="s">
        <v>727</v>
      </c>
      <c r="D333" s="32">
        <v>61298</v>
      </c>
      <c r="E333" s="30" t="s">
        <v>20</v>
      </c>
      <c r="F333" s="30" t="s">
        <v>728</v>
      </c>
      <c r="G333" s="30" t="s">
        <v>80</v>
      </c>
      <c r="H333" s="30" t="s">
        <v>262</v>
      </c>
      <c r="I333" s="31">
        <v>19645.717000000001</v>
      </c>
    </row>
    <row r="334" spans="2:9" s="6" customFormat="1" ht="11.25" customHeight="1" x14ac:dyDescent="0.55000000000000004">
      <c r="B334" s="30" t="s">
        <v>729</v>
      </c>
      <c r="C334" s="30" t="s">
        <v>730</v>
      </c>
      <c r="D334" s="32">
        <v>71900</v>
      </c>
      <c r="E334" s="30" t="s">
        <v>15</v>
      </c>
      <c r="F334" s="30" t="s">
        <v>709</v>
      </c>
      <c r="G334" s="30"/>
      <c r="H334" s="30" t="s">
        <v>150</v>
      </c>
      <c r="I334" s="31" t="s">
        <v>29</v>
      </c>
    </row>
    <row r="335" spans="2:9" s="6" customFormat="1" ht="11.25" customHeight="1" x14ac:dyDescent="0.55000000000000004">
      <c r="B335" s="30" t="s">
        <v>731</v>
      </c>
      <c r="C335" s="30" t="s">
        <v>732</v>
      </c>
      <c r="D335" s="32">
        <v>71900</v>
      </c>
      <c r="E335" s="30" t="s">
        <v>15</v>
      </c>
      <c r="F335" s="30"/>
      <c r="G335" s="30"/>
      <c r="H335" s="30" t="s">
        <v>150</v>
      </c>
      <c r="I335" s="31" t="s">
        <v>29</v>
      </c>
    </row>
    <row r="336" spans="2:9" s="6" customFormat="1" ht="11.25" customHeight="1" x14ac:dyDescent="0.55000000000000004">
      <c r="B336" s="30" t="s">
        <v>733</v>
      </c>
      <c r="C336" s="30" t="s">
        <v>734</v>
      </c>
      <c r="D336" s="32">
        <v>61352</v>
      </c>
      <c r="E336" s="30" t="s">
        <v>15</v>
      </c>
      <c r="F336" s="30" t="s">
        <v>310</v>
      </c>
      <c r="G336" s="30"/>
      <c r="H336" s="30" t="s">
        <v>735</v>
      </c>
      <c r="I336" s="31" t="s">
        <v>29</v>
      </c>
    </row>
    <row r="337" spans="2:9" s="6" customFormat="1" ht="11.25" customHeight="1" x14ac:dyDescent="0.55000000000000004">
      <c r="B337" s="30" t="s">
        <v>736</v>
      </c>
      <c r="C337" s="30" t="s">
        <v>737</v>
      </c>
      <c r="D337" s="32">
        <v>71013</v>
      </c>
      <c r="E337" s="30" t="s">
        <v>20</v>
      </c>
      <c r="F337" s="30"/>
      <c r="G337" s="30"/>
      <c r="H337" s="30" t="s">
        <v>500</v>
      </c>
      <c r="I337" s="31" t="s">
        <v>29</v>
      </c>
    </row>
    <row r="338" spans="2:9" s="6" customFormat="1" ht="11.25" customHeight="1" x14ac:dyDescent="0.55000000000000004">
      <c r="B338" s="30" t="s">
        <v>738</v>
      </c>
      <c r="C338" s="30" t="s">
        <v>739</v>
      </c>
      <c r="D338" s="32">
        <v>61387</v>
      </c>
      <c r="E338" s="30" t="s">
        <v>15</v>
      </c>
      <c r="F338" s="30" t="s">
        <v>62</v>
      </c>
      <c r="G338" s="30"/>
      <c r="H338" s="30" t="s">
        <v>63</v>
      </c>
      <c r="I338" s="31" t="s">
        <v>29</v>
      </c>
    </row>
    <row r="339" spans="2:9" s="6" customFormat="1" ht="11.25" customHeight="1" x14ac:dyDescent="0.55000000000000004">
      <c r="B339" s="30" t="s">
        <v>740</v>
      </c>
      <c r="C339" s="30" t="s">
        <v>741</v>
      </c>
      <c r="D339" s="32">
        <v>94250</v>
      </c>
      <c r="E339" s="30" t="s">
        <v>20</v>
      </c>
      <c r="F339" s="30" t="s">
        <v>742</v>
      </c>
      <c r="G339" s="30" t="s">
        <v>155</v>
      </c>
      <c r="H339" s="30" t="s">
        <v>52</v>
      </c>
      <c r="I339" s="31">
        <v>5048017.4819999998</v>
      </c>
    </row>
    <row r="340" spans="2:9" s="6" customFormat="1" ht="11.25" customHeight="1" x14ac:dyDescent="0.55000000000000004">
      <c r="B340" s="30" t="s">
        <v>743</v>
      </c>
      <c r="C340" s="30" t="s">
        <v>744</v>
      </c>
      <c r="D340" s="32">
        <v>94250</v>
      </c>
      <c r="E340" s="30" t="s">
        <v>20</v>
      </c>
      <c r="F340" s="30"/>
      <c r="G340" s="30"/>
      <c r="H340" s="30" t="s">
        <v>52</v>
      </c>
      <c r="I340" s="31" t="s">
        <v>29</v>
      </c>
    </row>
    <row r="341" spans="2:9" s="6" customFormat="1" ht="11.25" customHeight="1" x14ac:dyDescent="0.55000000000000004">
      <c r="B341" s="30" t="s">
        <v>745</v>
      </c>
      <c r="C341" s="30" t="s">
        <v>746</v>
      </c>
      <c r="D341" s="32">
        <v>94250</v>
      </c>
      <c r="E341" s="30" t="s">
        <v>20</v>
      </c>
      <c r="F341" s="30"/>
      <c r="G341" s="30"/>
      <c r="H341" s="30" t="s">
        <v>52</v>
      </c>
      <c r="I341" s="31" t="s">
        <v>29</v>
      </c>
    </row>
    <row r="342" spans="2:9" s="6" customFormat="1" ht="11.25" customHeight="1" x14ac:dyDescent="0.55000000000000004">
      <c r="B342" s="30" t="s">
        <v>747</v>
      </c>
      <c r="C342" s="30" t="s">
        <v>748</v>
      </c>
      <c r="D342" s="32">
        <v>72249</v>
      </c>
      <c r="E342" s="30" t="s">
        <v>15</v>
      </c>
      <c r="F342" s="30"/>
      <c r="G342" s="30"/>
      <c r="H342" s="30" t="s">
        <v>262</v>
      </c>
      <c r="I342" s="31" t="s">
        <v>29</v>
      </c>
    </row>
    <row r="343" spans="2:9" s="6" customFormat="1" ht="11.25" customHeight="1" x14ac:dyDescent="0.55000000000000004">
      <c r="B343" s="30" t="s">
        <v>749</v>
      </c>
      <c r="C343" s="30" t="s">
        <v>750</v>
      </c>
      <c r="D343" s="32">
        <v>78565</v>
      </c>
      <c r="E343" s="30" t="s">
        <v>15</v>
      </c>
      <c r="F343" s="30"/>
      <c r="G343" s="30"/>
      <c r="H343" s="30" t="s">
        <v>22</v>
      </c>
      <c r="I343" s="31" t="s">
        <v>29</v>
      </c>
    </row>
    <row r="344" spans="2:9" s="6" customFormat="1" ht="11.25" customHeight="1" x14ac:dyDescent="0.55000000000000004">
      <c r="B344" s="30" t="s">
        <v>751</v>
      </c>
      <c r="C344" s="30" t="s">
        <v>752</v>
      </c>
      <c r="D344" s="32">
        <v>60114</v>
      </c>
      <c r="E344" s="30" t="s">
        <v>15</v>
      </c>
      <c r="F344" s="30"/>
      <c r="G344" s="30"/>
      <c r="H344" s="30" t="s">
        <v>105</v>
      </c>
      <c r="I344" s="31" t="s">
        <v>29</v>
      </c>
    </row>
    <row r="345" spans="2:9" s="6" customFormat="1" ht="11.25" customHeight="1" x14ac:dyDescent="0.55000000000000004">
      <c r="B345" s="30" t="s">
        <v>753</v>
      </c>
      <c r="C345" s="30" t="s">
        <v>754</v>
      </c>
      <c r="D345" s="32">
        <v>99589</v>
      </c>
      <c r="E345" s="30" t="s">
        <v>15</v>
      </c>
      <c r="F345" s="30"/>
      <c r="G345" s="30"/>
      <c r="H345" s="30" t="s">
        <v>113</v>
      </c>
      <c r="I345" s="31" t="s">
        <v>29</v>
      </c>
    </row>
    <row r="346" spans="2:9" s="6" customFormat="1" ht="11.25" customHeight="1" x14ac:dyDescent="0.55000000000000004">
      <c r="B346" s="30" t="s">
        <v>755</v>
      </c>
      <c r="C346" s="30" t="s">
        <v>756</v>
      </c>
      <c r="D346" s="32">
        <v>70729</v>
      </c>
      <c r="E346" s="30" t="s">
        <v>20</v>
      </c>
      <c r="F346" s="30" t="s">
        <v>85</v>
      </c>
      <c r="G346" s="30" t="s">
        <v>21</v>
      </c>
      <c r="H346" s="30" t="s">
        <v>86</v>
      </c>
      <c r="I346" s="31">
        <v>1929372.844</v>
      </c>
    </row>
    <row r="347" spans="2:9" s="6" customFormat="1" ht="11.25" customHeight="1" x14ac:dyDescent="0.55000000000000004">
      <c r="B347" s="30" t="s">
        <v>757</v>
      </c>
      <c r="C347" s="30" t="s">
        <v>758</v>
      </c>
      <c r="D347" s="32">
        <v>84980</v>
      </c>
      <c r="E347" s="30" t="s">
        <v>15</v>
      </c>
      <c r="F347" s="30" t="s">
        <v>759</v>
      </c>
      <c r="G347" s="30"/>
      <c r="H347" s="30" t="s">
        <v>113</v>
      </c>
      <c r="I347" s="31" t="s">
        <v>29</v>
      </c>
    </row>
    <row r="348" spans="2:9" s="6" customFormat="1" ht="11.25" customHeight="1" x14ac:dyDescent="0.55000000000000004">
      <c r="B348" s="30" t="s">
        <v>760</v>
      </c>
      <c r="C348" s="30" t="s">
        <v>761</v>
      </c>
      <c r="D348" s="32">
        <v>88790</v>
      </c>
      <c r="E348" s="30" t="s">
        <v>15</v>
      </c>
      <c r="F348" s="30"/>
      <c r="G348" s="30"/>
      <c r="H348" s="30" t="s">
        <v>22</v>
      </c>
      <c r="I348" s="31" t="s">
        <v>29</v>
      </c>
    </row>
    <row r="349" spans="2:9" s="6" customFormat="1" ht="11.25" customHeight="1" x14ac:dyDescent="0.55000000000000004">
      <c r="B349" s="30" t="s">
        <v>762</v>
      </c>
      <c r="C349" s="30" t="s">
        <v>763</v>
      </c>
      <c r="D349" s="32">
        <v>60001</v>
      </c>
      <c r="E349" s="30" t="s">
        <v>15</v>
      </c>
      <c r="F349" s="30"/>
      <c r="G349" s="30"/>
      <c r="H349" s="30" t="s">
        <v>500</v>
      </c>
      <c r="I349" s="31" t="s">
        <v>29</v>
      </c>
    </row>
    <row r="350" spans="2:9" s="6" customFormat="1" ht="11.25" customHeight="1" x14ac:dyDescent="0.55000000000000004">
      <c r="B350" s="30" t="s">
        <v>764</v>
      </c>
      <c r="C350" s="30" t="s">
        <v>765</v>
      </c>
      <c r="D350" s="32">
        <v>60051</v>
      </c>
      <c r="E350" s="30" t="s">
        <v>15</v>
      </c>
      <c r="F350" s="30" t="s">
        <v>149</v>
      </c>
      <c r="G350" s="30"/>
      <c r="H350" s="30" t="s">
        <v>22</v>
      </c>
      <c r="I350" s="31" t="s">
        <v>29</v>
      </c>
    </row>
    <row r="351" spans="2:9" s="6" customFormat="1" ht="11.25" customHeight="1" x14ac:dyDescent="0.55000000000000004">
      <c r="B351" s="30" t="s">
        <v>766</v>
      </c>
      <c r="C351" s="30" t="s">
        <v>767</v>
      </c>
      <c r="D351" s="32" t="s">
        <v>29</v>
      </c>
      <c r="E351" s="30" t="s">
        <v>20</v>
      </c>
      <c r="F351" s="30" t="s">
        <v>766</v>
      </c>
      <c r="G351" s="30" t="s">
        <v>35</v>
      </c>
      <c r="H351" s="30" t="s">
        <v>89</v>
      </c>
      <c r="I351" s="31">
        <v>2096857.4669999999</v>
      </c>
    </row>
    <row r="352" spans="2:9" s="6" customFormat="1" ht="11.25" customHeight="1" x14ac:dyDescent="0.55000000000000004">
      <c r="B352" s="30" t="s">
        <v>768</v>
      </c>
      <c r="C352" s="30" t="s">
        <v>769</v>
      </c>
      <c r="D352" s="32">
        <v>61395</v>
      </c>
      <c r="E352" s="30" t="s">
        <v>20</v>
      </c>
      <c r="F352" s="30" t="s">
        <v>766</v>
      </c>
      <c r="G352" s="30" t="s">
        <v>35</v>
      </c>
      <c r="H352" s="30" t="s">
        <v>89</v>
      </c>
      <c r="I352" s="31">
        <v>2067972.8840000001</v>
      </c>
    </row>
    <row r="353" spans="2:9" s="6" customFormat="1" ht="11.25" customHeight="1" x14ac:dyDescent="0.55000000000000004">
      <c r="B353" s="30" t="s">
        <v>770</v>
      </c>
      <c r="C353" s="30" t="s">
        <v>771</v>
      </c>
      <c r="D353" s="32">
        <v>61417</v>
      </c>
      <c r="E353" s="30" t="s">
        <v>15</v>
      </c>
      <c r="F353" s="30" t="s">
        <v>709</v>
      </c>
      <c r="G353" s="30"/>
      <c r="H353" s="30" t="s">
        <v>150</v>
      </c>
      <c r="I353" s="31" t="s">
        <v>29</v>
      </c>
    </row>
    <row r="354" spans="2:9" s="6" customFormat="1" ht="11.25" customHeight="1" x14ac:dyDescent="0.55000000000000004">
      <c r="B354" s="30" t="s">
        <v>772</v>
      </c>
      <c r="C354" s="30" t="s">
        <v>773</v>
      </c>
      <c r="D354" s="32">
        <v>72940</v>
      </c>
      <c r="E354" s="30" t="s">
        <v>15</v>
      </c>
      <c r="F354" s="30"/>
      <c r="G354" s="30"/>
      <c r="H354" s="30" t="s">
        <v>66</v>
      </c>
      <c r="I354" s="31" t="s">
        <v>29</v>
      </c>
    </row>
    <row r="355" spans="2:9" s="6" customFormat="1" ht="11.25" customHeight="1" x14ac:dyDescent="0.55000000000000004">
      <c r="B355" s="30" t="s">
        <v>774</v>
      </c>
      <c r="C355" s="30" t="s">
        <v>775</v>
      </c>
      <c r="D355" s="32">
        <v>99597</v>
      </c>
      <c r="E355" s="30" t="s">
        <v>15</v>
      </c>
      <c r="F355" s="30"/>
      <c r="G355" s="30"/>
      <c r="H355" s="30" t="s">
        <v>113</v>
      </c>
      <c r="I355" s="31" t="s">
        <v>29</v>
      </c>
    </row>
    <row r="356" spans="2:9" s="6" customFormat="1" ht="11.25" customHeight="1" x14ac:dyDescent="0.55000000000000004">
      <c r="B356" s="30" t="s">
        <v>776</v>
      </c>
      <c r="C356" s="30" t="s">
        <v>777</v>
      </c>
      <c r="D356" s="32">
        <v>76554</v>
      </c>
      <c r="E356" s="30" t="s">
        <v>20</v>
      </c>
      <c r="F356" s="30"/>
      <c r="G356" s="30" t="s">
        <v>35</v>
      </c>
      <c r="H356" s="30" t="s">
        <v>66</v>
      </c>
      <c r="I356" s="31" t="s">
        <v>29</v>
      </c>
    </row>
    <row r="357" spans="2:9" s="6" customFormat="1" ht="11.25" customHeight="1" x14ac:dyDescent="0.55000000000000004">
      <c r="B357" s="30" t="s">
        <v>778</v>
      </c>
      <c r="C357" s="30" t="s">
        <v>779</v>
      </c>
      <c r="D357" s="32">
        <v>69752</v>
      </c>
      <c r="E357" s="30" t="s">
        <v>15</v>
      </c>
      <c r="F357" s="30"/>
      <c r="G357" s="30" t="s">
        <v>21</v>
      </c>
      <c r="H357" s="30" t="s">
        <v>150</v>
      </c>
      <c r="I357" s="31" t="s">
        <v>29</v>
      </c>
    </row>
    <row r="358" spans="2:9" s="6" customFormat="1" ht="11.25" customHeight="1" x14ac:dyDescent="0.55000000000000004">
      <c r="B358" s="30" t="s">
        <v>780</v>
      </c>
      <c r="C358" s="30" t="s">
        <v>781</v>
      </c>
      <c r="D358" s="32">
        <v>60229</v>
      </c>
      <c r="E358" s="30" t="s">
        <v>15</v>
      </c>
      <c r="F358" s="30"/>
      <c r="G358" s="30"/>
      <c r="H358" s="30" t="s">
        <v>92</v>
      </c>
      <c r="I358" s="31" t="s">
        <v>29</v>
      </c>
    </row>
    <row r="359" spans="2:9" s="6" customFormat="1" ht="11.25" customHeight="1" x14ac:dyDescent="0.55000000000000004">
      <c r="B359" s="30" t="s">
        <v>782</v>
      </c>
      <c r="C359" s="30" t="s">
        <v>783</v>
      </c>
      <c r="D359" s="32">
        <v>60231</v>
      </c>
      <c r="E359" s="30" t="s">
        <v>15</v>
      </c>
      <c r="F359" s="30"/>
      <c r="G359" s="30"/>
      <c r="H359" s="30" t="s">
        <v>66</v>
      </c>
      <c r="I359" s="31" t="s">
        <v>29</v>
      </c>
    </row>
    <row r="360" spans="2:9" s="6" customFormat="1" ht="11.25" customHeight="1" x14ac:dyDescent="0.55000000000000004">
      <c r="B360" s="30" t="s">
        <v>784</v>
      </c>
      <c r="C360" s="30" t="s">
        <v>785</v>
      </c>
      <c r="D360" s="32">
        <v>64890</v>
      </c>
      <c r="E360" s="30" t="s">
        <v>20</v>
      </c>
      <c r="F360" s="30"/>
      <c r="G360" s="30" t="s">
        <v>21</v>
      </c>
      <c r="H360" s="30" t="s">
        <v>63</v>
      </c>
      <c r="I360" s="31">
        <v>363124.71</v>
      </c>
    </row>
    <row r="361" spans="2:9" s="6" customFormat="1" ht="11.25" customHeight="1" x14ac:dyDescent="0.55000000000000004">
      <c r="B361" s="30" t="s">
        <v>786</v>
      </c>
      <c r="C361" s="30" t="s">
        <v>787</v>
      </c>
      <c r="D361" s="32" t="s">
        <v>29</v>
      </c>
      <c r="E361" s="30" t="s">
        <v>20</v>
      </c>
      <c r="F361" s="30" t="s">
        <v>786</v>
      </c>
      <c r="G361" s="30" t="s">
        <v>35</v>
      </c>
      <c r="H361" s="30" t="s">
        <v>40</v>
      </c>
      <c r="I361" s="31">
        <v>25650417.346999999</v>
      </c>
    </row>
    <row r="362" spans="2:9" s="6" customFormat="1" ht="11.25" customHeight="1" x14ac:dyDescent="0.55000000000000004">
      <c r="B362" s="30" t="s">
        <v>788</v>
      </c>
      <c r="C362" s="30" t="s">
        <v>789</v>
      </c>
      <c r="D362" s="32">
        <v>62345</v>
      </c>
      <c r="E362" s="30" t="s">
        <v>20</v>
      </c>
      <c r="F362" s="30" t="s">
        <v>786</v>
      </c>
      <c r="G362" s="30" t="s">
        <v>265</v>
      </c>
      <c r="H362" s="30" t="s">
        <v>40</v>
      </c>
      <c r="I362" s="31">
        <v>20830372.351</v>
      </c>
    </row>
    <row r="363" spans="2:9" s="6" customFormat="1" ht="11.25" customHeight="1" x14ac:dyDescent="0.55000000000000004">
      <c r="B363" s="30" t="s">
        <v>790</v>
      </c>
      <c r="C363" s="30" t="s">
        <v>791</v>
      </c>
      <c r="D363" s="32">
        <v>71714</v>
      </c>
      <c r="E363" s="30" t="s">
        <v>20</v>
      </c>
      <c r="F363" s="30" t="s">
        <v>792</v>
      </c>
      <c r="G363" s="30" t="s">
        <v>39</v>
      </c>
      <c r="H363" s="30" t="s">
        <v>582</v>
      </c>
      <c r="I363" s="31">
        <v>4181541.7490000003</v>
      </c>
    </row>
    <row r="364" spans="2:9" s="6" customFormat="1" ht="11.25" customHeight="1" x14ac:dyDescent="0.55000000000000004">
      <c r="B364" s="30" t="s">
        <v>793</v>
      </c>
      <c r="C364" s="30" t="s">
        <v>794</v>
      </c>
      <c r="D364" s="32">
        <v>61433</v>
      </c>
      <c r="E364" s="30" t="s">
        <v>15</v>
      </c>
      <c r="F364" s="30" t="s">
        <v>792</v>
      </c>
      <c r="G364" s="30"/>
      <c r="H364" s="30" t="s">
        <v>582</v>
      </c>
      <c r="I364" s="31" t="s">
        <v>29</v>
      </c>
    </row>
    <row r="365" spans="2:9" s="6" customFormat="1" ht="11.25" customHeight="1" x14ac:dyDescent="0.55000000000000004">
      <c r="B365" s="30" t="s">
        <v>795</v>
      </c>
      <c r="C365" s="30" t="s">
        <v>796</v>
      </c>
      <c r="D365" s="32">
        <v>61433</v>
      </c>
      <c r="E365" s="30" t="s">
        <v>15</v>
      </c>
      <c r="F365" s="30"/>
      <c r="G365" s="30"/>
      <c r="H365" s="30" t="s">
        <v>582</v>
      </c>
      <c r="I365" s="31" t="s">
        <v>29</v>
      </c>
    </row>
    <row r="366" spans="2:9" s="6" customFormat="1" ht="11.25" customHeight="1" x14ac:dyDescent="0.55000000000000004">
      <c r="B366" s="30" t="s">
        <v>797</v>
      </c>
      <c r="C366" s="30" t="s">
        <v>798</v>
      </c>
      <c r="D366" s="32">
        <v>90638</v>
      </c>
      <c r="E366" s="30" t="s">
        <v>20</v>
      </c>
      <c r="F366" s="30"/>
      <c r="G366" s="30" t="s">
        <v>21</v>
      </c>
      <c r="H366" s="30" t="s">
        <v>239</v>
      </c>
      <c r="I366" s="31">
        <v>24262.82</v>
      </c>
    </row>
    <row r="367" spans="2:9" s="6" customFormat="1" ht="11.25" customHeight="1" x14ac:dyDescent="0.55000000000000004">
      <c r="B367" s="30" t="s">
        <v>799</v>
      </c>
      <c r="C367" s="30" t="s">
        <v>800</v>
      </c>
      <c r="D367" s="32">
        <v>63886</v>
      </c>
      <c r="E367" s="30" t="s">
        <v>20</v>
      </c>
      <c r="F367" s="30"/>
      <c r="G367" s="30" t="s">
        <v>39</v>
      </c>
      <c r="H367" s="30" t="s">
        <v>262</v>
      </c>
      <c r="I367" s="31">
        <v>376194.255</v>
      </c>
    </row>
    <row r="368" spans="2:9" s="6" customFormat="1" ht="11.25" customHeight="1" x14ac:dyDescent="0.55000000000000004">
      <c r="B368" s="30" t="s">
        <v>801</v>
      </c>
      <c r="C368" s="30" t="s">
        <v>802</v>
      </c>
      <c r="D368" s="32">
        <v>16612</v>
      </c>
      <c r="E368" s="30" t="s">
        <v>20</v>
      </c>
      <c r="F368" s="30"/>
      <c r="G368" s="30" t="s">
        <v>16</v>
      </c>
      <c r="H368" s="30" t="s">
        <v>113</v>
      </c>
      <c r="I368" s="31">
        <v>10139.648999999999</v>
      </c>
    </row>
    <row r="369" spans="2:9" s="6" customFormat="1" ht="11.25" customHeight="1" x14ac:dyDescent="0.55000000000000004">
      <c r="B369" s="30" t="s">
        <v>803</v>
      </c>
      <c r="C369" s="30" t="s">
        <v>804</v>
      </c>
      <c r="D369" s="32">
        <v>60032</v>
      </c>
      <c r="E369" s="30" t="s">
        <v>15</v>
      </c>
      <c r="F369" s="30"/>
      <c r="G369" s="30" t="s">
        <v>16</v>
      </c>
      <c r="H369" s="30" t="s">
        <v>124</v>
      </c>
      <c r="I369" s="31" t="s">
        <v>29</v>
      </c>
    </row>
    <row r="370" spans="2:9" s="6" customFormat="1" ht="11.25" customHeight="1" x14ac:dyDescent="0.55000000000000004">
      <c r="B370" s="30" t="s">
        <v>805</v>
      </c>
      <c r="C370" s="30" t="s">
        <v>806</v>
      </c>
      <c r="D370" s="32">
        <v>92886</v>
      </c>
      <c r="E370" s="30" t="s">
        <v>15</v>
      </c>
      <c r="F370" s="30"/>
      <c r="G370" s="30"/>
      <c r="H370" s="30"/>
      <c r="I370" s="31" t="s">
        <v>29</v>
      </c>
    </row>
    <row r="371" spans="2:9" s="6" customFormat="1" ht="11.25" customHeight="1" x14ac:dyDescent="0.55000000000000004">
      <c r="B371" s="30" t="s">
        <v>807</v>
      </c>
      <c r="C371" s="30" t="s">
        <v>808</v>
      </c>
      <c r="D371" s="32">
        <v>60107</v>
      </c>
      <c r="E371" s="30" t="s">
        <v>15</v>
      </c>
      <c r="F371" s="30" t="s">
        <v>786</v>
      </c>
      <c r="G371" s="30"/>
      <c r="H371" s="30" t="s">
        <v>40</v>
      </c>
      <c r="I371" s="31" t="s">
        <v>29</v>
      </c>
    </row>
    <row r="372" spans="2:9" s="6" customFormat="1" ht="11.25" customHeight="1" x14ac:dyDescent="0.55000000000000004">
      <c r="B372" s="30" t="s">
        <v>809</v>
      </c>
      <c r="C372" s="30" t="s">
        <v>810</v>
      </c>
      <c r="D372" s="32">
        <v>73806</v>
      </c>
      <c r="E372" s="30" t="s">
        <v>15</v>
      </c>
      <c r="F372" s="30"/>
      <c r="G372" s="30" t="s">
        <v>16</v>
      </c>
      <c r="H372" s="30" t="s">
        <v>811</v>
      </c>
      <c r="I372" s="31" t="s">
        <v>29</v>
      </c>
    </row>
    <row r="373" spans="2:9" s="6" customFormat="1" ht="11.25" customHeight="1" x14ac:dyDescent="0.55000000000000004">
      <c r="B373" s="30" t="s">
        <v>812</v>
      </c>
      <c r="C373" s="30" t="s">
        <v>813</v>
      </c>
      <c r="D373" s="32">
        <v>84883</v>
      </c>
      <c r="E373" s="30" t="s">
        <v>15</v>
      </c>
      <c r="F373" s="30"/>
      <c r="G373" s="30"/>
      <c r="H373" s="30" t="s">
        <v>22</v>
      </c>
      <c r="I373" s="31" t="s">
        <v>29</v>
      </c>
    </row>
    <row r="374" spans="2:9" s="6" customFormat="1" ht="11.25" customHeight="1" x14ac:dyDescent="0.55000000000000004">
      <c r="B374" s="30" t="s">
        <v>814</v>
      </c>
      <c r="C374" s="30" t="s">
        <v>815</v>
      </c>
      <c r="D374" s="32">
        <v>12996</v>
      </c>
      <c r="E374" s="30" t="s">
        <v>15</v>
      </c>
      <c r="F374" s="30"/>
      <c r="G374" s="30" t="s">
        <v>16</v>
      </c>
      <c r="H374" s="30" t="s">
        <v>105</v>
      </c>
      <c r="I374" s="31" t="s">
        <v>29</v>
      </c>
    </row>
    <row r="375" spans="2:9" s="6" customFormat="1" ht="11.25" customHeight="1" x14ac:dyDescent="0.55000000000000004">
      <c r="B375" s="30" t="s">
        <v>816</v>
      </c>
      <c r="C375" s="30" t="s">
        <v>817</v>
      </c>
      <c r="D375" s="32">
        <v>89002</v>
      </c>
      <c r="E375" s="30" t="s">
        <v>15</v>
      </c>
      <c r="F375" s="30"/>
      <c r="G375" s="30"/>
      <c r="H375" s="30" t="s">
        <v>92</v>
      </c>
      <c r="I375" s="31" t="s">
        <v>29</v>
      </c>
    </row>
    <row r="376" spans="2:9" s="6" customFormat="1" ht="11.25" customHeight="1" x14ac:dyDescent="0.55000000000000004">
      <c r="B376" s="30" t="s">
        <v>85</v>
      </c>
      <c r="C376" s="30" t="s">
        <v>818</v>
      </c>
      <c r="D376" s="32" t="s">
        <v>29</v>
      </c>
      <c r="E376" s="30" t="s">
        <v>20</v>
      </c>
      <c r="F376" s="30" t="s">
        <v>85</v>
      </c>
      <c r="G376" s="30" t="s">
        <v>21</v>
      </c>
      <c r="H376" s="30" t="s">
        <v>86</v>
      </c>
      <c r="I376" s="31">
        <v>1939774.247</v>
      </c>
    </row>
    <row r="377" spans="2:9" s="6" customFormat="1" ht="11.25" customHeight="1" x14ac:dyDescent="0.55000000000000004">
      <c r="B377" s="30" t="s">
        <v>819</v>
      </c>
      <c r="C377" s="30" t="s">
        <v>820</v>
      </c>
      <c r="D377" s="32">
        <v>61557</v>
      </c>
      <c r="E377" s="30" t="s">
        <v>20</v>
      </c>
      <c r="F377" s="30" t="s">
        <v>821</v>
      </c>
      <c r="G377" s="30" t="s">
        <v>39</v>
      </c>
      <c r="H377" s="30" t="s">
        <v>239</v>
      </c>
      <c r="I377" s="31">
        <v>253889.41200000001</v>
      </c>
    </row>
    <row r="378" spans="2:9" s="6" customFormat="1" ht="11.25" customHeight="1" x14ac:dyDescent="0.55000000000000004">
      <c r="B378" s="30" t="s">
        <v>821</v>
      </c>
      <c r="C378" s="30" t="s">
        <v>822</v>
      </c>
      <c r="D378" s="32" t="s">
        <v>29</v>
      </c>
      <c r="E378" s="30" t="s">
        <v>20</v>
      </c>
      <c r="F378" s="30" t="s">
        <v>821</v>
      </c>
      <c r="G378" s="30" t="s">
        <v>39</v>
      </c>
      <c r="H378" s="30" t="s">
        <v>239</v>
      </c>
      <c r="I378" s="31">
        <v>265293.28000000003</v>
      </c>
    </row>
    <row r="379" spans="2:9" s="6" customFormat="1" ht="11.25" customHeight="1" x14ac:dyDescent="0.55000000000000004">
      <c r="B379" s="30" t="s">
        <v>823</v>
      </c>
      <c r="C379" s="30" t="s">
        <v>824</v>
      </c>
      <c r="D379" s="32">
        <v>74802</v>
      </c>
      <c r="E379" s="30" t="s">
        <v>15</v>
      </c>
      <c r="F379" s="30"/>
      <c r="G379" s="30"/>
      <c r="H379" s="30" t="s">
        <v>92</v>
      </c>
      <c r="I379" s="31" t="s">
        <v>29</v>
      </c>
    </row>
    <row r="380" spans="2:9" s="6" customFormat="1" ht="11.25" customHeight="1" x14ac:dyDescent="0.55000000000000004">
      <c r="B380" s="30" t="s">
        <v>825</v>
      </c>
      <c r="C380" s="30" t="s">
        <v>826</v>
      </c>
      <c r="D380" s="32">
        <v>68535</v>
      </c>
      <c r="E380" s="30" t="s">
        <v>20</v>
      </c>
      <c r="F380" s="30"/>
      <c r="G380" s="30" t="s">
        <v>25</v>
      </c>
      <c r="H380" s="30" t="s">
        <v>179</v>
      </c>
      <c r="I380" s="31">
        <v>67518.134999999995</v>
      </c>
    </row>
    <row r="381" spans="2:9" s="6" customFormat="1" ht="11.25" customHeight="1" x14ac:dyDescent="0.55000000000000004">
      <c r="B381" s="30" t="s">
        <v>827</v>
      </c>
      <c r="C381" s="30" t="s">
        <v>828</v>
      </c>
      <c r="D381" s="32">
        <v>86932</v>
      </c>
      <c r="E381" s="30" t="s">
        <v>15</v>
      </c>
      <c r="F381" s="30"/>
      <c r="G381" s="30"/>
      <c r="H381" s="30" t="s">
        <v>500</v>
      </c>
      <c r="I381" s="31" t="s">
        <v>29</v>
      </c>
    </row>
    <row r="382" spans="2:9" s="6" customFormat="1" ht="11.25" customHeight="1" x14ac:dyDescent="0.55000000000000004">
      <c r="B382" s="30" t="s">
        <v>829</v>
      </c>
      <c r="C382" s="30" t="s">
        <v>830</v>
      </c>
      <c r="D382" s="32">
        <v>61468</v>
      </c>
      <c r="E382" s="30" t="s">
        <v>15</v>
      </c>
      <c r="F382" s="30"/>
      <c r="G382" s="30"/>
      <c r="H382" s="30" t="s">
        <v>48</v>
      </c>
      <c r="I382" s="31" t="s">
        <v>29</v>
      </c>
    </row>
    <row r="383" spans="2:9" s="6" customFormat="1" ht="11.25" customHeight="1" x14ac:dyDescent="0.55000000000000004">
      <c r="B383" s="30" t="s">
        <v>831</v>
      </c>
      <c r="C383" s="30" t="s">
        <v>832</v>
      </c>
      <c r="D383" s="32" t="s">
        <v>29</v>
      </c>
      <c r="E383" s="30" t="s">
        <v>20</v>
      </c>
      <c r="F383" s="30" t="s">
        <v>831</v>
      </c>
      <c r="G383" s="30" t="s">
        <v>35</v>
      </c>
      <c r="H383" s="30" t="s">
        <v>582</v>
      </c>
      <c r="I383" s="31">
        <v>1666731.1940000001</v>
      </c>
    </row>
    <row r="384" spans="2:9" s="6" customFormat="1" ht="11.25" customHeight="1" x14ac:dyDescent="0.55000000000000004">
      <c r="B384" s="30" t="s">
        <v>833</v>
      </c>
      <c r="C384" s="30" t="s">
        <v>834</v>
      </c>
      <c r="D384" s="32">
        <v>61476</v>
      </c>
      <c r="E384" s="30" t="s">
        <v>20</v>
      </c>
      <c r="F384" s="30" t="s">
        <v>831</v>
      </c>
      <c r="G384" s="30" t="s">
        <v>25</v>
      </c>
      <c r="H384" s="30" t="s">
        <v>582</v>
      </c>
      <c r="I384" s="31">
        <v>1529501.9270000001</v>
      </c>
    </row>
    <row r="385" spans="2:9" s="6" customFormat="1" ht="11.25" customHeight="1" x14ac:dyDescent="0.55000000000000004">
      <c r="B385" s="30" t="s">
        <v>835</v>
      </c>
      <c r="C385" s="30" t="s">
        <v>836</v>
      </c>
      <c r="D385" s="32">
        <v>84590</v>
      </c>
      <c r="E385" s="30" t="s">
        <v>15</v>
      </c>
      <c r="F385" s="30"/>
      <c r="G385" s="30"/>
      <c r="H385" s="30" t="s">
        <v>22</v>
      </c>
      <c r="I385" s="31" t="s">
        <v>29</v>
      </c>
    </row>
    <row r="386" spans="2:9" s="6" customFormat="1" ht="11.25" customHeight="1" x14ac:dyDescent="0.55000000000000004">
      <c r="B386" s="30" t="s">
        <v>837</v>
      </c>
      <c r="C386" s="30" t="s">
        <v>838</v>
      </c>
      <c r="D386" s="32">
        <v>94390</v>
      </c>
      <c r="E386" s="30" t="s">
        <v>15</v>
      </c>
      <c r="F386" s="30"/>
      <c r="G386" s="30"/>
      <c r="H386" s="30" t="s">
        <v>429</v>
      </c>
      <c r="I386" s="31" t="s">
        <v>29</v>
      </c>
    </row>
    <row r="387" spans="2:9" s="6" customFormat="1" ht="11.25" customHeight="1" x14ac:dyDescent="0.55000000000000004">
      <c r="B387" s="30" t="s">
        <v>839</v>
      </c>
      <c r="C387" s="30" t="s">
        <v>840</v>
      </c>
      <c r="D387" s="32">
        <v>87955</v>
      </c>
      <c r="E387" s="30" t="s">
        <v>15</v>
      </c>
      <c r="F387" s="30"/>
      <c r="G387" s="30"/>
      <c r="H387" s="30" t="s">
        <v>113</v>
      </c>
      <c r="I387" s="31" t="s">
        <v>29</v>
      </c>
    </row>
    <row r="388" spans="2:9" s="6" customFormat="1" ht="11.25" customHeight="1" x14ac:dyDescent="0.55000000000000004">
      <c r="B388" s="30" t="s">
        <v>841</v>
      </c>
      <c r="C388" s="30" t="s">
        <v>842</v>
      </c>
      <c r="D388" s="32">
        <v>80918</v>
      </c>
      <c r="E388" s="30" t="s">
        <v>15</v>
      </c>
      <c r="F388" s="30"/>
      <c r="G388" s="30"/>
      <c r="H388" s="30" t="s">
        <v>22</v>
      </c>
      <c r="I388" s="31" t="s">
        <v>29</v>
      </c>
    </row>
    <row r="389" spans="2:9" s="6" customFormat="1" ht="11.25" customHeight="1" x14ac:dyDescent="0.55000000000000004">
      <c r="B389" s="30" t="s">
        <v>843</v>
      </c>
      <c r="C389" s="30" t="s">
        <v>844</v>
      </c>
      <c r="D389" s="32" t="s">
        <v>29</v>
      </c>
      <c r="E389" s="30" t="s">
        <v>20</v>
      </c>
      <c r="F389" s="30" t="s">
        <v>843</v>
      </c>
      <c r="G389" s="30" t="s">
        <v>155</v>
      </c>
      <c r="H389" s="30" t="s">
        <v>686</v>
      </c>
      <c r="I389" s="31">
        <v>194644730.99400002</v>
      </c>
    </row>
    <row r="390" spans="2:9" s="6" customFormat="1" ht="11.25" customHeight="1" x14ac:dyDescent="0.55000000000000004">
      <c r="B390" s="30" t="s">
        <v>845</v>
      </c>
      <c r="C390" s="30" t="s">
        <v>846</v>
      </c>
      <c r="D390" s="32" t="s">
        <v>29</v>
      </c>
      <c r="E390" s="30" t="s">
        <v>20</v>
      </c>
      <c r="F390" s="30"/>
      <c r="G390" s="30"/>
      <c r="H390" s="30" t="s">
        <v>686</v>
      </c>
      <c r="I390" s="31" t="s">
        <v>29</v>
      </c>
    </row>
    <row r="391" spans="2:9" s="6" customFormat="1" ht="11.25" customHeight="1" x14ac:dyDescent="0.55000000000000004">
      <c r="B391" s="30" t="s">
        <v>847</v>
      </c>
      <c r="C391" s="30" t="s">
        <v>848</v>
      </c>
      <c r="D391" s="32">
        <v>60992</v>
      </c>
      <c r="E391" s="30" t="s">
        <v>20</v>
      </c>
      <c r="F391" s="30" t="s">
        <v>843</v>
      </c>
      <c r="G391" s="30" t="s">
        <v>16</v>
      </c>
      <c r="H391" s="30" t="s">
        <v>124</v>
      </c>
      <c r="I391" s="31">
        <v>8659960.2909999993</v>
      </c>
    </row>
    <row r="392" spans="2:9" s="6" customFormat="1" ht="11.25" customHeight="1" x14ac:dyDescent="0.55000000000000004">
      <c r="B392" s="30" t="s">
        <v>849</v>
      </c>
      <c r="C392" s="30" t="s">
        <v>850</v>
      </c>
      <c r="D392" s="32">
        <v>60992</v>
      </c>
      <c r="E392" s="30" t="s">
        <v>20</v>
      </c>
      <c r="F392" s="30"/>
      <c r="G392" s="30"/>
      <c r="H392" s="30" t="s">
        <v>124</v>
      </c>
      <c r="I392" s="31" t="s">
        <v>29</v>
      </c>
    </row>
    <row r="393" spans="2:9" s="6" customFormat="1" ht="11.25" customHeight="1" x14ac:dyDescent="0.55000000000000004">
      <c r="B393" s="30" t="s">
        <v>851</v>
      </c>
      <c r="C393" s="30" t="s">
        <v>852</v>
      </c>
      <c r="D393" s="32">
        <v>60992</v>
      </c>
      <c r="E393" s="30" t="s">
        <v>20</v>
      </c>
      <c r="F393" s="30"/>
      <c r="G393" s="30"/>
      <c r="H393" s="30" t="s">
        <v>124</v>
      </c>
      <c r="I393" s="31" t="s">
        <v>29</v>
      </c>
    </row>
    <row r="394" spans="2:9" s="6" customFormat="1" ht="11.25" customHeight="1" x14ac:dyDescent="0.55000000000000004">
      <c r="B394" s="30" t="s">
        <v>853</v>
      </c>
      <c r="C394" s="30" t="s">
        <v>854</v>
      </c>
      <c r="D394" s="32">
        <v>87726</v>
      </c>
      <c r="E394" s="30" t="s">
        <v>20</v>
      </c>
      <c r="F394" s="30" t="s">
        <v>843</v>
      </c>
      <c r="G394" s="30" t="s">
        <v>155</v>
      </c>
      <c r="H394" s="30" t="s">
        <v>686</v>
      </c>
      <c r="I394" s="31">
        <v>177445154.07500002</v>
      </c>
    </row>
    <row r="395" spans="2:9" s="6" customFormat="1" ht="11.25" customHeight="1" x14ac:dyDescent="0.55000000000000004">
      <c r="B395" s="30" t="s">
        <v>855</v>
      </c>
      <c r="C395" s="30" t="s">
        <v>856</v>
      </c>
      <c r="D395" s="32">
        <v>87726</v>
      </c>
      <c r="E395" s="30" t="s">
        <v>20</v>
      </c>
      <c r="F395" s="30"/>
      <c r="G395" s="30"/>
      <c r="H395" s="30" t="s">
        <v>686</v>
      </c>
      <c r="I395" s="31" t="s">
        <v>29</v>
      </c>
    </row>
    <row r="396" spans="2:9" s="6" customFormat="1" ht="11.25" customHeight="1" x14ac:dyDescent="0.55000000000000004">
      <c r="B396" s="30" t="s">
        <v>857</v>
      </c>
      <c r="C396" s="30" t="s">
        <v>858</v>
      </c>
      <c r="D396" s="32">
        <v>87726</v>
      </c>
      <c r="E396" s="30" t="s">
        <v>20</v>
      </c>
      <c r="F396" s="30"/>
      <c r="G396" s="30"/>
      <c r="H396" s="30" t="s">
        <v>686</v>
      </c>
      <c r="I396" s="31" t="s">
        <v>29</v>
      </c>
    </row>
    <row r="397" spans="2:9" s="6" customFormat="1" ht="11.25" customHeight="1" x14ac:dyDescent="0.55000000000000004">
      <c r="B397" s="30" t="s">
        <v>859</v>
      </c>
      <c r="C397" s="30" t="s">
        <v>860</v>
      </c>
      <c r="D397" s="32">
        <v>15518</v>
      </c>
      <c r="E397" s="30" t="s">
        <v>15</v>
      </c>
      <c r="F397" s="30"/>
      <c r="G397" s="30" t="s">
        <v>16</v>
      </c>
      <c r="H397" s="30" t="s">
        <v>26</v>
      </c>
      <c r="I397" s="31" t="s">
        <v>29</v>
      </c>
    </row>
    <row r="398" spans="2:9" s="6" customFormat="1" ht="11.25" customHeight="1" x14ac:dyDescent="0.55000000000000004">
      <c r="B398" s="30" t="s">
        <v>861</v>
      </c>
      <c r="C398" s="30" t="s">
        <v>862</v>
      </c>
      <c r="D398" s="32">
        <v>78620</v>
      </c>
      <c r="E398" s="30" t="s">
        <v>20</v>
      </c>
      <c r="F398" s="30" t="s">
        <v>182</v>
      </c>
      <c r="G398" s="30" t="s">
        <v>25</v>
      </c>
      <c r="H398" s="30" t="s">
        <v>30</v>
      </c>
      <c r="I398" s="31">
        <v>5087850.4800000004</v>
      </c>
    </row>
    <row r="399" spans="2:9" s="6" customFormat="1" ht="11.25" customHeight="1" x14ac:dyDescent="0.55000000000000004">
      <c r="B399" s="30" t="s">
        <v>863</v>
      </c>
      <c r="C399" s="30" t="s">
        <v>864</v>
      </c>
      <c r="D399" s="32">
        <v>60133</v>
      </c>
      <c r="E399" s="30" t="s">
        <v>15</v>
      </c>
      <c r="F399" s="30"/>
      <c r="G399" s="30"/>
      <c r="H399" s="30" t="s">
        <v>865</v>
      </c>
      <c r="I399" s="31" t="s">
        <v>29</v>
      </c>
    </row>
    <row r="400" spans="2:9" s="6" customFormat="1" ht="11.25" customHeight="1" x14ac:dyDescent="0.55000000000000004">
      <c r="B400" s="30" t="s">
        <v>866</v>
      </c>
      <c r="C400" s="30" t="s">
        <v>867</v>
      </c>
      <c r="D400" s="32">
        <v>74403</v>
      </c>
      <c r="E400" s="30" t="s">
        <v>15</v>
      </c>
      <c r="F400" s="30"/>
      <c r="G400" s="30"/>
      <c r="H400" s="30" t="s">
        <v>150</v>
      </c>
      <c r="I400" s="31" t="s">
        <v>29</v>
      </c>
    </row>
    <row r="401" spans="2:9" s="6" customFormat="1" ht="11.25" customHeight="1" x14ac:dyDescent="0.55000000000000004">
      <c r="B401" s="30" t="s">
        <v>868</v>
      </c>
      <c r="C401" s="30" t="s">
        <v>869</v>
      </c>
      <c r="D401" s="32">
        <v>60116</v>
      </c>
      <c r="E401" s="30" t="s">
        <v>15</v>
      </c>
      <c r="F401" s="30"/>
      <c r="G401" s="30"/>
      <c r="H401" s="30" t="s">
        <v>48</v>
      </c>
      <c r="I401" s="31" t="s">
        <v>29</v>
      </c>
    </row>
    <row r="402" spans="2:9" s="6" customFormat="1" ht="11.25" customHeight="1" x14ac:dyDescent="0.55000000000000004">
      <c r="B402" s="30" t="s">
        <v>870</v>
      </c>
      <c r="C402" s="30" t="s">
        <v>871</v>
      </c>
      <c r="D402" s="32">
        <v>93432</v>
      </c>
      <c r="E402" s="30" t="s">
        <v>20</v>
      </c>
      <c r="F402" s="30" t="s">
        <v>872</v>
      </c>
      <c r="G402" s="30" t="s">
        <v>155</v>
      </c>
      <c r="H402" s="30" t="s">
        <v>582</v>
      </c>
      <c r="I402" s="31">
        <v>8639008.3399999999</v>
      </c>
    </row>
    <row r="403" spans="2:9" s="6" customFormat="1" ht="11.25" customHeight="1" x14ac:dyDescent="0.55000000000000004">
      <c r="B403" s="30" t="s">
        <v>873</v>
      </c>
      <c r="C403" s="30" t="s">
        <v>874</v>
      </c>
      <c r="D403" s="32">
        <v>93432</v>
      </c>
      <c r="E403" s="30" t="s">
        <v>20</v>
      </c>
      <c r="F403" s="30"/>
      <c r="G403" s="30"/>
      <c r="H403" s="30" t="s">
        <v>582</v>
      </c>
      <c r="I403" s="31" t="s">
        <v>29</v>
      </c>
    </row>
    <row r="404" spans="2:9" s="6" customFormat="1" ht="11.25" customHeight="1" x14ac:dyDescent="0.55000000000000004">
      <c r="B404" s="30" t="s">
        <v>875</v>
      </c>
      <c r="C404" s="30" t="s">
        <v>876</v>
      </c>
      <c r="D404" s="32">
        <v>93432</v>
      </c>
      <c r="E404" s="30" t="s">
        <v>20</v>
      </c>
      <c r="F404" s="30"/>
      <c r="G404" s="30"/>
      <c r="H404" s="30" t="s">
        <v>582</v>
      </c>
      <c r="I404" s="31" t="s">
        <v>29</v>
      </c>
    </row>
    <row r="405" spans="2:9" s="6" customFormat="1" ht="11.25" customHeight="1" x14ac:dyDescent="0.55000000000000004">
      <c r="B405" s="30" t="s">
        <v>877</v>
      </c>
      <c r="C405" s="30" t="s">
        <v>878</v>
      </c>
      <c r="D405" s="32">
        <v>61514</v>
      </c>
      <c r="E405" s="30" t="s">
        <v>15</v>
      </c>
      <c r="F405" s="30" t="s">
        <v>116</v>
      </c>
      <c r="G405" s="30"/>
      <c r="H405" s="30" t="s">
        <v>239</v>
      </c>
      <c r="I405" s="31" t="s">
        <v>29</v>
      </c>
    </row>
    <row r="406" spans="2:9" s="6" customFormat="1" ht="11.25" customHeight="1" x14ac:dyDescent="0.55000000000000004">
      <c r="B406" s="30" t="s">
        <v>298</v>
      </c>
      <c r="C406" s="30" t="s">
        <v>879</v>
      </c>
      <c r="D406" s="32" t="s">
        <v>29</v>
      </c>
      <c r="E406" s="30" t="s">
        <v>20</v>
      </c>
      <c r="F406" s="30" t="s">
        <v>298</v>
      </c>
      <c r="G406" s="30" t="s">
        <v>155</v>
      </c>
      <c r="H406" s="30" t="s">
        <v>22</v>
      </c>
      <c r="I406" s="31">
        <v>4991568.5379999997</v>
      </c>
    </row>
    <row r="407" spans="2:9" s="6" customFormat="1" ht="11.25" customHeight="1" x14ac:dyDescent="0.55000000000000004">
      <c r="B407" s="30" t="s">
        <v>880</v>
      </c>
      <c r="C407" s="30" t="s">
        <v>881</v>
      </c>
      <c r="D407" s="32">
        <v>84743</v>
      </c>
      <c r="E407" s="30" t="s">
        <v>15</v>
      </c>
      <c r="F407" s="30"/>
      <c r="G407" s="30"/>
      <c r="H407" s="30" t="s">
        <v>500</v>
      </c>
      <c r="I407" s="31" t="s">
        <v>29</v>
      </c>
    </row>
    <row r="408" spans="2:9" s="6" customFormat="1" ht="11.25" customHeight="1" x14ac:dyDescent="0.55000000000000004">
      <c r="B408" s="30" t="s">
        <v>882</v>
      </c>
      <c r="C408" s="30" t="s">
        <v>883</v>
      </c>
      <c r="D408" s="32">
        <v>80659</v>
      </c>
      <c r="E408" s="30" t="s">
        <v>20</v>
      </c>
      <c r="F408" s="30" t="s">
        <v>884</v>
      </c>
      <c r="G408" s="30" t="s">
        <v>16</v>
      </c>
      <c r="H408" s="30" t="s">
        <v>735</v>
      </c>
      <c r="I408" s="31">
        <v>4120742.2579999999</v>
      </c>
    </row>
    <row r="409" spans="2:9" s="6" customFormat="1" ht="11.25" customHeight="1" x14ac:dyDescent="0.55000000000000004">
      <c r="B409" s="30" t="s">
        <v>885</v>
      </c>
      <c r="C409" s="30" t="s">
        <v>886</v>
      </c>
      <c r="D409" s="32">
        <v>11225</v>
      </c>
      <c r="E409" s="30" t="s">
        <v>15</v>
      </c>
      <c r="F409" s="30"/>
      <c r="G409" s="30"/>
      <c r="H409" s="30" t="s">
        <v>130</v>
      </c>
      <c r="I409" s="31" t="s">
        <v>29</v>
      </c>
    </row>
    <row r="410" spans="2:9" s="6" customFormat="1" ht="11.25" customHeight="1" x14ac:dyDescent="0.55000000000000004">
      <c r="B410" s="30" t="s">
        <v>887</v>
      </c>
      <c r="C410" s="30" t="s">
        <v>888</v>
      </c>
      <c r="D410" s="32">
        <v>81060</v>
      </c>
      <c r="E410" s="30" t="s">
        <v>15</v>
      </c>
      <c r="F410" s="30" t="s">
        <v>884</v>
      </c>
      <c r="G410" s="30" t="s">
        <v>155</v>
      </c>
      <c r="H410" s="30" t="s">
        <v>735</v>
      </c>
      <c r="I410" s="31" t="s">
        <v>29</v>
      </c>
    </row>
    <row r="411" spans="2:9" s="6" customFormat="1" ht="11.25" customHeight="1" x14ac:dyDescent="0.55000000000000004">
      <c r="B411" s="30" t="s">
        <v>889</v>
      </c>
      <c r="C411" s="30" t="s">
        <v>890</v>
      </c>
      <c r="D411" s="32">
        <v>81060</v>
      </c>
      <c r="E411" s="30" t="s">
        <v>15</v>
      </c>
      <c r="F411" s="30"/>
      <c r="G411" s="30"/>
      <c r="H411" s="30" t="s">
        <v>735</v>
      </c>
      <c r="I411" s="31" t="s">
        <v>29</v>
      </c>
    </row>
    <row r="412" spans="2:9" s="6" customFormat="1" ht="11.25" customHeight="1" x14ac:dyDescent="0.55000000000000004">
      <c r="B412" s="30" t="s">
        <v>891</v>
      </c>
      <c r="C412" s="30" t="s">
        <v>892</v>
      </c>
      <c r="D412" s="32">
        <v>72958</v>
      </c>
      <c r="E412" s="30" t="s">
        <v>20</v>
      </c>
      <c r="F412" s="30" t="s">
        <v>701</v>
      </c>
      <c r="G412" s="30" t="s">
        <v>16</v>
      </c>
      <c r="H412" s="30" t="s">
        <v>105</v>
      </c>
      <c r="I412" s="31" t="s">
        <v>29</v>
      </c>
    </row>
    <row r="413" spans="2:9" s="6" customFormat="1" ht="11.25" customHeight="1" x14ac:dyDescent="0.55000000000000004">
      <c r="B413" s="30" t="s">
        <v>893</v>
      </c>
      <c r="C413" s="30" t="s">
        <v>894</v>
      </c>
      <c r="D413" s="32">
        <v>62456</v>
      </c>
      <c r="E413" s="30" t="s">
        <v>15</v>
      </c>
      <c r="F413" s="30"/>
      <c r="G413" s="30"/>
      <c r="H413" s="30" t="s">
        <v>105</v>
      </c>
      <c r="I413" s="31" t="s">
        <v>29</v>
      </c>
    </row>
    <row r="414" spans="2:9" s="6" customFormat="1" ht="11.25" customHeight="1" x14ac:dyDescent="0.55000000000000004">
      <c r="B414" s="30" t="s">
        <v>895</v>
      </c>
      <c r="C414" s="30" t="s">
        <v>896</v>
      </c>
      <c r="D414" s="32">
        <v>79880</v>
      </c>
      <c r="E414" s="30" t="s">
        <v>15</v>
      </c>
      <c r="F414" s="30" t="s">
        <v>62</v>
      </c>
      <c r="G414" s="30"/>
      <c r="H414" s="30" t="s">
        <v>686</v>
      </c>
      <c r="I414" s="31" t="s">
        <v>29</v>
      </c>
    </row>
    <row r="415" spans="2:9" s="6" customFormat="1" ht="11.25" customHeight="1" x14ac:dyDescent="0.55000000000000004">
      <c r="B415" s="30" t="s">
        <v>897</v>
      </c>
      <c r="C415" s="30" t="s">
        <v>898</v>
      </c>
      <c r="D415" s="32">
        <v>90840</v>
      </c>
      <c r="E415" s="30" t="s">
        <v>15</v>
      </c>
      <c r="F415" s="30"/>
      <c r="G415" s="30" t="s">
        <v>16</v>
      </c>
      <c r="H415" s="30" t="s">
        <v>313</v>
      </c>
      <c r="I415" s="31" t="s">
        <v>29</v>
      </c>
    </row>
    <row r="416" spans="2:9" s="6" customFormat="1" ht="11.25" customHeight="1" x14ac:dyDescent="0.55000000000000004">
      <c r="B416" s="30" t="s">
        <v>899</v>
      </c>
      <c r="C416" s="30" t="s">
        <v>900</v>
      </c>
      <c r="D416" s="32">
        <v>61581</v>
      </c>
      <c r="E416" s="30" t="s">
        <v>20</v>
      </c>
      <c r="F416" s="30" t="s">
        <v>310</v>
      </c>
      <c r="G416" s="30" t="s">
        <v>155</v>
      </c>
      <c r="H416" s="30" t="s">
        <v>113</v>
      </c>
      <c r="I416" s="31">
        <v>298888.16499999998</v>
      </c>
    </row>
    <row r="417" spans="2:9" s="6" customFormat="1" ht="11.25" customHeight="1" x14ac:dyDescent="0.55000000000000004">
      <c r="B417" s="30" t="s">
        <v>901</v>
      </c>
      <c r="C417" s="30" t="s">
        <v>902</v>
      </c>
      <c r="D417" s="32">
        <v>61581</v>
      </c>
      <c r="E417" s="30" t="s">
        <v>20</v>
      </c>
      <c r="F417" s="30"/>
      <c r="G417" s="30"/>
      <c r="H417" s="30" t="s">
        <v>113</v>
      </c>
      <c r="I417" s="31" t="s">
        <v>29</v>
      </c>
    </row>
    <row r="418" spans="2:9" s="6" customFormat="1" ht="11.25" customHeight="1" x14ac:dyDescent="0.55000000000000004">
      <c r="B418" s="30" t="s">
        <v>903</v>
      </c>
      <c r="C418" s="30" t="s">
        <v>904</v>
      </c>
      <c r="D418" s="32">
        <v>61581</v>
      </c>
      <c r="E418" s="30" t="s">
        <v>20</v>
      </c>
      <c r="F418" s="30"/>
      <c r="G418" s="30"/>
      <c r="H418" s="30" t="s">
        <v>113</v>
      </c>
      <c r="I418" s="31" t="s">
        <v>29</v>
      </c>
    </row>
    <row r="419" spans="2:9" s="6" customFormat="1" ht="11.25" customHeight="1" x14ac:dyDescent="0.55000000000000004">
      <c r="B419" s="30" t="s">
        <v>905</v>
      </c>
      <c r="C419" s="30" t="s">
        <v>906</v>
      </c>
      <c r="D419" s="32">
        <v>73024</v>
      </c>
      <c r="E419" s="30" t="s">
        <v>15</v>
      </c>
      <c r="F419" s="30"/>
      <c r="G419" s="30"/>
      <c r="H419" s="30" t="s">
        <v>179</v>
      </c>
      <c r="I419" s="31" t="s">
        <v>29</v>
      </c>
    </row>
    <row r="420" spans="2:9" s="6" customFormat="1" ht="11.25" customHeight="1" x14ac:dyDescent="0.55000000000000004">
      <c r="B420" s="30" t="s">
        <v>907</v>
      </c>
      <c r="C420" s="30" t="s">
        <v>908</v>
      </c>
      <c r="D420" s="32">
        <v>73032</v>
      </c>
      <c r="E420" s="30" t="s">
        <v>15</v>
      </c>
      <c r="F420" s="30" t="s">
        <v>709</v>
      </c>
      <c r="G420" s="30"/>
      <c r="H420" s="30" t="s">
        <v>150</v>
      </c>
      <c r="I420" s="31" t="s">
        <v>29</v>
      </c>
    </row>
    <row r="421" spans="2:9" s="6" customFormat="1" ht="11.25" customHeight="1" x14ac:dyDescent="0.55000000000000004">
      <c r="B421" s="30" t="s">
        <v>909</v>
      </c>
      <c r="C421" s="30" t="s">
        <v>910</v>
      </c>
      <c r="D421" s="32">
        <v>85332</v>
      </c>
      <c r="E421" s="30" t="s">
        <v>20</v>
      </c>
      <c r="F421" s="30" t="s">
        <v>911</v>
      </c>
      <c r="G421" s="30" t="s">
        <v>35</v>
      </c>
      <c r="H421" s="30" t="s">
        <v>113</v>
      </c>
      <c r="I421" s="31" t="s">
        <v>29</v>
      </c>
    </row>
    <row r="422" spans="2:9" s="6" customFormat="1" ht="11.25" customHeight="1" x14ac:dyDescent="0.55000000000000004">
      <c r="B422" s="30" t="s">
        <v>912</v>
      </c>
      <c r="C422" s="30" t="s">
        <v>913</v>
      </c>
      <c r="D422" s="32">
        <v>71331</v>
      </c>
      <c r="E422" s="30" t="s">
        <v>20</v>
      </c>
      <c r="F422" s="30" t="s">
        <v>821</v>
      </c>
      <c r="G422" s="30" t="s">
        <v>35</v>
      </c>
      <c r="H422" s="30" t="s">
        <v>239</v>
      </c>
      <c r="I422" s="31">
        <v>11403.868</v>
      </c>
    </row>
    <row r="423" spans="2:9" s="6" customFormat="1" ht="11.25" customHeight="1" x14ac:dyDescent="0.55000000000000004">
      <c r="B423" s="30" t="s">
        <v>914</v>
      </c>
      <c r="C423" s="30" t="s">
        <v>915</v>
      </c>
      <c r="D423" s="32">
        <v>73156</v>
      </c>
      <c r="E423" s="30" t="s">
        <v>20</v>
      </c>
      <c r="F423" s="30" t="s">
        <v>307</v>
      </c>
      <c r="G423" s="30" t="s">
        <v>80</v>
      </c>
      <c r="H423" s="30" t="s">
        <v>130</v>
      </c>
      <c r="I423" s="31" t="s">
        <v>29</v>
      </c>
    </row>
    <row r="424" spans="2:9" s="6" customFormat="1" ht="11.25" customHeight="1" x14ac:dyDescent="0.55000000000000004">
      <c r="B424" s="30" t="s">
        <v>916</v>
      </c>
      <c r="C424" s="30" t="s">
        <v>917</v>
      </c>
      <c r="D424" s="32">
        <v>88455</v>
      </c>
      <c r="E424" s="30" t="s">
        <v>15</v>
      </c>
      <c r="F424" s="30"/>
      <c r="G424" s="30"/>
      <c r="H424" s="30" t="s">
        <v>105</v>
      </c>
      <c r="I424" s="31" t="s">
        <v>29</v>
      </c>
    </row>
    <row r="425" spans="2:9" s="6" customFormat="1" ht="11.25" customHeight="1" x14ac:dyDescent="0.55000000000000004">
      <c r="B425" s="30" t="s">
        <v>918</v>
      </c>
      <c r="C425" s="30" t="s">
        <v>919</v>
      </c>
      <c r="D425" s="32">
        <v>82341</v>
      </c>
      <c r="E425" s="30" t="s">
        <v>15</v>
      </c>
      <c r="F425" s="30" t="s">
        <v>920</v>
      </c>
      <c r="G425" s="30" t="s">
        <v>35</v>
      </c>
      <c r="H425" s="30" t="s">
        <v>735</v>
      </c>
      <c r="I425" s="31" t="s">
        <v>29</v>
      </c>
    </row>
    <row r="426" spans="2:9" s="6" customFormat="1" ht="11.25" customHeight="1" x14ac:dyDescent="0.55000000000000004">
      <c r="B426" s="30" t="s">
        <v>921</v>
      </c>
      <c r="C426" s="30" t="s">
        <v>922</v>
      </c>
      <c r="D426" s="32">
        <v>91876</v>
      </c>
      <c r="E426" s="30" t="s">
        <v>15</v>
      </c>
      <c r="F426" s="30"/>
      <c r="G426" s="30"/>
      <c r="H426" s="30" t="s">
        <v>330</v>
      </c>
      <c r="I426" s="31" t="s">
        <v>29</v>
      </c>
    </row>
    <row r="427" spans="2:9" s="6" customFormat="1" ht="11.25" customHeight="1" x14ac:dyDescent="0.55000000000000004">
      <c r="B427" s="30" t="s">
        <v>923</v>
      </c>
      <c r="C427" s="30" t="s">
        <v>924</v>
      </c>
      <c r="D427" s="32">
        <v>11997</v>
      </c>
      <c r="E427" s="30" t="s">
        <v>20</v>
      </c>
      <c r="F427" s="30"/>
      <c r="G427" s="30" t="s">
        <v>16</v>
      </c>
      <c r="H427" s="30" t="s">
        <v>92</v>
      </c>
      <c r="I427" s="31">
        <v>106725.322</v>
      </c>
    </row>
    <row r="428" spans="2:9" s="6" customFormat="1" ht="11.25" customHeight="1" x14ac:dyDescent="0.55000000000000004">
      <c r="B428" s="30" t="s">
        <v>925</v>
      </c>
      <c r="C428" s="30" t="s">
        <v>926</v>
      </c>
      <c r="D428" s="32">
        <v>82996</v>
      </c>
      <c r="E428" s="30" t="s">
        <v>15</v>
      </c>
      <c r="F428" s="30"/>
      <c r="G428" s="30"/>
      <c r="H428" s="30" t="s">
        <v>105</v>
      </c>
      <c r="I428" s="31" t="s">
        <v>29</v>
      </c>
    </row>
    <row r="429" spans="2:9" s="6" customFormat="1" ht="11.25" customHeight="1" x14ac:dyDescent="0.55000000000000004">
      <c r="B429" s="30" t="s">
        <v>927</v>
      </c>
      <c r="C429" s="30" t="s">
        <v>928</v>
      </c>
      <c r="D429" s="32">
        <v>99309</v>
      </c>
      <c r="E429" s="30" t="s">
        <v>15</v>
      </c>
      <c r="F429" s="30"/>
      <c r="G429" s="30"/>
      <c r="H429" s="30" t="s">
        <v>45</v>
      </c>
      <c r="I429" s="31" t="s">
        <v>29</v>
      </c>
    </row>
    <row r="430" spans="2:9" s="6" customFormat="1" ht="11.25" customHeight="1" x14ac:dyDescent="0.55000000000000004">
      <c r="B430" s="30" t="s">
        <v>290</v>
      </c>
      <c r="C430" s="30" t="s">
        <v>929</v>
      </c>
      <c r="D430" s="32" t="s">
        <v>29</v>
      </c>
      <c r="E430" s="30" t="s">
        <v>20</v>
      </c>
      <c r="F430" s="30" t="s">
        <v>290</v>
      </c>
      <c r="G430" s="30" t="s">
        <v>39</v>
      </c>
      <c r="H430" s="30" t="s">
        <v>500</v>
      </c>
      <c r="I430" s="31">
        <v>907316.76600000006</v>
      </c>
    </row>
    <row r="431" spans="2:9" s="6" customFormat="1" ht="11.25" customHeight="1" x14ac:dyDescent="0.55000000000000004">
      <c r="B431" s="30" t="s">
        <v>930</v>
      </c>
      <c r="C431" s="30" t="s">
        <v>931</v>
      </c>
      <c r="D431" s="32">
        <v>61654</v>
      </c>
      <c r="E431" s="30" t="s">
        <v>15</v>
      </c>
      <c r="F431" s="30"/>
      <c r="G431" s="30"/>
      <c r="H431" s="30" t="s">
        <v>86</v>
      </c>
      <c r="I431" s="31" t="s">
        <v>29</v>
      </c>
    </row>
    <row r="432" spans="2:9" s="6" customFormat="1" ht="11.25" customHeight="1" x14ac:dyDescent="0.55000000000000004">
      <c r="B432" s="30" t="s">
        <v>932</v>
      </c>
      <c r="C432" s="30" t="s">
        <v>933</v>
      </c>
      <c r="D432" s="32">
        <v>76716</v>
      </c>
      <c r="E432" s="30" t="s">
        <v>15</v>
      </c>
      <c r="F432" s="30"/>
      <c r="G432" s="30" t="s">
        <v>35</v>
      </c>
      <c r="H432" s="30" t="s">
        <v>66</v>
      </c>
      <c r="I432" s="31" t="s">
        <v>29</v>
      </c>
    </row>
    <row r="433" spans="2:9" s="6" customFormat="1" ht="11.25" customHeight="1" x14ac:dyDescent="0.55000000000000004">
      <c r="B433" s="30" t="s">
        <v>934</v>
      </c>
      <c r="C433" s="30" t="s">
        <v>935</v>
      </c>
      <c r="D433" s="32">
        <v>60212</v>
      </c>
      <c r="E433" s="30" t="s">
        <v>15</v>
      </c>
      <c r="F433" s="30"/>
      <c r="G433" s="30" t="s">
        <v>16</v>
      </c>
      <c r="H433" s="30" t="s">
        <v>92</v>
      </c>
      <c r="I433" s="31" t="s">
        <v>29</v>
      </c>
    </row>
    <row r="434" spans="2:9" s="6" customFormat="1" ht="11.25" customHeight="1" x14ac:dyDescent="0.55000000000000004">
      <c r="B434" s="30" t="s">
        <v>936</v>
      </c>
      <c r="C434" s="30" t="s">
        <v>937</v>
      </c>
      <c r="D434" s="32">
        <v>89117</v>
      </c>
      <c r="E434" s="30" t="s">
        <v>15</v>
      </c>
      <c r="F434" s="30"/>
      <c r="G434" s="30"/>
      <c r="H434" s="30" t="s">
        <v>113</v>
      </c>
      <c r="I434" s="31" t="s">
        <v>29</v>
      </c>
    </row>
    <row r="435" spans="2:9" s="6" customFormat="1" ht="11.25" customHeight="1" x14ac:dyDescent="0.55000000000000004">
      <c r="B435" s="30" t="s">
        <v>938</v>
      </c>
      <c r="C435" s="30" t="s">
        <v>939</v>
      </c>
      <c r="D435" s="32">
        <v>75450</v>
      </c>
      <c r="E435" s="30" t="s">
        <v>15</v>
      </c>
      <c r="F435" s="30"/>
      <c r="G435" s="30"/>
      <c r="H435" s="30" t="s">
        <v>655</v>
      </c>
      <c r="I435" s="31" t="s">
        <v>29</v>
      </c>
    </row>
    <row r="436" spans="2:9" s="6" customFormat="1" ht="11.25" customHeight="1" x14ac:dyDescent="0.55000000000000004">
      <c r="B436" s="30" t="s">
        <v>940</v>
      </c>
      <c r="C436" s="30" t="s">
        <v>941</v>
      </c>
      <c r="D436" s="32">
        <v>61735</v>
      </c>
      <c r="E436" s="30" t="s">
        <v>20</v>
      </c>
      <c r="F436" s="30" t="s">
        <v>942</v>
      </c>
      <c r="G436" s="30" t="s">
        <v>35</v>
      </c>
      <c r="H436" s="30" t="s">
        <v>113</v>
      </c>
      <c r="I436" s="31">
        <v>84423.343000000008</v>
      </c>
    </row>
    <row r="437" spans="2:9" s="6" customFormat="1" ht="11.25" customHeight="1" x14ac:dyDescent="0.55000000000000004">
      <c r="B437" s="30" t="s">
        <v>943</v>
      </c>
      <c r="C437" s="30" t="s">
        <v>944</v>
      </c>
      <c r="D437" s="32">
        <v>61751</v>
      </c>
      <c r="E437" s="30" t="s">
        <v>20</v>
      </c>
      <c r="F437" s="30"/>
      <c r="G437" s="30" t="s">
        <v>39</v>
      </c>
      <c r="H437" s="30" t="s">
        <v>40</v>
      </c>
      <c r="I437" s="31">
        <v>379107.65700000001</v>
      </c>
    </row>
    <row r="438" spans="2:9" s="6" customFormat="1" ht="11.25" customHeight="1" x14ac:dyDescent="0.55000000000000004">
      <c r="B438" s="30" t="s">
        <v>945</v>
      </c>
      <c r="C438" s="30" t="s">
        <v>946</v>
      </c>
      <c r="D438" s="32">
        <v>80896</v>
      </c>
      <c r="E438" s="30" t="s">
        <v>20</v>
      </c>
      <c r="F438" s="30" t="s">
        <v>947</v>
      </c>
      <c r="G438" s="30" t="s">
        <v>35</v>
      </c>
      <c r="H438" s="30" t="s">
        <v>124</v>
      </c>
      <c r="I438" s="31">
        <v>1591491.2890000001</v>
      </c>
    </row>
    <row r="439" spans="2:9" s="6" customFormat="1" ht="11.25" customHeight="1" x14ac:dyDescent="0.55000000000000004">
      <c r="B439" s="30" t="s">
        <v>948</v>
      </c>
      <c r="C439" s="30" t="s">
        <v>949</v>
      </c>
      <c r="D439" s="32">
        <v>62383</v>
      </c>
      <c r="E439" s="30" t="s">
        <v>20</v>
      </c>
      <c r="F439" s="30"/>
      <c r="G439" s="30" t="s">
        <v>16</v>
      </c>
      <c r="H439" s="30" t="s">
        <v>63</v>
      </c>
      <c r="I439" s="31">
        <v>489779.53200000001</v>
      </c>
    </row>
    <row r="440" spans="2:9" s="6" customFormat="1" ht="11.25" customHeight="1" x14ac:dyDescent="0.55000000000000004">
      <c r="B440" s="30" t="s">
        <v>950</v>
      </c>
      <c r="C440" s="30" t="s">
        <v>951</v>
      </c>
      <c r="D440" s="32">
        <v>90867</v>
      </c>
      <c r="E440" s="30" t="s">
        <v>15</v>
      </c>
      <c r="F440" s="30"/>
      <c r="G440" s="30" t="s">
        <v>16</v>
      </c>
      <c r="H440" s="30" t="s">
        <v>179</v>
      </c>
      <c r="I440" s="31" t="s">
        <v>29</v>
      </c>
    </row>
    <row r="441" spans="2:9" s="6" customFormat="1" ht="11.25" customHeight="1" x14ac:dyDescent="0.55000000000000004">
      <c r="B441" s="30" t="s">
        <v>952</v>
      </c>
      <c r="C441" s="30" t="s">
        <v>953</v>
      </c>
      <c r="D441" s="32">
        <v>94447</v>
      </c>
      <c r="E441" s="30" t="s">
        <v>15</v>
      </c>
      <c r="F441" s="30" t="s">
        <v>298</v>
      </c>
      <c r="G441" s="30" t="s">
        <v>155</v>
      </c>
      <c r="H441" s="30" t="s">
        <v>86</v>
      </c>
      <c r="I441" s="31" t="s">
        <v>29</v>
      </c>
    </row>
    <row r="442" spans="2:9" s="6" customFormat="1" ht="11.25" customHeight="1" x14ac:dyDescent="0.55000000000000004">
      <c r="B442" s="30" t="s">
        <v>954</v>
      </c>
      <c r="C442" s="30" t="s">
        <v>955</v>
      </c>
      <c r="D442" s="32">
        <v>73164</v>
      </c>
      <c r="E442" s="30" t="s">
        <v>15</v>
      </c>
      <c r="F442" s="30" t="s">
        <v>298</v>
      </c>
      <c r="G442" s="30"/>
      <c r="H442" s="30" t="s">
        <v>45</v>
      </c>
      <c r="I442" s="31" t="s">
        <v>29</v>
      </c>
    </row>
    <row r="443" spans="2:9" s="6" customFormat="1" ht="11.25" customHeight="1" x14ac:dyDescent="0.55000000000000004">
      <c r="B443" s="30" t="s">
        <v>956</v>
      </c>
      <c r="C443" s="30" t="s">
        <v>957</v>
      </c>
      <c r="D443" s="32">
        <v>61778</v>
      </c>
      <c r="E443" s="30" t="s">
        <v>15</v>
      </c>
      <c r="F443" s="30" t="s">
        <v>709</v>
      </c>
      <c r="G443" s="30"/>
      <c r="H443" s="30" t="s">
        <v>22</v>
      </c>
      <c r="I443" s="31" t="s">
        <v>29</v>
      </c>
    </row>
    <row r="444" spans="2:9" s="6" customFormat="1" ht="11.25" customHeight="1" x14ac:dyDescent="0.55000000000000004">
      <c r="B444" s="30" t="s">
        <v>958</v>
      </c>
      <c r="C444" s="30" t="s">
        <v>959</v>
      </c>
      <c r="D444" s="32">
        <v>73121</v>
      </c>
      <c r="E444" s="30" t="s">
        <v>15</v>
      </c>
      <c r="F444" s="30" t="s">
        <v>942</v>
      </c>
      <c r="G444" s="30" t="s">
        <v>265</v>
      </c>
      <c r="H444" s="30" t="s">
        <v>113</v>
      </c>
      <c r="I444" s="31" t="s">
        <v>29</v>
      </c>
    </row>
    <row r="445" spans="2:9" s="6" customFormat="1" ht="11.25" customHeight="1" x14ac:dyDescent="0.55000000000000004">
      <c r="B445" s="30" t="s">
        <v>960</v>
      </c>
      <c r="C445" s="30" t="s">
        <v>961</v>
      </c>
      <c r="D445" s="32">
        <v>73148</v>
      </c>
      <c r="E445" s="30" t="s">
        <v>15</v>
      </c>
      <c r="F445" s="30"/>
      <c r="G445" s="30"/>
      <c r="H445" s="30" t="s">
        <v>113</v>
      </c>
      <c r="I445" s="31" t="s">
        <v>29</v>
      </c>
    </row>
    <row r="446" spans="2:9" s="6" customFormat="1" ht="11.25" customHeight="1" x14ac:dyDescent="0.55000000000000004">
      <c r="B446" s="30" t="s">
        <v>962</v>
      </c>
      <c r="C446" s="30" t="s">
        <v>963</v>
      </c>
      <c r="D446" s="32">
        <v>61808</v>
      </c>
      <c r="E446" s="30" t="s">
        <v>15</v>
      </c>
      <c r="F446" s="30" t="s">
        <v>188</v>
      </c>
      <c r="G446" s="30" t="s">
        <v>16</v>
      </c>
      <c r="H446" s="30" t="s">
        <v>22</v>
      </c>
      <c r="I446" s="31" t="s">
        <v>29</v>
      </c>
    </row>
    <row r="447" spans="2:9" s="6" customFormat="1" ht="11.25" customHeight="1" x14ac:dyDescent="0.55000000000000004">
      <c r="B447" s="30" t="s">
        <v>964</v>
      </c>
      <c r="C447" s="30" t="s">
        <v>965</v>
      </c>
      <c r="D447" s="32">
        <v>61808</v>
      </c>
      <c r="E447" s="30" t="s">
        <v>15</v>
      </c>
      <c r="F447" s="30"/>
      <c r="G447" s="30"/>
      <c r="H447" s="30" t="s">
        <v>22</v>
      </c>
      <c r="I447" s="31" t="s">
        <v>29</v>
      </c>
    </row>
    <row r="448" spans="2:9" s="6" customFormat="1" ht="11.25" customHeight="1" x14ac:dyDescent="0.55000000000000004">
      <c r="B448" s="30" t="s">
        <v>966</v>
      </c>
      <c r="C448" s="30" t="s">
        <v>967</v>
      </c>
      <c r="D448" s="32">
        <v>61808</v>
      </c>
      <c r="E448" s="30" t="s">
        <v>15</v>
      </c>
      <c r="F448" s="30"/>
      <c r="G448" s="30"/>
      <c r="H448" s="30" t="s">
        <v>22</v>
      </c>
      <c r="I448" s="31" t="s">
        <v>29</v>
      </c>
    </row>
    <row r="449" spans="2:9" s="6" customFormat="1" ht="11.25" customHeight="1" x14ac:dyDescent="0.55000000000000004">
      <c r="B449" s="30" t="s">
        <v>968</v>
      </c>
      <c r="C449" s="30" t="s">
        <v>969</v>
      </c>
      <c r="D449" s="32">
        <v>63207</v>
      </c>
      <c r="E449" s="30" t="s">
        <v>15</v>
      </c>
      <c r="F449" s="30" t="s">
        <v>970</v>
      </c>
      <c r="G449" s="30" t="s">
        <v>155</v>
      </c>
      <c r="H449" s="30" t="s">
        <v>22</v>
      </c>
      <c r="I449" s="31" t="s">
        <v>29</v>
      </c>
    </row>
    <row r="450" spans="2:9" s="6" customFormat="1" ht="11.25" customHeight="1" x14ac:dyDescent="0.55000000000000004">
      <c r="B450" s="30" t="s">
        <v>971</v>
      </c>
      <c r="C450" s="30" t="s">
        <v>972</v>
      </c>
      <c r="D450" s="32">
        <v>63207</v>
      </c>
      <c r="E450" s="30" t="s">
        <v>15</v>
      </c>
      <c r="F450" s="30"/>
      <c r="G450" s="30"/>
      <c r="H450" s="30" t="s">
        <v>22</v>
      </c>
      <c r="I450" s="31" t="s">
        <v>29</v>
      </c>
    </row>
    <row r="451" spans="2:9" s="6" customFormat="1" ht="11.25" customHeight="1" x14ac:dyDescent="0.55000000000000004">
      <c r="B451" s="30" t="s">
        <v>973</v>
      </c>
      <c r="C451" s="30" t="s">
        <v>974</v>
      </c>
      <c r="D451" s="32">
        <v>70661</v>
      </c>
      <c r="E451" s="30" t="s">
        <v>15</v>
      </c>
      <c r="F451" s="30" t="s">
        <v>970</v>
      </c>
      <c r="G451" s="30" t="s">
        <v>35</v>
      </c>
      <c r="H451" s="30" t="s">
        <v>22</v>
      </c>
      <c r="I451" s="31" t="s">
        <v>29</v>
      </c>
    </row>
    <row r="452" spans="2:9" s="6" customFormat="1" ht="11.25" customHeight="1" x14ac:dyDescent="0.55000000000000004">
      <c r="B452" s="30" t="s">
        <v>975</v>
      </c>
      <c r="C452" s="30" t="s">
        <v>976</v>
      </c>
      <c r="D452" s="32">
        <v>10091</v>
      </c>
      <c r="E452" s="30" t="s">
        <v>15</v>
      </c>
      <c r="F452" s="30" t="s">
        <v>970</v>
      </c>
      <c r="G452" s="30" t="s">
        <v>155</v>
      </c>
      <c r="H452" s="30" t="s">
        <v>22</v>
      </c>
      <c r="I452" s="31" t="s">
        <v>29</v>
      </c>
    </row>
    <row r="453" spans="2:9" s="6" customFormat="1" ht="11.25" customHeight="1" x14ac:dyDescent="0.55000000000000004">
      <c r="B453" s="30" t="s">
        <v>977</v>
      </c>
      <c r="C453" s="30" t="s">
        <v>978</v>
      </c>
      <c r="D453" s="32">
        <v>67164</v>
      </c>
      <c r="E453" s="30" t="s">
        <v>15</v>
      </c>
      <c r="F453" s="30" t="s">
        <v>970</v>
      </c>
      <c r="G453" s="30" t="s">
        <v>155</v>
      </c>
      <c r="H453" s="30" t="s">
        <v>22</v>
      </c>
      <c r="I453" s="31" t="s">
        <v>29</v>
      </c>
    </row>
    <row r="454" spans="2:9" s="6" customFormat="1" ht="11.25" customHeight="1" x14ac:dyDescent="0.55000000000000004">
      <c r="B454" s="30" t="s">
        <v>979</v>
      </c>
      <c r="C454" s="30" t="s">
        <v>980</v>
      </c>
      <c r="D454" s="32">
        <v>70753</v>
      </c>
      <c r="E454" s="30" t="s">
        <v>15</v>
      </c>
      <c r="F454" s="30"/>
      <c r="G454" s="30"/>
      <c r="H454" s="30" t="s">
        <v>105</v>
      </c>
      <c r="I454" s="31" t="s">
        <v>29</v>
      </c>
    </row>
    <row r="455" spans="2:9" s="6" customFormat="1" ht="11.25" customHeight="1" x14ac:dyDescent="0.55000000000000004">
      <c r="B455" s="30" t="s">
        <v>981</v>
      </c>
      <c r="C455" s="30" t="s">
        <v>982</v>
      </c>
      <c r="D455" s="32">
        <v>61824</v>
      </c>
      <c r="E455" s="30" t="s">
        <v>15</v>
      </c>
      <c r="F455" s="30" t="s">
        <v>465</v>
      </c>
      <c r="G455" s="30" t="s">
        <v>80</v>
      </c>
      <c r="H455" s="30" t="s">
        <v>108</v>
      </c>
      <c r="I455" s="31" t="s">
        <v>29</v>
      </c>
    </row>
    <row r="456" spans="2:9" s="6" customFormat="1" ht="11.25" customHeight="1" x14ac:dyDescent="0.55000000000000004">
      <c r="B456" s="30" t="s">
        <v>983</v>
      </c>
      <c r="C456" s="30" t="s">
        <v>984</v>
      </c>
      <c r="D456" s="32">
        <v>61832</v>
      </c>
      <c r="E456" s="30" t="s">
        <v>20</v>
      </c>
      <c r="F456" s="30" t="s">
        <v>149</v>
      </c>
      <c r="G456" s="30" t="s">
        <v>39</v>
      </c>
      <c r="H456" s="30" t="s">
        <v>113</v>
      </c>
      <c r="I456" s="31">
        <v>242490.58600000001</v>
      </c>
    </row>
    <row r="457" spans="2:9" s="6" customFormat="1" ht="11.25" customHeight="1" x14ac:dyDescent="0.55000000000000004">
      <c r="B457" s="30" t="s">
        <v>985</v>
      </c>
      <c r="C457" s="30" t="s">
        <v>986</v>
      </c>
      <c r="D457" s="32">
        <v>15604</v>
      </c>
      <c r="E457" s="30" t="s">
        <v>20</v>
      </c>
      <c r="F457" s="30" t="s">
        <v>660</v>
      </c>
      <c r="G457" s="30" t="s">
        <v>35</v>
      </c>
      <c r="H457" s="30" t="s">
        <v>500</v>
      </c>
      <c r="I457" s="31">
        <v>318022.16800000001</v>
      </c>
    </row>
    <row r="458" spans="2:9" s="6" customFormat="1" ht="11.25" customHeight="1" x14ac:dyDescent="0.55000000000000004">
      <c r="B458" s="30" t="s">
        <v>987</v>
      </c>
      <c r="C458" s="30" t="s">
        <v>988</v>
      </c>
      <c r="D458" s="32">
        <v>61859</v>
      </c>
      <c r="E458" s="30" t="s">
        <v>20</v>
      </c>
      <c r="F458" s="30" t="s">
        <v>989</v>
      </c>
      <c r="G458" s="30" t="s">
        <v>39</v>
      </c>
      <c r="H458" s="30" t="s">
        <v>105</v>
      </c>
      <c r="I458" s="31">
        <v>55336.464</v>
      </c>
    </row>
    <row r="459" spans="2:9" s="6" customFormat="1" ht="11.25" customHeight="1" x14ac:dyDescent="0.55000000000000004">
      <c r="B459" s="30" t="s">
        <v>990</v>
      </c>
      <c r="C459" s="30" t="s">
        <v>991</v>
      </c>
      <c r="D459" s="32">
        <v>61867</v>
      </c>
      <c r="E459" s="30" t="s">
        <v>15</v>
      </c>
      <c r="F459" s="30" t="s">
        <v>992</v>
      </c>
      <c r="G459" s="30"/>
      <c r="H459" s="30" t="s">
        <v>113</v>
      </c>
      <c r="I459" s="31" t="s">
        <v>29</v>
      </c>
    </row>
    <row r="460" spans="2:9" s="6" customFormat="1" ht="11.25" customHeight="1" x14ac:dyDescent="0.55000000000000004">
      <c r="B460" s="30" t="s">
        <v>74</v>
      </c>
      <c r="C460" s="30" t="s">
        <v>993</v>
      </c>
      <c r="D460" s="32" t="s">
        <v>29</v>
      </c>
      <c r="E460" s="30" t="s">
        <v>20</v>
      </c>
      <c r="F460" s="30" t="s">
        <v>74</v>
      </c>
      <c r="G460" s="30" t="s">
        <v>39</v>
      </c>
      <c r="H460" s="30" t="s">
        <v>22</v>
      </c>
      <c r="I460" s="31">
        <v>2888258.949</v>
      </c>
    </row>
    <row r="461" spans="2:9" s="6" customFormat="1" ht="11.25" customHeight="1" x14ac:dyDescent="0.55000000000000004">
      <c r="B461" s="30" t="s">
        <v>994</v>
      </c>
      <c r="C461" s="30" t="s">
        <v>995</v>
      </c>
      <c r="D461" s="32">
        <v>80438</v>
      </c>
      <c r="E461" s="30" t="s">
        <v>15</v>
      </c>
      <c r="F461" s="30" t="s">
        <v>137</v>
      </c>
      <c r="G461" s="30"/>
      <c r="H461" s="30" t="s">
        <v>686</v>
      </c>
      <c r="I461" s="31" t="s">
        <v>29</v>
      </c>
    </row>
    <row r="462" spans="2:9" s="6" customFormat="1" ht="11.25" customHeight="1" x14ac:dyDescent="0.55000000000000004">
      <c r="B462" s="30" t="s">
        <v>996</v>
      </c>
      <c r="C462" s="30" t="s">
        <v>997</v>
      </c>
      <c r="D462" s="32">
        <v>61875</v>
      </c>
      <c r="E462" s="30" t="s">
        <v>20</v>
      </c>
      <c r="F462" s="30"/>
      <c r="G462" s="30" t="s">
        <v>265</v>
      </c>
      <c r="H462" s="30" t="s">
        <v>124</v>
      </c>
      <c r="I462" s="31">
        <v>305286.55599999998</v>
      </c>
    </row>
    <row r="463" spans="2:9" s="6" customFormat="1" ht="11.25" customHeight="1" x14ac:dyDescent="0.55000000000000004">
      <c r="B463" s="30" t="s">
        <v>998</v>
      </c>
      <c r="C463" s="30" t="s">
        <v>999</v>
      </c>
      <c r="D463" s="32">
        <v>71463</v>
      </c>
      <c r="E463" s="30" t="s">
        <v>20</v>
      </c>
      <c r="F463" s="30" t="s">
        <v>1000</v>
      </c>
      <c r="G463" s="30" t="s">
        <v>35</v>
      </c>
      <c r="H463" s="30" t="s">
        <v>113</v>
      </c>
      <c r="I463" s="31">
        <v>153573.652</v>
      </c>
    </row>
    <row r="464" spans="2:9" s="6" customFormat="1" ht="11.25" customHeight="1" x14ac:dyDescent="0.55000000000000004">
      <c r="B464" s="30" t="s">
        <v>293</v>
      </c>
      <c r="C464" s="30" t="s">
        <v>1001</v>
      </c>
      <c r="D464" s="32" t="s">
        <v>29</v>
      </c>
      <c r="E464" s="30" t="s">
        <v>20</v>
      </c>
      <c r="F464" s="30" t="s">
        <v>293</v>
      </c>
      <c r="G464" s="30" t="s">
        <v>21</v>
      </c>
      <c r="H464" s="30" t="s">
        <v>96</v>
      </c>
      <c r="I464" s="31">
        <v>36425718.173</v>
      </c>
    </row>
    <row r="465" spans="2:9" s="6" customFormat="1" ht="11.25" customHeight="1" x14ac:dyDescent="0.55000000000000004">
      <c r="B465" s="30" t="s">
        <v>1002</v>
      </c>
      <c r="C465" s="30" t="s">
        <v>1003</v>
      </c>
      <c r="D465" s="32" t="s">
        <v>29</v>
      </c>
      <c r="E465" s="30" t="s">
        <v>20</v>
      </c>
      <c r="F465" s="30"/>
      <c r="G465" s="30"/>
      <c r="H465" s="30" t="s">
        <v>96</v>
      </c>
      <c r="I465" s="31" t="s">
        <v>29</v>
      </c>
    </row>
    <row r="466" spans="2:9" s="6" customFormat="1" ht="11.25" customHeight="1" x14ac:dyDescent="0.55000000000000004">
      <c r="B466" s="30" t="s">
        <v>1004</v>
      </c>
      <c r="C466" s="30" t="s">
        <v>1005</v>
      </c>
      <c r="D466" s="32">
        <v>13733</v>
      </c>
      <c r="E466" s="30" t="s">
        <v>20</v>
      </c>
      <c r="F466" s="30" t="s">
        <v>293</v>
      </c>
      <c r="G466" s="30" t="s">
        <v>16</v>
      </c>
      <c r="H466" s="30" t="s">
        <v>96</v>
      </c>
      <c r="I466" s="31">
        <v>8762.2530000000006</v>
      </c>
    </row>
    <row r="467" spans="2:9" s="6" customFormat="1" ht="11.25" customHeight="1" x14ac:dyDescent="0.55000000000000004">
      <c r="B467" s="30" t="s">
        <v>1006</v>
      </c>
      <c r="C467" s="30" t="s">
        <v>1007</v>
      </c>
      <c r="D467" s="32">
        <v>67369</v>
      </c>
      <c r="E467" s="30" t="s">
        <v>20</v>
      </c>
      <c r="F467" s="30" t="s">
        <v>293</v>
      </c>
      <c r="G467" s="30" t="s">
        <v>21</v>
      </c>
      <c r="H467" s="30" t="s">
        <v>96</v>
      </c>
      <c r="I467" s="31">
        <v>11675773.427999999</v>
      </c>
    </row>
    <row r="468" spans="2:9" s="6" customFormat="1" ht="11.25" customHeight="1" x14ac:dyDescent="0.55000000000000004">
      <c r="B468" s="30" t="s">
        <v>1008</v>
      </c>
      <c r="C468" s="30" t="s">
        <v>1009</v>
      </c>
      <c r="D468" s="32">
        <v>67369</v>
      </c>
      <c r="E468" s="30" t="s">
        <v>20</v>
      </c>
      <c r="F468" s="30"/>
      <c r="G468" s="30"/>
      <c r="H468" s="30" t="s">
        <v>96</v>
      </c>
      <c r="I468" s="31" t="s">
        <v>29</v>
      </c>
    </row>
    <row r="469" spans="2:9" s="6" customFormat="1" ht="11.25" customHeight="1" x14ac:dyDescent="0.55000000000000004">
      <c r="B469" s="30" t="s">
        <v>1010</v>
      </c>
      <c r="C469" s="30" t="s">
        <v>1011</v>
      </c>
      <c r="D469" s="32">
        <v>87785</v>
      </c>
      <c r="E469" s="30" t="s">
        <v>15</v>
      </c>
      <c r="F469" s="30"/>
      <c r="G469" s="30"/>
      <c r="H469" s="30" t="s">
        <v>150</v>
      </c>
      <c r="I469" s="31" t="s">
        <v>29</v>
      </c>
    </row>
    <row r="470" spans="2:9" s="6" customFormat="1" ht="11.25" customHeight="1" x14ac:dyDescent="0.55000000000000004">
      <c r="B470" s="30" t="s">
        <v>1012</v>
      </c>
      <c r="C470" s="30" t="s">
        <v>1013</v>
      </c>
      <c r="D470" s="32">
        <v>64548</v>
      </c>
      <c r="E470" s="30" t="s">
        <v>20</v>
      </c>
      <c r="F470" s="30" t="s">
        <v>293</v>
      </c>
      <c r="G470" s="30" t="s">
        <v>21</v>
      </c>
      <c r="H470" s="30" t="s">
        <v>75</v>
      </c>
      <c r="I470" s="31">
        <v>424415.533</v>
      </c>
    </row>
    <row r="471" spans="2:9" s="6" customFormat="1" ht="11.25" customHeight="1" x14ac:dyDescent="0.55000000000000004">
      <c r="B471" s="30" t="s">
        <v>1014</v>
      </c>
      <c r="C471" s="30" t="s">
        <v>1015</v>
      </c>
      <c r="D471" s="32">
        <v>61727</v>
      </c>
      <c r="E471" s="30" t="s">
        <v>20</v>
      </c>
      <c r="F471" s="30" t="s">
        <v>293</v>
      </c>
      <c r="G471" s="30" t="s">
        <v>39</v>
      </c>
      <c r="H471" s="30" t="s">
        <v>113</v>
      </c>
      <c r="I471" s="31">
        <v>15462.022000000001</v>
      </c>
    </row>
    <row r="472" spans="2:9" s="6" customFormat="1" ht="11.25" customHeight="1" x14ac:dyDescent="0.55000000000000004">
      <c r="B472" s="30" t="s">
        <v>1016</v>
      </c>
      <c r="C472" s="30" t="s">
        <v>1017</v>
      </c>
      <c r="D472" s="32">
        <v>90859</v>
      </c>
      <c r="E472" s="30" t="s">
        <v>20</v>
      </c>
      <c r="F472" s="30" t="s">
        <v>293</v>
      </c>
      <c r="G472" s="30" t="s">
        <v>35</v>
      </c>
      <c r="H472" s="30" t="s">
        <v>429</v>
      </c>
      <c r="I472" s="31">
        <v>51376.253000000004</v>
      </c>
    </row>
    <row r="473" spans="2:9" s="6" customFormat="1" ht="11.25" customHeight="1" x14ac:dyDescent="0.55000000000000004">
      <c r="B473" s="30" t="s">
        <v>1018</v>
      </c>
      <c r="C473" s="30" t="s">
        <v>1019</v>
      </c>
      <c r="D473" s="32">
        <v>90859</v>
      </c>
      <c r="E473" s="30" t="s">
        <v>20</v>
      </c>
      <c r="F473" s="30"/>
      <c r="G473" s="30"/>
      <c r="H473" s="30" t="s">
        <v>429</v>
      </c>
      <c r="I473" s="31" t="s">
        <v>29</v>
      </c>
    </row>
    <row r="474" spans="2:9" s="6" customFormat="1" ht="11.25" customHeight="1" x14ac:dyDescent="0.55000000000000004">
      <c r="B474" s="30" t="s">
        <v>1020</v>
      </c>
      <c r="C474" s="30" t="s">
        <v>1021</v>
      </c>
      <c r="D474" s="32">
        <v>88064</v>
      </c>
      <c r="E474" s="30" t="s">
        <v>20</v>
      </c>
      <c r="F474" s="30" t="s">
        <v>1022</v>
      </c>
      <c r="G474" s="30" t="s">
        <v>35</v>
      </c>
      <c r="H474" s="30" t="s">
        <v>313</v>
      </c>
      <c r="I474" s="31">
        <v>171539.049</v>
      </c>
    </row>
    <row r="475" spans="2:9" s="6" customFormat="1" ht="11.25" customHeight="1" x14ac:dyDescent="0.55000000000000004">
      <c r="B475" s="30" t="s">
        <v>1023</v>
      </c>
      <c r="C475" s="30" t="s">
        <v>1024</v>
      </c>
      <c r="D475" s="32">
        <v>76236</v>
      </c>
      <c r="E475" s="30" t="s">
        <v>20</v>
      </c>
      <c r="F475" s="30"/>
      <c r="G475" s="30" t="s">
        <v>35</v>
      </c>
      <c r="H475" s="30" t="s">
        <v>313</v>
      </c>
      <c r="I475" s="31">
        <v>4674763.7609999999</v>
      </c>
    </row>
    <row r="476" spans="2:9" s="6" customFormat="1" ht="11.25" customHeight="1" x14ac:dyDescent="0.55000000000000004">
      <c r="B476" s="30" t="s">
        <v>1025</v>
      </c>
      <c r="C476" s="30" t="s">
        <v>1026</v>
      </c>
      <c r="D476" s="32">
        <v>76236</v>
      </c>
      <c r="E476" s="30" t="s">
        <v>20</v>
      </c>
      <c r="F476" s="30"/>
      <c r="G476" s="30"/>
      <c r="H476" s="30" t="s">
        <v>313</v>
      </c>
      <c r="I476" s="31" t="s">
        <v>29</v>
      </c>
    </row>
    <row r="477" spans="2:9" s="6" customFormat="1" ht="11.25" customHeight="1" x14ac:dyDescent="0.55000000000000004">
      <c r="B477" s="30" t="s">
        <v>1027</v>
      </c>
      <c r="C477" s="30" t="s">
        <v>1028</v>
      </c>
      <c r="D477" s="32">
        <v>76236</v>
      </c>
      <c r="E477" s="30" t="s">
        <v>20</v>
      </c>
      <c r="F477" s="30"/>
      <c r="G477" s="30"/>
      <c r="H477" s="30" t="s">
        <v>313</v>
      </c>
      <c r="I477" s="31" t="s">
        <v>29</v>
      </c>
    </row>
    <row r="478" spans="2:9" s="6" customFormat="1" ht="11.25" customHeight="1" x14ac:dyDescent="0.55000000000000004">
      <c r="B478" s="30" t="s">
        <v>1029</v>
      </c>
      <c r="C478" s="30" t="s">
        <v>1030</v>
      </c>
      <c r="D478" s="32">
        <v>91090</v>
      </c>
      <c r="E478" s="30" t="s">
        <v>15</v>
      </c>
      <c r="F478" s="30"/>
      <c r="G478" s="30"/>
      <c r="H478" s="30" t="s">
        <v>113</v>
      </c>
      <c r="I478" s="31" t="s">
        <v>29</v>
      </c>
    </row>
    <row r="479" spans="2:9" s="6" customFormat="1" ht="11.25" customHeight="1" x14ac:dyDescent="0.55000000000000004">
      <c r="B479" s="30" t="s">
        <v>1031</v>
      </c>
      <c r="C479" s="30" t="s">
        <v>1032</v>
      </c>
      <c r="D479" s="32">
        <v>80322</v>
      </c>
      <c r="E479" s="30" t="s">
        <v>15</v>
      </c>
      <c r="F479" s="30" t="s">
        <v>428</v>
      </c>
      <c r="G479" s="30"/>
      <c r="H479" s="30" t="s">
        <v>124</v>
      </c>
      <c r="I479" s="31" t="s">
        <v>29</v>
      </c>
    </row>
    <row r="480" spans="2:9" s="6" customFormat="1" ht="11.25" customHeight="1" x14ac:dyDescent="0.55000000000000004">
      <c r="B480" s="30" t="s">
        <v>1033</v>
      </c>
      <c r="C480" s="30" t="s">
        <v>1034</v>
      </c>
      <c r="D480" s="32">
        <v>80322</v>
      </c>
      <c r="E480" s="30" t="s">
        <v>15</v>
      </c>
      <c r="F480" s="30"/>
      <c r="G480" s="30"/>
      <c r="H480" s="30" t="s">
        <v>124</v>
      </c>
      <c r="I480" s="31" t="s">
        <v>29</v>
      </c>
    </row>
    <row r="481" spans="2:9" s="6" customFormat="1" ht="11.25" customHeight="1" x14ac:dyDescent="0.55000000000000004">
      <c r="B481" s="30" t="s">
        <v>1000</v>
      </c>
      <c r="C481" s="30" t="s">
        <v>1035</v>
      </c>
      <c r="D481" s="32" t="s">
        <v>29</v>
      </c>
      <c r="E481" s="30" t="s">
        <v>20</v>
      </c>
      <c r="F481" s="30" t="s">
        <v>1000</v>
      </c>
      <c r="G481" s="30" t="s">
        <v>35</v>
      </c>
      <c r="H481" s="30" t="s">
        <v>113</v>
      </c>
      <c r="I481" s="31">
        <v>469182.45900000003</v>
      </c>
    </row>
    <row r="482" spans="2:9" s="6" customFormat="1" ht="11.25" customHeight="1" x14ac:dyDescent="0.55000000000000004">
      <c r="B482" s="30" t="s">
        <v>1036</v>
      </c>
      <c r="C482" s="30" t="s">
        <v>1037</v>
      </c>
      <c r="D482" s="32">
        <v>85960</v>
      </c>
      <c r="E482" s="30" t="s">
        <v>15</v>
      </c>
      <c r="F482" s="30" t="s">
        <v>970</v>
      </c>
      <c r="G482" s="30" t="s">
        <v>16</v>
      </c>
      <c r="H482" s="30" t="s">
        <v>22</v>
      </c>
      <c r="I482" s="31" t="s">
        <v>29</v>
      </c>
    </row>
    <row r="483" spans="2:9" s="6" customFormat="1" ht="11.25" customHeight="1" x14ac:dyDescent="0.55000000000000004">
      <c r="B483" s="30" t="s">
        <v>1038</v>
      </c>
      <c r="C483" s="30" t="s">
        <v>1039</v>
      </c>
      <c r="D483" s="32">
        <v>83968</v>
      </c>
      <c r="E483" s="30" t="s">
        <v>20</v>
      </c>
      <c r="F483" s="30"/>
      <c r="G483" s="30" t="s">
        <v>35</v>
      </c>
      <c r="H483" s="30" t="s">
        <v>266</v>
      </c>
      <c r="I483" s="31">
        <v>75285.059000000008</v>
      </c>
    </row>
    <row r="484" spans="2:9" s="6" customFormat="1" ht="11.25" customHeight="1" x14ac:dyDescent="0.55000000000000004">
      <c r="B484" s="30" t="s">
        <v>1040</v>
      </c>
      <c r="C484" s="30" t="s">
        <v>1041</v>
      </c>
      <c r="D484" s="32">
        <v>82082</v>
      </c>
      <c r="E484" s="30" t="s">
        <v>20</v>
      </c>
      <c r="F484" s="30" t="s">
        <v>1000</v>
      </c>
      <c r="G484" s="30" t="s">
        <v>35</v>
      </c>
      <c r="H484" s="30" t="s">
        <v>113</v>
      </c>
      <c r="I484" s="31">
        <v>12181.912</v>
      </c>
    </row>
    <row r="485" spans="2:9" s="6" customFormat="1" ht="11.25" customHeight="1" x14ac:dyDescent="0.55000000000000004">
      <c r="B485" s="30" t="s">
        <v>1042</v>
      </c>
      <c r="C485" s="30" t="s">
        <v>1043</v>
      </c>
      <c r="D485" s="32">
        <v>61921</v>
      </c>
      <c r="E485" s="30" t="s">
        <v>20</v>
      </c>
      <c r="F485" s="30"/>
      <c r="G485" s="30" t="s">
        <v>39</v>
      </c>
      <c r="H485" s="30" t="s">
        <v>278</v>
      </c>
      <c r="I485" s="31">
        <v>33631.192999999999</v>
      </c>
    </row>
    <row r="486" spans="2:9" s="6" customFormat="1" ht="11.25" customHeight="1" x14ac:dyDescent="0.55000000000000004">
      <c r="B486" s="30" t="s">
        <v>1044</v>
      </c>
      <c r="C486" s="30" t="s">
        <v>1045</v>
      </c>
      <c r="D486" s="32">
        <v>61670</v>
      </c>
      <c r="E486" s="30" t="s">
        <v>15</v>
      </c>
      <c r="F486" s="30" t="s">
        <v>1000</v>
      </c>
      <c r="G486" s="30"/>
      <c r="H486" s="30" t="s">
        <v>113</v>
      </c>
      <c r="I486" s="31" t="s">
        <v>29</v>
      </c>
    </row>
    <row r="487" spans="2:9" s="6" customFormat="1" ht="11.25" customHeight="1" x14ac:dyDescent="0.55000000000000004">
      <c r="B487" s="30" t="s">
        <v>1046</v>
      </c>
      <c r="C487" s="30" t="s">
        <v>1047</v>
      </c>
      <c r="D487" s="32">
        <v>73555</v>
      </c>
      <c r="E487" s="30" t="s">
        <v>15</v>
      </c>
      <c r="F487" s="30"/>
      <c r="G487" s="30"/>
      <c r="H487" s="30" t="s">
        <v>113</v>
      </c>
      <c r="I487" s="31" t="s">
        <v>29</v>
      </c>
    </row>
    <row r="488" spans="2:9" s="6" customFormat="1" ht="11.25" customHeight="1" x14ac:dyDescent="0.55000000000000004">
      <c r="B488" s="30" t="s">
        <v>1048</v>
      </c>
      <c r="C488" s="30" t="s">
        <v>1049</v>
      </c>
      <c r="D488" s="32">
        <v>77445</v>
      </c>
      <c r="E488" s="30" t="s">
        <v>15</v>
      </c>
      <c r="F488" s="30" t="s">
        <v>273</v>
      </c>
      <c r="G488" s="30"/>
      <c r="H488" s="30" t="s">
        <v>63</v>
      </c>
      <c r="I488" s="31" t="s">
        <v>29</v>
      </c>
    </row>
    <row r="489" spans="2:9" s="6" customFormat="1" ht="11.25" customHeight="1" x14ac:dyDescent="0.55000000000000004">
      <c r="B489" s="30" t="s">
        <v>1050</v>
      </c>
      <c r="C489" s="30" t="s">
        <v>1051</v>
      </c>
      <c r="D489" s="32">
        <v>13192</v>
      </c>
      <c r="E489" s="30" t="s">
        <v>15</v>
      </c>
      <c r="F489" s="30"/>
      <c r="G489" s="30" t="s">
        <v>39</v>
      </c>
      <c r="H489" s="30" t="s">
        <v>262</v>
      </c>
      <c r="I489" s="31" t="s">
        <v>29</v>
      </c>
    </row>
    <row r="490" spans="2:9" s="6" customFormat="1" ht="11.25" customHeight="1" x14ac:dyDescent="0.55000000000000004">
      <c r="B490" s="30" t="s">
        <v>1052</v>
      </c>
      <c r="C490" s="30" t="s">
        <v>1053</v>
      </c>
      <c r="D490" s="32">
        <v>70491</v>
      </c>
      <c r="E490" s="30" t="s">
        <v>15</v>
      </c>
      <c r="F490" s="30" t="s">
        <v>1054</v>
      </c>
      <c r="G490" s="30"/>
      <c r="H490" s="30" t="s">
        <v>1055</v>
      </c>
      <c r="I490" s="31" t="s">
        <v>29</v>
      </c>
    </row>
    <row r="491" spans="2:9" s="6" customFormat="1" ht="11.25" customHeight="1" x14ac:dyDescent="0.55000000000000004">
      <c r="B491" s="30" t="s">
        <v>1056</v>
      </c>
      <c r="C491" s="30" t="s">
        <v>1057</v>
      </c>
      <c r="D491" s="32">
        <v>70491</v>
      </c>
      <c r="E491" s="30" t="s">
        <v>15</v>
      </c>
      <c r="F491" s="30"/>
      <c r="G491" s="30"/>
      <c r="H491" s="30" t="s">
        <v>1055</v>
      </c>
      <c r="I491" s="31" t="s">
        <v>29</v>
      </c>
    </row>
    <row r="492" spans="2:9" s="6" customFormat="1" ht="11.25" customHeight="1" x14ac:dyDescent="0.55000000000000004">
      <c r="B492" s="30" t="s">
        <v>1058</v>
      </c>
      <c r="C492" s="30" t="s">
        <v>1059</v>
      </c>
      <c r="D492" s="32">
        <v>74810</v>
      </c>
      <c r="E492" s="30" t="s">
        <v>15</v>
      </c>
      <c r="F492" s="30"/>
      <c r="G492" s="30"/>
      <c r="H492" s="30" t="s">
        <v>262</v>
      </c>
      <c r="I492" s="31" t="s">
        <v>29</v>
      </c>
    </row>
    <row r="493" spans="2:9" s="6" customFormat="1" ht="11.25" customHeight="1" x14ac:dyDescent="0.55000000000000004">
      <c r="B493" s="30" t="s">
        <v>1060</v>
      </c>
      <c r="C493" s="30" t="s">
        <v>1061</v>
      </c>
      <c r="D493" s="32">
        <v>15691</v>
      </c>
      <c r="E493" s="30" t="s">
        <v>20</v>
      </c>
      <c r="F493" s="30" t="s">
        <v>1062</v>
      </c>
      <c r="G493" s="30" t="s">
        <v>16</v>
      </c>
      <c r="H493" s="30" t="s">
        <v>150</v>
      </c>
      <c r="I493" s="31">
        <v>222780.473</v>
      </c>
    </row>
    <row r="494" spans="2:9" s="6" customFormat="1" ht="11.25" customHeight="1" x14ac:dyDescent="0.55000000000000004">
      <c r="B494" s="30" t="s">
        <v>1063</v>
      </c>
      <c r="C494" s="30" t="s">
        <v>1064</v>
      </c>
      <c r="D494" s="32">
        <v>86371</v>
      </c>
      <c r="E494" s="30" t="s">
        <v>20</v>
      </c>
      <c r="F494" s="30"/>
      <c r="G494" s="30"/>
      <c r="H494" s="30" t="s">
        <v>385</v>
      </c>
      <c r="I494" s="31" t="s">
        <v>29</v>
      </c>
    </row>
    <row r="495" spans="2:9" s="6" customFormat="1" ht="11.25" customHeight="1" x14ac:dyDescent="0.55000000000000004">
      <c r="B495" s="30" t="s">
        <v>1065</v>
      </c>
      <c r="C495" s="30" t="s">
        <v>1066</v>
      </c>
      <c r="D495" s="32">
        <v>76830</v>
      </c>
      <c r="E495" s="30" t="s">
        <v>15</v>
      </c>
      <c r="F495" s="30"/>
      <c r="G495" s="30"/>
      <c r="H495" s="30" t="s">
        <v>582</v>
      </c>
      <c r="I495" s="31" t="s">
        <v>29</v>
      </c>
    </row>
    <row r="496" spans="2:9" s="6" customFormat="1" ht="11.25" customHeight="1" x14ac:dyDescent="0.55000000000000004">
      <c r="B496" s="30" t="s">
        <v>1067</v>
      </c>
      <c r="C496" s="30" t="s">
        <v>1068</v>
      </c>
      <c r="D496" s="32">
        <v>76856</v>
      </c>
      <c r="E496" s="30" t="s">
        <v>15</v>
      </c>
      <c r="F496" s="30"/>
      <c r="G496" s="30"/>
      <c r="H496" s="30" t="s">
        <v>582</v>
      </c>
      <c r="I496" s="31" t="s">
        <v>29</v>
      </c>
    </row>
    <row r="497" spans="2:9" s="6" customFormat="1" ht="11.25" customHeight="1" x14ac:dyDescent="0.55000000000000004">
      <c r="B497" s="30" t="s">
        <v>1069</v>
      </c>
      <c r="C497" s="30" t="s">
        <v>1070</v>
      </c>
      <c r="D497" s="32">
        <v>62626</v>
      </c>
      <c r="E497" s="30" t="s">
        <v>20</v>
      </c>
      <c r="F497" s="30" t="s">
        <v>1071</v>
      </c>
      <c r="G497" s="30" t="s">
        <v>155</v>
      </c>
      <c r="H497" s="30" t="s">
        <v>146</v>
      </c>
      <c r="I497" s="31">
        <v>21403630.495000001</v>
      </c>
    </row>
    <row r="498" spans="2:9" s="6" customFormat="1" ht="11.25" customHeight="1" x14ac:dyDescent="0.55000000000000004">
      <c r="B498" s="30" t="s">
        <v>1072</v>
      </c>
      <c r="C498" s="30" t="s">
        <v>1073</v>
      </c>
      <c r="D498" s="32">
        <v>62626</v>
      </c>
      <c r="E498" s="30" t="s">
        <v>20</v>
      </c>
      <c r="F498" s="30"/>
      <c r="G498" s="30"/>
      <c r="H498" s="30" t="s">
        <v>146</v>
      </c>
      <c r="I498" s="31" t="s">
        <v>29</v>
      </c>
    </row>
    <row r="499" spans="2:9" s="6" customFormat="1" ht="11.25" customHeight="1" x14ac:dyDescent="0.55000000000000004">
      <c r="B499" s="30" t="s">
        <v>1074</v>
      </c>
      <c r="C499" s="30" t="s">
        <v>1075</v>
      </c>
      <c r="D499" s="32">
        <v>62626</v>
      </c>
      <c r="E499" s="30" t="s">
        <v>20</v>
      </c>
      <c r="F499" s="30"/>
      <c r="G499" s="30"/>
      <c r="H499" s="30" t="s">
        <v>146</v>
      </c>
      <c r="I499" s="31" t="s">
        <v>29</v>
      </c>
    </row>
    <row r="500" spans="2:9" s="6" customFormat="1" ht="11.25" customHeight="1" x14ac:dyDescent="0.55000000000000004">
      <c r="B500" s="30" t="s">
        <v>1076</v>
      </c>
      <c r="C500" s="30" t="s">
        <v>1077</v>
      </c>
      <c r="D500" s="32">
        <v>60138</v>
      </c>
      <c r="E500" s="30" t="s">
        <v>15</v>
      </c>
      <c r="F500" s="30"/>
      <c r="G500" s="30"/>
      <c r="H500" s="30" t="s">
        <v>22</v>
      </c>
      <c r="I500" s="31" t="s">
        <v>29</v>
      </c>
    </row>
    <row r="501" spans="2:9" s="6" customFormat="1" ht="11.25" customHeight="1" x14ac:dyDescent="0.55000000000000004">
      <c r="B501" s="30" t="s">
        <v>1078</v>
      </c>
      <c r="C501" s="30" t="s">
        <v>1079</v>
      </c>
      <c r="D501" s="32">
        <v>84824</v>
      </c>
      <c r="E501" s="30" t="s">
        <v>20</v>
      </c>
      <c r="F501" s="30" t="s">
        <v>71</v>
      </c>
      <c r="G501" s="30" t="s">
        <v>155</v>
      </c>
      <c r="H501" s="30" t="s">
        <v>582</v>
      </c>
      <c r="I501" s="31">
        <v>23125955.201000001</v>
      </c>
    </row>
    <row r="502" spans="2:9" s="6" customFormat="1" ht="11.25" customHeight="1" x14ac:dyDescent="0.55000000000000004">
      <c r="B502" s="30" t="s">
        <v>1080</v>
      </c>
      <c r="C502" s="30" t="s">
        <v>1081</v>
      </c>
      <c r="D502" s="32">
        <v>84824</v>
      </c>
      <c r="E502" s="30" t="s">
        <v>20</v>
      </c>
      <c r="F502" s="30"/>
      <c r="G502" s="30"/>
      <c r="H502" s="30" t="s">
        <v>582</v>
      </c>
      <c r="I502" s="31" t="s">
        <v>29</v>
      </c>
    </row>
    <row r="503" spans="2:9" s="6" customFormat="1" ht="11.25" customHeight="1" x14ac:dyDescent="0.55000000000000004">
      <c r="B503" s="30" t="s">
        <v>1082</v>
      </c>
      <c r="C503" s="30" t="s">
        <v>1083</v>
      </c>
      <c r="D503" s="32">
        <v>84824</v>
      </c>
      <c r="E503" s="30" t="s">
        <v>20</v>
      </c>
      <c r="F503" s="30"/>
      <c r="G503" s="30"/>
      <c r="H503" s="30" t="s">
        <v>582</v>
      </c>
      <c r="I503" s="31" t="s">
        <v>29</v>
      </c>
    </row>
    <row r="504" spans="2:9" s="6" customFormat="1" ht="11.25" customHeight="1" x14ac:dyDescent="0.55000000000000004">
      <c r="B504" s="30" t="s">
        <v>1084</v>
      </c>
      <c r="C504" s="30" t="s">
        <v>1085</v>
      </c>
      <c r="D504" s="32">
        <v>88374</v>
      </c>
      <c r="E504" s="30" t="s">
        <v>15</v>
      </c>
      <c r="F504" s="30"/>
      <c r="G504" s="30" t="s">
        <v>16</v>
      </c>
      <c r="H504" s="30" t="s">
        <v>22</v>
      </c>
      <c r="I504" s="31" t="s">
        <v>29</v>
      </c>
    </row>
    <row r="505" spans="2:9" s="6" customFormat="1" ht="11.25" customHeight="1" x14ac:dyDescent="0.55000000000000004">
      <c r="B505" s="30" t="s">
        <v>709</v>
      </c>
      <c r="C505" s="30" t="s">
        <v>1086</v>
      </c>
      <c r="D505" s="32" t="s">
        <v>29</v>
      </c>
      <c r="E505" s="30" t="s">
        <v>20</v>
      </c>
      <c r="F505" s="30" t="s">
        <v>709</v>
      </c>
      <c r="G505" s="30" t="s">
        <v>39</v>
      </c>
      <c r="H505" s="30" t="s">
        <v>150</v>
      </c>
      <c r="I505" s="31">
        <v>23271900.462000001</v>
      </c>
    </row>
    <row r="506" spans="2:9" s="6" customFormat="1" ht="11.25" customHeight="1" x14ac:dyDescent="0.55000000000000004">
      <c r="B506" s="30" t="s">
        <v>1087</v>
      </c>
      <c r="C506" s="30" t="s">
        <v>1088</v>
      </c>
      <c r="D506" s="32" t="s">
        <v>29</v>
      </c>
      <c r="E506" s="30" t="s">
        <v>20</v>
      </c>
      <c r="F506" s="30"/>
      <c r="G506" s="30"/>
      <c r="H506" s="30" t="s">
        <v>150</v>
      </c>
      <c r="I506" s="31" t="s">
        <v>29</v>
      </c>
    </row>
    <row r="507" spans="2:9" s="6" customFormat="1" ht="11.25" customHeight="1" x14ac:dyDescent="0.55000000000000004">
      <c r="B507" s="30" t="s">
        <v>1089</v>
      </c>
      <c r="C507" s="30" t="s">
        <v>1090</v>
      </c>
      <c r="D507" s="32">
        <v>68500</v>
      </c>
      <c r="E507" s="30" t="s">
        <v>20</v>
      </c>
      <c r="F507" s="30" t="s">
        <v>95</v>
      </c>
      <c r="G507" s="30" t="s">
        <v>39</v>
      </c>
      <c r="H507" s="30" t="s">
        <v>92</v>
      </c>
      <c r="I507" s="31">
        <v>377305.68400000001</v>
      </c>
    </row>
    <row r="508" spans="2:9" s="6" customFormat="1" ht="11.25" customHeight="1" x14ac:dyDescent="0.55000000000000004">
      <c r="B508" s="30" t="s">
        <v>1091</v>
      </c>
      <c r="C508" s="30" t="s">
        <v>1092</v>
      </c>
      <c r="D508" s="32">
        <v>73326</v>
      </c>
      <c r="E508" s="30" t="s">
        <v>15</v>
      </c>
      <c r="F508" s="30"/>
      <c r="G508" s="30" t="s">
        <v>16</v>
      </c>
      <c r="H508" s="30" t="s">
        <v>75</v>
      </c>
      <c r="I508" s="31" t="s">
        <v>29</v>
      </c>
    </row>
    <row r="509" spans="2:9" s="6" customFormat="1" ht="11.25" customHeight="1" x14ac:dyDescent="0.55000000000000004">
      <c r="B509" s="30" t="s">
        <v>1093</v>
      </c>
      <c r="C509" s="30" t="s">
        <v>1094</v>
      </c>
      <c r="D509" s="32">
        <v>98183</v>
      </c>
      <c r="E509" s="30" t="s">
        <v>15</v>
      </c>
      <c r="F509" s="30"/>
      <c r="G509" s="30"/>
      <c r="H509" s="30" t="s">
        <v>113</v>
      </c>
      <c r="I509" s="31" t="s">
        <v>29</v>
      </c>
    </row>
    <row r="510" spans="2:9" s="6" customFormat="1" ht="11.25" customHeight="1" x14ac:dyDescent="0.55000000000000004">
      <c r="B510" s="30" t="s">
        <v>1095</v>
      </c>
      <c r="C510" s="30" t="s">
        <v>1096</v>
      </c>
      <c r="D510" s="32">
        <v>72303</v>
      </c>
      <c r="E510" s="30" t="s">
        <v>15</v>
      </c>
      <c r="F510" s="30"/>
      <c r="G510" s="30"/>
      <c r="H510" s="30" t="s">
        <v>66</v>
      </c>
      <c r="I510" s="31" t="s">
        <v>29</v>
      </c>
    </row>
    <row r="511" spans="2:9" s="6" customFormat="1" ht="11.25" customHeight="1" x14ac:dyDescent="0.55000000000000004">
      <c r="B511" s="30" t="s">
        <v>1097</v>
      </c>
      <c r="C511" s="30" t="s">
        <v>1098</v>
      </c>
      <c r="D511" s="32">
        <v>62049</v>
      </c>
      <c r="E511" s="30" t="s">
        <v>20</v>
      </c>
      <c r="F511" s="30" t="s">
        <v>1099</v>
      </c>
      <c r="G511" s="30" t="s">
        <v>39</v>
      </c>
      <c r="H511" s="30" t="s">
        <v>655</v>
      </c>
      <c r="I511" s="31">
        <v>3525222.2069999999</v>
      </c>
    </row>
    <row r="512" spans="2:9" s="6" customFormat="1" ht="11.25" customHeight="1" x14ac:dyDescent="0.55000000000000004">
      <c r="B512" s="30" t="s">
        <v>1100</v>
      </c>
      <c r="C512" s="30" t="s">
        <v>1101</v>
      </c>
      <c r="D512" s="32">
        <v>62049</v>
      </c>
      <c r="E512" s="30" t="s">
        <v>20</v>
      </c>
      <c r="F512" s="30"/>
      <c r="G512" s="30"/>
      <c r="H512" s="30" t="s">
        <v>655</v>
      </c>
      <c r="I512" s="31" t="s">
        <v>29</v>
      </c>
    </row>
    <row r="513" spans="2:9" s="6" customFormat="1" ht="11.25" customHeight="1" x14ac:dyDescent="0.55000000000000004">
      <c r="B513" s="30" t="s">
        <v>1102</v>
      </c>
      <c r="C513" s="30" t="s">
        <v>1103</v>
      </c>
      <c r="D513" s="32">
        <v>88153</v>
      </c>
      <c r="E513" s="30" t="s">
        <v>20</v>
      </c>
      <c r="F513" s="30"/>
      <c r="G513" s="30" t="s">
        <v>35</v>
      </c>
      <c r="H513" s="30" t="s">
        <v>113</v>
      </c>
      <c r="I513" s="31">
        <v>17231.239000000001</v>
      </c>
    </row>
    <row r="514" spans="2:9" s="6" customFormat="1" ht="11.25" customHeight="1" x14ac:dyDescent="0.55000000000000004">
      <c r="B514" s="30" t="s">
        <v>1104</v>
      </c>
      <c r="C514" s="30" t="s">
        <v>1105</v>
      </c>
      <c r="D514" s="32">
        <v>62065</v>
      </c>
      <c r="E514" s="30" t="s">
        <v>20</v>
      </c>
      <c r="F514" s="30" t="s">
        <v>709</v>
      </c>
      <c r="G514" s="30" t="s">
        <v>25</v>
      </c>
      <c r="H514" s="30" t="s">
        <v>75</v>
      </c>
      <c r="I514" s="31">
        <v>835660.946</v>
      </c>
    </row>
    <row r="515" spans="2:9" s="6" customFormat="1" ht="11.25" customHeight="1" x14ac:dyDescent="0.55000000000000004">
      <c r="B515" s="30" t="s">
        <v>1106</v>
      </c>
      <c r="C515" s="30" t="s">
        <v>1107</v>
      </c>
      <c r="D515" s="32">
        <v>62065</v>
      </c>
      <c r="E515" s="30" t="s">
        <v>20</v>
      </c>
      <c r="F515" s="30"/>
      <c r="G515" s="30"/>
      <c r="H515" s="30" t="s">
        <v>75</v>
      </c>
      <c r="I515" s="31" t="s">
        <v>29</v>
      </c>
    </row>
    <row r="516" spans="2:9" s="6" customFormat="1" ht="11.25" customHeight="1" x14ac:dyDescent="0.55000000000000004">
      <c r="B516" s="30" t="s">
        <v>1108</v>
      </c>
      <c r="C516" s="30" t="s">
        <v>1109</v>
      </c>
      <c r="D516" s="32">
        <v>73547</v>
      </c>
      <c r="E516" s="30" t="s">
        <v>20</v>
      </c>
      <c r="F516" s="30"/>
      <c r="G516" s="30" t="s">
        <v>25</v>
      </c>
      <c r="H516" s="30" t="s">
        <v>113</v>
      </c>
      <c r="I516" s="31">
        <v>2760.712</v>
      </c>
    </row>
    <row r="517" spans="2:9" s="6" customFormat="1" ht="11.25" customHeight="1" x14ac:dyDescent="0.55000000000000004">
      <c r="B517" s="30" t="s">
        <v>1110</v>
      </c>
      <c r="C517" s="30" t="s">
        <v>1111</v>
      </c>
      <c r="D517" s="32">
        <v>84786</v>
      </c>
      <c r="E517" s="30" t="s">
        <v>15</v>
      </c>
      <c r="F517" s="30"/>
      <c r="G517" s="30" t="s">
        <v>155</v>
      </c>
      <c r="H517" s="30" t="s">
        <v>686</v>
      </c>
      <c r="I517" s="31" t="s">
        <v>29</v>
      </c>
    </row>
    <row r="518" spans="2:9" s="6" customFormat="1" ht="11.25" customHeight="1" x14ac:dyDescent="0.55000000000000004">
      <c r="B518" s="30" t="s">
        <v>1112</v>
      </c>
      <c r="C518" s="30" t="s">
        <v>1113</v>
      </c>
      <c r="D518" s="32">
        <v>12276</v>
      </c>
      <c r="E518" s="30" t="s">
        <v>15</v>
      </c>
      <c r="F518" s="30"/>
      <c r="G518" s="30" t="s">
        <v>35</v>
      </c>
      <c r="H518" s="30" t="s">
        <v>582</v>
      </c>
      <c r="I518" s="31" t="s">
        <v>29</v>
      </c>
    </row>
    <row r="519" spans="2:9" s="6" customFormat="1" ht="11.25" customHeight="1" x14ac:dyDescent="0.55000000000000004">
      <c r="B519" s="30" t="s">
        <v>1114</v>
      </c>
      <c r="C519" s="30" t="s">
        <v>1115</v>
      </c>
      <c r="D519" s="32">
        <v>66443</v>
      </c>
      <c r="E519" s="30" t="s">
        <v>15</v>
      </c>
      <c r="F519" s="30" t="s">
        <v>1116</v>
      </c>
      <c r="G519" s="30"/>
      <c r="H519" s="30" t="s">
        <v>124</v>
      </c>
      <c r="I519" s="31" t="s">
        <v>29</v>
      </c>
    </row>
    <row r="520" spans="2:9" s="6" customFormat="1" ht="11.25" customHeight="1" x14ac:dyDescent="0.55000000000000004">
      <c r="B520" s="30" t="s">
        <v>1117</v>
      </c>
      <c r="C520" s="30" t="s">
        <v>1118</v>
      </c>
      <c r="D520" s="32">
        <v>76023</v>
      </c>
      <c r="E520" s="30" t="s">
        <v>20</v>
      </c>
      <c r="F520" s="30" t="s">
        <v>1116</v>
      </c>
      <c r="G520" s="30" t="s">
        <v>25</v>
      </c>
      <c r="H520" s="30" t="s">
        <v>124</v>
      </c>
      <c r="I520" s="31">
        <v>338257.29600000003</v>
      </c>
    </row>
    <row r="521" spans="2:9" s="6" customFormat="1" ht="11.25" customHeight="1" x14ac:dyDescent="0.55000000000000004">
      <c r="B521" s="30" t="s">
        <v>1119</v>
      </c>
      <c r="C521" s="30" t="s">
        <v>1120</v>
      </c>
      <c r="D521" s="32">
        <v>62103</v>
      </c>
      <c r="E521" s="30" t="s">
        <v>20</v>
      </c>
      <c r="F521" s="30" t="s">
        <v>1116</v>
      </c>
      <c r="G521" s="30" t="s">
        <v>25</v>
      </c>
      <c r="H521" s="30" t="s">
        <v>124</v>
      </c>
      <c r="I521" s="31">
        <v>1455720.665</v>
      </c>
    </row>
    <row r="522" spans="2:9" s="6" customFormat="1" ht="11.25" customHeight="1" x14ac:dyDescent="0.55000000000000004">
      <c r="B522" s="30" t="s">
        <v>1116</v>
      </c>
      <c r="C522" s="30" t="s">
        <v>1121</v>
      </c>
      <c r="D522" s="32" t="s">
        <v>29</v>
      </c>
      <c r="E522" s="30" t="s">
        <v>20</v>
      </c>
      <c r="F522" s="30" t="s">
        <v>1116</v>
      </c>
      <c r="G522" s="30" t="s">
        <v>25</v>
      </c>
      <c r="H522" s="30" t="s">
        <v>124</v>
      </c>
      <c r="I522" s="31">
        <v>1771369.2830000001</v>
      </c>
    </row>
    <row r="523" spans="2:9" s="6" customFormat="1" ht="11.25" customHeight="1" x14ac:dyDescent="0.55000000000000004">
      <c r="B523" s="30" t="s">
        <v>1122</v>
      </c>
      <c r="C523" s="30" t="s">
        <v>1123</v>
      </c>
      <c r="D523" s="32">
        <v>94323</v>
      </c>
      <c r="E523" s="30" t="s">
        <v>15</v>
      </c>
      <c r="F523" s="30" t="s">
        <v>1124</v>
      </c>
      <c r="G523" s="30"/>
      <c r="H523" s="30" t="s">
        <v>735</v>
      </c>
      <c r="I523" s="31" t="s">
        <v>29</v>
      </c>
    </row>
    <row r="524" spans="2:9" s="6" customFormat="1" ht="11.25" customHeight="1" x14ac:dyDescent="0.55000000000000004">
      <c r="B524" s="30" t="s">
        <v>1125</v>
      </c>
      <c r="C524" s="30" t="s">
        <v>1126</v>
      </c>
      <c r="D524" s="32">
        <v>99937</v>
      </c>
      <c r="E524" s="30" t="s">
        <v>20</v>
      </c>
      <c r="F524" s="30" t="s">
        <v>1127</v>
      </c>
      <c r="G524" s="30" t="s">
        <v>35</v>
      </c>
      <c r="H524" s="30" t="s">
        <v>313</v>
      </c>
      <c r="I524" s="31">
        <v>4286479.2939999998</v>
      </c>
    </row>
    <row r="525" spans="2:9" s="6" customFormat="1" ht="11.25" customHeight="1" x14ac:dyDescent="0.55000000000000004">
      <c r="B525" s="30" t="s">
        <v>1128</v>
      </c>
      <c r="C525" s="30" t="s">
        <v>1129</v>
      </c>
      <c r="D525" s="32">
        <v>99937</v>
      </c>
      <c r="E525" s="30" t="s">
        <v>20</v>
      </c>
      <c r="F525" s="30"/>
      <c r="G525" s="30"/>
      <c r="H525" s="30" t="s">
        <v>313</v>
      </c>
      <c r="I525" s="31" t="s">
        <v>29</v>
      </c>
    </row>
    <row r="526" spans="2:9" s="6" customFormat="1" ht="11.25" customHeight="1" x14ac:dyDescent="0.55000000000000004">
      <c r="B526" s="30" t="s">
        <v>1130</v>
      </c>
      <c r="C526" s="30" t="s">
        <v>1131</v>
      </c>
      <c r="D526" s="32">
        <v>99937</v>
      </c>
      <c r="E526" s="30" t="s">
        <v>20</v>
      </c>
      <c r="F526" s="30"/>
      <c r="G526" s="30"/>
      <c r="H526" s="30" t="s">
        <v>313</v>
      </c>
      <c r="I526" s="31" t="s">
        <v>29</v>
      </c>
    </row>
    <row r="527" spans="2:9" s="6" customFormat="1" ht="11.25" customHeight="1" x14ac:dyDescent="0.55000000000000004">
      <c r="B527" s="30" t="s">
        <v>1132</v>
      </c>
      <c r="C527" s="30" t="s">
        <v>1133</v>
      </c>
      <c r="D527" s="32">
        <v>62146</v>
      </c>
      <c r="E527" s="30" t="s">
        <v>20</v>
      </c>
      <c r="F527" s="30" t="s">
        <v>74</v>
      </c>
      <c r="G527" s="30" t="s">
        <v>39</v>
      </c>
      <c r="H527" s="30" t="s">
        <v>22</v>
      </c>
      <c r="I527" s="31">
        <v>2417902.2080000001</v>
      </c>
    </row>
    <row r="528" spans="2:9" s="6" customFormat="1" ht="11.25" customHeight="1" x14ac:dyDescent="0.55000000000000004">
      <c r="B528" s="30" t="s">
        <v>1134</v>
      </c>
      <c r="C528" s="30" t="s">
        <v>1135</v>
      </c>
      <c r="D528" s="32">
        <v>78697</v>
      </c>
      <c r="E528" s="30" t="s">
        <v>20</v>
      </c>
      <c r="F528" s="30" t="s">
        <v>74</v>
      </c>
      <c r="G528" s="30" t="s">
        <v>39</v>
      </c>
      <c r="H528" s="30" t="s">
        <v>124</v>
      </c>
      <c r="I528" s="31">
        <v>502764.98</v>
      </c>
    </row>
    <row r="529" spans="2:9" s="6" customFormat="1" ht="11.25" customHeight="1" x14ac:dyDescent="0.55000000000000004">
      <c r="B529" s="30" t="s">
        <v>1136</v>
      </c>
      <c r="C529" s="30" t="s">
        <v>1137</v>
      </c>
      <c r="D529" s="32">
        <v>70734</v>
      </c>
      <c r="E529" s="30" t="s">
        <v>15</v>
      </c>
      <c r="F529" s="30"/>
      <c r="G529" s="30" t="s">
        <v>80</v>
      </c>
      <c r="H529" s="30" t="s">
        <v>313</v>
      </c>
      <c r="I529" s="31" t="s">
        <v>29</v>
      </c>
    </row>
    <row r="530" spans="2:9" s="6" customFormat="1" ht="11.25" customHeight="1" x14ac:dyDescent="0.55000000000000004">
      <c r="B530" s="30" t="s">
        <v>1138</v>
      </c>
      <c r="C530" s="30" t="s">
        <v>1139</v>
      </c>
      <c r="D530" s="32">
        <v>81426</v>
      </c>
      <c r="E530" s="30" t="s">
        <v>20</v>
      </c>
      <c r="F530" s="30" t="s">
        <v>185</v>
      </c>
      <c r="G530" s="30" t="s">
        <v>21</v>
      </c>
      <c r="H530" s="30" t="s">
        <v>124</v>
      </c>
      <c r="I530" s="31">
        <v>26357.451000000001</v>
      </c>
    </row>
    <row r="531" spans="2:9" s="6" customFormat="1" ht="11.25" customHeight="1" x14ac:dyDescent="0.55000000000000004">
      <c r="B531" s="30" t="s">
        <v>1140</v>
      </c>
      <c r="C531" s="30" t="s">
        <v>1141</v>
      </c>
      <c r="D531" s="32">
        <v>78879</v>
      </c>
      <c r="E531" s="30" t="s">
        <v>20</v>
      </c>
      <c r="F531" s="30" t="s">
        <v>1142</v>
      </c>
      <c r="G531" s="30" t="s">
        <v>39</v>
      </c>
      <c r="H531" s="30" t="s">
        <v>17</v>
      </c>
      <c r="I531" s="31">
        <v>65652.555000000008</v>
      </c>
    </row>
    <row r="532" spans="2:9" s="6" customFormat="1" ht="11.25" customHeight="1" x14ac:dyDescent="0.55000000000000004">
      <c r="B532" s="30" t="s">
        <v>1143</v>
      </c>
      <c r="C532" s="30" t="s">
        <v>1144</v>
      </c>
      <c r="D532" s="32">
        <v>82767</v>
      </c>
      <c r="E532" s="30" t="s">
        <v>15</v>
      </c>
      <c r="F532" s="30"/>
      <c r="G532" s="30" t="s">
        <v>16</v>
      </c>
      <c r="H532" s="30" t="s">
        <v>108</v>
      </c>
      <c r="I532" s="31" t="s">
        <v>29</v>
      </c>
    </row>
    <row r="533" spans="2:9" s="6" customFormat="1" ht="11.25" customHeight="1" x14ac:dyDescent="0.55000000000000004">
      <c r="B533" s="30" t="s">
        <v>1145</v>
      </c>
      <c r="C533" s="30" t="s">
        <v>1146</v>
      </c>
      <c r="D533" s="32">
        <v>62642</v>
      </c>
      <c r="E533" s="30" t="s">
        <v>15</v>
      </c>
      <c r="F533" s="30"/>
      <c r="G533" s="30"/>
      <c r="H533" s="30" t="s">
        <v>105</v>
      </c>
      <c r="I533" s="31" t="s">
        <v>29</v>
      </c>
    </row>
    <row r="534" spans="2:9" s="6" customFormat="1" ht="11.25" customHeight="1" x14ac:dyDescent="0.55000000000000004">
      <c r="B534" s="30" t="s">
        <v>1147</v>
      </c>
      <c r="C534" s="30" t="s">
        <v>1148</v>
      </c>
      <c r="D534" s="32">
        <v>62227</v>
      </c>
      <c r="E534" s="30" t="s">
        <v>15</v>
      </c>
      <c r="F534" s="30" t="s">
        <v>62</v>
      </c>
      <c r="G534" s="30"/>
      <c r="H534" s="30" t="s">
        <v>278</v>
      </c>
      <c r="I534" s="31" t="s">
        <v>29</v>
      </c>
    </row>
    <row r="535" spans="2:9" s="6" customFormat="1" ht="11.25" customHeight="1" x14ac:dyDescent="0.55000000000000004">
      <c r="B535" s="30" t="s">
        <v>1149</v>
      </c>
      <c r="C535" s="30" t="s">
        <v>1150</v>
      </c>
      <c r="D535" s="32">
        <v>62227</v>
      </c>
      <c r="E535" s="30" t="s">
        <v>15</v>
      </c>
      <c r="F535" s="30"/>
      <c r="G535" s="30"/>
      <c r="H535" s="30" t="s">
        <v>278</v>
      </c>
      <c r="I535" s="31" t="s">
        <v>29</v>
      </c>
    </row>
    <row r="536" spans="2:9" s="6" customFormat="1" ht="11.25" customHeight="1" x14ac:dyDescent="0.55000000000000004">
      <c r="B536" s="30" t="s">
        <v>1151</v>
      </c>
      <c r="C536" s="30" t="s">
        <v>1152</v>
      </c>
      <c r="D536" s="32">
        <v>73423</v>
      </c>
      <c r="E536" s="30" t="s">
        <v>15</v>
      </c>
      <c r="F536" s="30"/>
      <c r="G536" s="30"/>
      <c r="H536" s="30" t="s">
        <v>179</v>
      </c>
      <c r="I536" s="31" t="s">
        <v>29</v>
      </c>
    </row>
    <row r="537" spans="2:9" s="6" customFormat="1" ht="11.25" customHeight="1" x14ac:dyDescent="0.55000000000000004">
      <c r="B537" s="30" t="s">
        <v>1153</v>
      </c>
      <c r="C537" s="30" t="s">
        <v>1154</v>
      </c>
      <c r="D537" s="32" t="s">
        <v>29</v>
      </c>
      <c r="E537" s="30" t="s">
        <v>20</v>
      </c>
      <c r="F537" s="30" t="s">
        <v>1153</v>
      </c>
      <c r="G537" s="30" t="s">
        <v>21</v>
      </c>
      <c r="H537" s="30" t="s">
        <v>655</v>
      </c>
      <c r="I537" s="31">
        <v>488132.68700000003</v>
      </c>
    </row>
    <row r="538" spans="2:9" s="6" customFormat="1" ht="11.25" customHeight="1" x14ac:dyDescent="0.55000000000000004">
      <c r="B538" s="30" t="s">
        <v>1155</v>
      </c>
      <c r="C538" s="30" t="s">
        <v>1156</v>
      </c>
      <c r="D538" s="32">
        <v>92444</v>
      </c>
      <c r="E538" s="30" t="s">
        <v>20</v>
      </c>
      <c r="F538" s="30" t="s">
        <v>1153</v>
      </c>
      <c r="G538" s="30" t="s">
        <v>21</v>
      </c>
      <c r="H538" s="30" t="s">
        <v>655</v>
      </c>
      <c r="I538" s="31">
        <v>28723.553</v>
      </c>
    </row>
    <row r="539" spans="2:9" s="6" customFormat="1" ht="11.25" customHeight="1" x14ac:dyDescent="0.55000000000000004">
      <c r="B539" s="30" t="s">
        <v>1157</v>
      </c>
      <c r="C539" s="30" t="s">
        <v>1158</v>
      </c>
      <c r="D539" s="32">
        <v>62243</v>
      </c>
      <c r="E539" s="30" t="s">
        <v>20</v>
      </c>
      <c r="F539" s="30" t="s">
        <v>1159</v>
      </c>
      <c r="G539" s="30" t="s">
        <v>16</v>
      </c>
      <c r="H539" s="30" t="s">
        <v>40</v>
      </c>
      <c r="I539" s="31">
        <v>1108228.834</v>
      </c>
    </row>
    <row r="540" spans="2:9" s="6" customFormat="1" ht="11.25" customHeight="1" x14ac:dyDescent="0.55000000000000004">
      <c r="B540" s="30" t="s">
        <v>1160</v>
      </c>
      <c r="C540" s="30" t="s">
        <v>1161</v>
      </c>
      <c r="D540" s="32">
        <v>62243</v>
      </c>
      <c r="E540" s="30" t="s">
        <v>20</v>
      </c>
      <c r="F540" s="30"/>
      <c r="G540" s="30"/>
      <c r="H540" s="30" t="s">
        <v>40</v>
      </c>
      <c r="I540" s="31" t="s">
        <v>29</v>
      </c>
    </row>
    <row r="541" spans="2:9" s="6" customFormat="1" ht="11.25" customHeight="1" x14ac:dyDescent="0.55000000000000004">
      <c r="B541" s="30" t="s">
        <v>1162</v>
      </c>
      <c r="C541" s="30" t="s">
        <v>1163</v>
      </c>
      <c r="D541" s="32">
        <v>62243</v>
      </c>
      <c r="E541" s="30" t="s">
        <v>20</v>
      </c>
      <c r="F541" s="30"/>
      <c r="G541" s="30"/>
      <c r="H541" s="30" t="s">
        <v>40</v>
      </c>
      <c r="I541" s="31" t="s">
        <v>29</v>
      </c>
    </row>
    <row r="542" spans="2:9" s="6" customFormat="1" ht="11.25" customHeight="1" x14ac:dyDescent="0.55000000000000004">
      <c r="B542" s="30" t="s">
        <v>1164</v>
      </c>
      <c r="C542" s="30" t="s">
        <v>1165</v>
      </c>
      <c r="D542" s="32">
        <v>77828</v>
      </c>
      <c r="E542" s="30" t="s">
        <v>20</v>
      </c>
      <c r="F542" s="30" t="s">
        <v>1153</v>
      </c>
      <c r="G542" s="30" t="s">
        <v>21</v>
      </c>
      <c r="H542" s="30" t="s">
        <v>655</v>
      </c>
      <c r="I542" s="31">
        <v>464328.10499999998</v>
      </c>
    </row>
    <row r="543" spans="2:9" s="6" customFormat="1" ht="11.25" customHeight="1" x14ac:dyDescent="0.55000000000000004">
      <c r="B543" s="30" t="s">
        <v>1166</v>
      </c>
      <c r="C543" s="30" t="s">
        <v>1167</v>
      </c>
      <c r="D543" s="32">
        <v>87718</v>
      </c>
      <c r="E543" s="30" t="s">
        <v>15</v>
      </c>
      <c r="F543" s="30"/>
      <c r="G543" s="30" t="s">
        <v>16</v>
      </c>
      <c r="H543" s="30" t="s">
        <v>22</v>
      </c>
      <c r="I543" s="31" t="s">
        <v>29</v>
      </c>
    </row>
    <row r="544" spans="2:9" s="6" customFormat="1" ht="11.25" customHeight="1" x14ac:dyDescent="0.55000000000000004">
      <c r="B544" s="30" t="s">
        <v>1168</v>
      </c>
      <c r="C544" s="30" t="s">
        <v>1169</v>
      </c>
      <c r="D544" s="32">
        <v>62251</v>
      </c>
      <c r="E544" s="30" t="s">
        <v>15</v>
      </c>
      <c r="F544" s="30"/>
      <c r="G544" s="30" t="s">
        <v>194</v>
      </c>
      <c r="H544" s="30" t="s">
        <v>262</v>
      </c>
      <c r="I544" s="31" t="s">
        <v>29</v>
      </c>
    </row>
    <row r="545" spans="2:9" s="6" customFormat="1" ht="11.25" customHeight="1" x14ac:dyDescent="0.55000000000000004">
      <c r="B545" s="30" t="s">
        <v>1170</v>
      </c>
      <c r="C545" s="30" t="s">
        <v>1171</v>
      </c>
      <c r="D545" s="32">
        <v>73482</v>
      </c>
      <c r="E545" s="30" t="s">
        <v>15</v>
      </c>
      <c r="F545" s="30"/>
      <c r="G545" s="30" t="s">
        <v>80</v>
      </c>
      <c r="H545" s="30" t="s">
        <v>105</v>
      </c>
      <c r="I545" s="31" t="s">
        <v>29</v>
      </c>
    </row>
    <row r="546" spans="2:9" s="6" customFormat="1" ht="11.25" customHeight="1" x14ac:dyDescent="0.55000000000000004">
      <c r="B546" s="30" t="s">
        <v>1172</v>
      </c>
      <c r="C546" s="30" t="s">
        <v>1173</v>
      </c>
      <c r="D546" s="32">
        <v>78654</v>
      </c>
      <c r="E546" s="30" t="s">
        <v>15</v>
      </c>
      <c r="F546" s="30"/>
      <c r="G546" s="30" t="s">
        <v>16</v>
      </c>
      <c r="H546" s="30" t="s">
        <v>150</v>
      </c>
      <c r="I546" s="31" t="s">
        <v>29</v>
      </c>
    </row>
    <row r="547" spans="2:9" s="6" customFormat="1" ht="11.25" customHeight="1" x14ac:dyDescent="0.55000000000000004">
      <c r="B547" s="30" t="s">
        <v>1174</v>
      </c>
      <c r="C547" s="30" t="s">
        <v>1175</v>
      </c>
      <c r="D547" s="32">
        <v>94625</v>
      </c>
      <c r="E547" s="30" t="s">
        <v>15</v>
      </c>
      <c r="F547" s="30"/>
      <c r="G547" s="30"/>
      <c r="H547" s="30" t="s">
        <v>262</v>
      </c>
      <c r="I547" s="31" t="s">
        <v>29</v>
      </c>
    </row>
    <row r="548" spans="2:9" s="6" customFormat="1" ht="11.25" customHeight="1" x14ac:dyDescent="0.55000000000000004">
      <c r="B548" s="30" t="s">
        <v>1176</v>
      </c>
      <c r="C548" s="30" t="s">
        <v>1177</v>
      </c>
      <c r="D548" s="32">
        <v>93718</v>
      </c>
      <c r="E548" s="30" t="s">
        <v>15</v>
      </c>
      <c r="F548" s="30"/>
      <c r="G548" s="30"/>
      <c r="H548" s="30" t="s">
        <v>75</v>
      </c>
      <c r="I548" s="31" t="s">
        <v>29</v>
      </c>
    </row>
    <row r="549" spans="2:9" s="6" customFormat="1" ht="11.25" customHeight="1" x14ac:dyDescent="0.55000000000000004">
      <c r="B549" s="30" t="s">
        <v>1178</v>
      </c>
      <c r="C549" s="30" t="s">
        <v>1179</v>
      </c>
      <c r="D549" s="32">
        <v>73490</v>
      </c>
      <c r="E549" s="30" t="s">
        <v>15</v>
      </c>
      <c r="F549" s="30"/>
      <c r="G549" s="30"/>
      <c r="H549" s="30" t="s">
        <v>75</v>
      </c>
      <c r="I549" s="31" t="s">
        <v>29</v>
      </c>
    </row>
    <row r="550" spans="2:9" s="6" customFormat="1" ht="11.25" customHeight="1" x14ac:dyDescent="0.55000000000000004">
      <c r="B550" s="30" t="s">
        <v>1180</v>
      </c>
      <c r="C550" s="30" t="s">
        <v>1181</v>
      </c>
      <c r="D550" s="32">
        <v>71200</v>
      </c>
      <c r="E550" s="30" t="s">
        <v>15</v>
      </c>
      <c r="F550" s="30" t="s">
        <v>759</v>
      </c>
      <c r="G550" s="30"/>
      <c r="H550" s="30" t="s">
        <v>96</v>
      </c>
      <c r="I550" s="31" t="s">
        <v>29</v>
      </c>
    </row>
    <row r="551" spans="2:9" s="6" customFormat="1" ht="11.25" customHeight="1" x14ac:dyDescent="0.55000000000000004">
      <c r="B551" s="30" t="s">
        <v>1182</v>
      </c>
      <c r="C551" s="30" t="s">
        <v>1183</v>
      </c>
      <c r="D551" s="32">
        <v>62308</v>
      </c>
      <c r="E551" s="30" t="s">
        <v>20</v>
      </c>
      <c r="F551" s="30" t="s">
        <v>293</v>
      </c>
      <c r="G551" s="30" t="s">
        <v>129</v>
      </c>
      <c r="H551" s="30" t="s">
        <v>96</v>
      </c>
      <c r="I551" s="31">
        <v>19753416.276999999</v>
      </c>
    </row>
    <row r="552" spans="2:9" s="6" customFormat="1" ht="11.25" customHeight="1" x14ac:dyDescent="0.55000000000000004">
      <c r="B552" s="30" t="s">
        <v>1184</v>
      </c>
      <c r="C552" s="30" t="s">
        <v>1185</v>
      </c>
      <c r="D552" s="32">
        <v>62308</v>
      </c>
      <c r="E552" s="30" t="s">
        <v>20</v>
      </c>
      <c r="F552" s="30"/>
      <c r="G552" s="30"/>
      <c r="H552" s="30" t="s">
        <v>96</v>
      </c>
      <c r="I552" s="31" t="s">
        <v>29</v>
      </c>
    </row>
    <row r="553" spans="2:9" s="6" customFormat="1" ht="11.25" customHeight="1" x14ac:dyDescent="0.55000000000000004">
      <c r="B553" s="30" t="s">
        <v>1186</v>
      </c>
      <c r="C553" s="30" t="s">
        <v>1187</v>
      </c>
      <c r="D553" s="32">
        <v>62308</v>
      </c>
      <c r="E553" s="30" t="s">
        <v>20</v>
      </c>
      <c r="F553" s="30"/>
      <c r="G553" s="30"/>
      <c r="H553" s="30" t="s">
        <v>96</v>
      </c>
      <c r="I553" s="31" t="s">
        <v>29</v>
      </c>
    </row>
    <row r="554" spans="2:9" s="6" customFormat="1" ht="11.25" customHeight="1" x14ac:dyDescent="0.55000000000000004">
      <c r="B554" s="30" t="s">
        <v>1188</v>
      </c>
      <c r="C554" s="30" t="s">
        <v>1189</v>
      </c>
      <c r="D554" s="32">
        <v>78174</v>
      </c>
      <c r="E554" s="30" t="s">
        <v>15</v>
      </c>
      <c r="F554" s="30" t="s">
        <v>709</v>
      </c>
      <c r="G554" s="30" t="s">
        <v>39</v>
      </c>
      <c r="H554" s="30" t="s">
        <v>150</v>
      </c>
      <c r="I554" s="31" t="s">
        <v>29</v>
      </c>
    </row>
    <row r="555" spans="2:9" s="6" customFormat="1" ht="11.25" customHeight="1" x14ac:dyDescent="0.55000000000000004">
      <c r="B555" s="30" t="s">
        <v>1190</v>
      </c>
      <c r="C555" s="30" t="s">
        <v>1191</v>
      </c>
      <c r="D555" s="32">
        <v>60682</v>
      </c>
      <c r="E555" s="30" t="s">
        <v>15</v>
      </c>
      <c r="F555" s="30" t="s">
        <v>709</v>
      </c>
      <c r="G555" s="30" t="s">
        <v>39</v>
      </c>
      <c r="H555" s="30" t="s">
        <v>150</v>
      </c>
      <c r="I555" s="31" t="s">
        <v>29</v>
      </c>
    </row>
    <row r="556" spans="2:9" s="6" customFormat="1" ht="11.25" customHeight="1" x14ac:dyDescent="0.55000000000000004">
      <c r="B556" s="30" t="s">
        <v>1192</v>
      </c>
      <c r="C556" s="30" t="s">
        <v>1193</v>
      </c>
      <c r="D556" s="32">
        <v>60682</v>
      </c>
      <c r="E556" s="30" t="s">
        <v>15</v>
      </c>
      <c r="F556" s="30"/>
      <c r="G556" s="30"/>
      <c r="H556" s="30" t="s">
        <v>150</v>
      </c>
      <c r="I556" s="31" t="s">
        <v>29</v>
      </c>
    </row>
    <row r="557" spans="2:9" s="6" customFormat="1" ht="11.25" customHeight="1" x14ac:dyDescent="0.55000000000000004">
      <c r="B557" s="30" t="s">
        <v>1194</v>
      </c>
      <c r="C557" s="30" t="s">
        <v>1195</v>
      </c>
      <c r="D557" s="32">
        <v>88480</v>
      </c>
      <c r="E557" s="30" t="s">
        <v>15</v>
      </c>
      <c r="F557" s="30"/>
      <c r="G557" s="30"/>
      <c r="H557" s="30" t="s">
        <v>150</v>
      </c>
      <c r="I557" s="31" t="s">
        <v>29</v>
      </c>
    </row>
    <row r="558" spans="2:9" s="6" customFormat="1" ht="11.25" customHeight="1" x14ac:dyDescent="0.55000000000000004">
      <c r="B558" s="30" t="s">
        <v>1196</v>
      </c>
      <c r="C558" s="30" t="s">
        <v>1197</v>
      </c>
      <c r="D558" s="32">
        <v>11804</v>
      </c>
      <c r="E558" s="30" t="s">
        <v>20</v>
      </c>
      <c r="F558" s="30" t="s">
        <v>709</v>
      </c>
      <c r="G558" s="30" t="s">
        <v>35</v>
      </c>
      <c r="H558" s="30" t="s">
        <v>150</v>
      </c>
      <c r="I558" s="31">
        <v>1248148.618</v>
      </c>
    </row>
    <row r="559" spans="2:9" s="6" customFormat="1" ht="11.25" customHeight="1" x14ac:dyDescent="0.55000000000000004">
      <c r="B559" s="30" t="s">
        <v>1198</v>
      </c>
      <c r="C559" s="30" t="s">
        <v>1199</v>
      </c>
      <c r="D559" s="32">
        <v>93769</v>
      </c>
      <c r="E559" s="30" t="s">
        <v>15</v>
      </c>
      <c r="F559" s="30" t="s">
        <v>709</v>
      </c>
      <c r="G559" s="30"/>
      <c r="H559" s="30" t="s">
        <v>150</v>
      </c>
      <c r="I559" s="31" t="s">
        <v>29</v>
      </c>
    </row>
    <row r="560" spans="2:9" s="6" customFormat="1" ht="11.25" customHeight="1" x14ac:dyDescent="0.55000000000000004">
      <c r="B560" s="30" t="s">
        <v>1200</v>
      </c>
      <c r="C560" s="30" t="s">
        <v>1201</v>
      </c>
      <c r="D560" s="32">
        <v>62340</v>
      </c>
      <c r="E560" s="30" t="s">
        <v>15</v>
      </c>
      <c r="F560" s="30"/>
      <c r="G560" s="30" t="s">
        <v>80</v>
      </c>
      <c r="H560" s="30" t="s">
        <v>113</v>
      </c>
      <c r="I560" s="31" t="s">
        <v>29</v>
      </c>
    </row>
    <row r="561" spans="2:9" s="6" customFormat="1" ht="11.25" customHeight="1" x14ac:dyDescent="0.55000000000000004">
      <c r="B561" s="30" t="s">
        <v>1202</v>
      </c>
      <c r="C561" s="30" t="s">
        <v>1203</v>
      </c>
      <c r="D561" s="32">
        <v>62367</v>
      </c>
      <c r="E561" s="30" t="s">
        <v>15</v>
      </c>
      <c r="F561" s="30"/>
      <c r="G561" s="30"/>
      <c r="H561" s="30" t="s">
        <v>556</v>
      </c>
      <c r="I561" s="31" t="s">
        <v>29</v>
      </c>
    </row>
    <row r="562" spans="2:9" s="6" customFormat="1" ht="11.25" customHeight="1" x14ac:dyDescent="0.55000000000000004">
      <c r="B562" s="30" t="s">
        <v>1204</v>
      </c>
      <c r="C562" s="30" t="s">
        <v>1205</v>
      </c>
      <c r="D562" s="32">
        <v>93378</v>
      </c>
      <c r="E562" s="30" t="s">
        <v>15</v>
      </c>
      <c r="F562" s="30"/>
      <c r="G562" s="30"/>
      <c r="H562" s="30" t="s">
        <v>75</v>
      </c>
      <c r="I562" s="31" t="s">
        <v>29</v>
      </c>
    </row>
    <row r="563" spans="2:9" s="6" customFormat="1" ht="11.25" customHeight="1" x14ac:dyDescent="0.55000000000000004">
      <c r="B563" s="30" t="s">
        <v>1206</v>
      </c>
      <c r="C563" s="30" t="s">
        <v>1207</v>
      </c>
      <c r="D563" s="32">
        <v>71730</v>
      </c>
      <c r="E563" s="30" t="s">
        <v>20</v>
      </c>
      <c r="F563" s="30" t="s">
        <v>106</v>
      </c>
      <c r="G563" s="30" t="s">
        <v>21</v>
      </c>
      <c r="H563" s="30" t="s">
        <v>655</v>
      </c>
      <c r="I563" s="31">
        <v>674274.245</v>
      </c>
    </row>
    <row r="564" spans="2:9" s="6" customFormat="1" ht="11.25" customHeight="1" x14ac:dyDescent="0.55000000000000004">
      <c r="B564" s="30" t="s">
        <v>1208</v>
      </c>
      <c r="C564" s="30" t="s">
        <v>1209</v>
      </c>
      <c r="D564" s="32">
        <v>94994</v>
      </c>
      <c r="E564" s="30" t="s">
        <v>15</v>
      </c>
      <c r="F564" s="30"/>
      <c r="G564" s="30"/>
      <c r="H564" s="30" t="s">
        <v>22</v>
      </c>
      <c r="I564" s="31" t="s">
        <v>29</v>
      </c>
    </row>
    <row r="565" spans="2:9" s="6" customFormat="1" ht="11.25" customHeight="1" x14ac:dyDescent="0.55000000000000004">
      <c r="B565" s="30" t="s">
        <v>1210</v>
      </c>
      <c r="C565" s="30" t="s">
        <v>1211</v>
      </c>
      <c r="D565" s="32">
        <v>71404</v>
      </c>
      <c r="E565" s="30" t="s">
        <v>20</v>
      </c>
      <c r="F565" s="30"/>
      <c r="G565" s="30" t="s">
        <v>39</v>
      </c>
      <c r="H565" s="30" t="s">
        <v>113</v>
      </c>
      <c r="I565" s="31">
        <v>4297281.7659999998</v>
      </c>
    </row>
    <row r="566" spans="2:9" s="6" customFormat="1" ht="11.25" customHeight="1" x14ac:dyDescent="0.55000000000000004">
      <c r="B566" s="30" t="s">
        <v>1212</v>
      </c>
      <c r="C566" s="30" t="s">
        <v>1213</v>
      </c>
      <c r="D566" s="32">
        <v>61000</v>
      </c>
      <c r="E566" s="30" t="s">
        <v>15</v>
      </c>
      <c r="F566" s="30"/>
      <c r="G566" s="30"/>
      <c r="H566" s="30" t="s">
        <v>1214</v>
      </c>
      <c r="I566" s="31" t="s">
        <v>29</v>
      </c>
    </row>
    <row r="567" spans="2:9" s="6" customFormat="1" ht="11.25" customHeight="1" x14ac:dyDescent="0.55000000000000004">
      <c r="B567" s="30" t="s">
        <v>1215</v>
      </c>
      <c r="C567" s="30" t="s">
        <v>1216</v>
      </c>
      <c r="D567" s="32">
        <v>62464</v>
      </c>
      <c r="E567" s="30" t="s">
        <v>15</v>
      </c>
      <c r="F567" s="30" t="s">
        <v>709</v>
      </c>
      <c r="G567" s="30"/>
      <c r="H567" s="30" t="s">
        <v>22</v>
      </c>
      <c r="I567" s="31" t="s">
        <v>29</v>
      </c>
    </row>
    <row r="568" spans="2:9" s="6" customFormat="1" ht="11.25" customHeight="1" x14ac:dyDescent="0.55000000000000004">
      <c r="B568" s="30" t="s">
        <v>1217</v>
      </c>
      <c r="C568" s="30" t="s">
        <v>1218</v>
      </c>
      <c r="D568" s="32">
        <v>62472</v>
      </c>
      <c r="E568" s="30" t="s">
        <v>15</v>
      </c>
      <c r="F568" s="30"/>
      <c r="G568" s="30"/>
      <c r="H568" s="30" t="s">
        <v>150</v>
      </c>
      <c r="I568" s="31" t="s">
        <v>29</v>
      </c>
    </row>
    <row r="569" spans="2:9" s="6" customFormat="1" ht="11.25" customHeight="1" x14ac:dyDescent="0.55000000000000004">
      <c r="B569" s="30" t="s">
        <v>1219</v>
      </c>
      <c r="C569" s="30" t="s">
        <v>1220</v>
      </c>
      <c r="D569" s="32">
        <v>62480</v>
      </c>
      <c r="E569" s="30" t="s">
        <v>15</v>
      </c>
      <c r="F569" s="30"/>
      <c r="G569" s="30" t="s">
        <v>35</v>
      </c>
      <c r="H569" s="30" t="s">
        <v>655</v>
      </c>
      <c r="I569" s="31" t="s">
        <v>29</v>
      </c>
    </row>
    <row r="570" spans="2:9" s="6" customFormat="1" ht="11.25" customHeight="1" x14ac:dyDescent="0.55000000000000004">
      <c r="B570" s="30" t="s">
        <v>1221</v>
      </c>
      <c r="C570" s="30" t="s">
        <v>1222</v>
      </c>
      <c r="D570" s="32">
        <v>73539</v>
      </c>
      <c r="E570" s="30" t="s">
        <v>20</v>
      </c>
      <c r="F570" s="30" t="s">
        <v>310</v>
      </c>
      <c r="G570" s="30" t="s">
        <v>16</v>
      </c>
      <c r="H570" s="30" t="s">
        <v>113</v>
      </c>
      <c r="I570" s="31">
        <v>1669.8040000000001</v>
      </c>
    </row>
    <row r="571" spans="2:9" s="6" customFormat="1" ht="11.25" customHeight="1" x14ac:dyDescent="0.55000000000000004">
      <c r="B571" s="30" t="s">
        <v>1223</v>
      </c>
      <c r="C571" s="30" t="s">
        <v>1224</v>
      </c>
      <c r="D571" s="32">
        <v>61026</v>
      </c>
      <c r="E571" s="30" t="s">
        <v>15</v>
      </c>
      <c r="F571" s="30"/>
      <c r="G571" s="30"/>
      <c r="H571" s="30" t="s">
        <v>92</v>
      </c>
      <c r="I571" s="31" t="s">
        <v>29</v>
      </c>
    </row>
    <row r="572" spans="2:9" s="6" customFormat="1" ht="11.25" customHeight="1" x14ac:dyDescent="0.55000000000000004">
      <c r="B572" s="30" t="s">
        <v>1225</v>
      </c>
      <c r="C572" s="30" t="s">
        <v>1226</v>
      </c>
      <c r="D572" s="32">
        <v>79715</v>
      </c>
      <c r="E572" s="30" t="s">
        <v>20</v>
      </c>
      <c r="F572" s="30"/>
      <c r="G572" s="30" t="s">
        <v>16</v>
      </c>
      <c r="H572" s="30" t="s">
        <v>130</v>
      </c>
      <c r="I572" s="31" t="s">
        <v>29</v>
      </c>
    </row>
    <row r="573" spans="2:9" s="6" customFormat="1" ht="11.25" customHeight="1" x14ac:dyDescent="0.55000000000000004">
      <c r="B573" s="30" t="s">
        <v>1227</v>
      </c>
      <c r="C573" s="30" t="s">
        <v>1228</v>
      </c>
      <c r="D573" s="32">
        <v>83933</v>
      </c>
      <c r="E573" s="30" t="s">
        <v>20</v>
      </c>
      <c r="F573" s="30"/>
      <c r="G573" s="30" t="s">
        <v>155</v>
      </c>
      <c r="H573" s="30" t="s">
        <v>266</v>
      </c>
      <c r="I573" s="31">
        <v>2362.1620000000003</v>
      </c>
    </row>
    <row r="574" spans="2:9" s="6" customFormat="1" ht="11.25" customHeight="1" x14ac:dyDescent="0.55000000000000004">
      <c r="B574" s="30" t="s">
        <v>1229</v>
      </c>
      <c r="C574" s="30" t="s">
        <v>1230</v>
      </c>
      <c r="D574" s="32">
        <v>71030</v>
      </c>
      <c r="E574" s="30" t="s">
        <v>15</v>
      </c>
      <c r="F574" s="30"/>
      <c r="G574" s="30" t="s">
        <v>80</v>
      </c>
      <c r="H574" s="30" t="s">
        <v>40</v>
      </c>
      <c r="I574" s="31" t="s">
        <v>29</v>
      </c>
    </row>
    <row r="575" spans="2:9" s="6" customFormat="1" ht="11.25" customHeight="1" x14ac:dyDescent="0.55000000000000004">
      <c r="B575" s="30" t="s">
        <v>1231</v>
      </c>
      <c r="C575" s="30" t="s">
        <v>1232</v>
      </c>
      <c r="D575" s="32">
        <v>74683</v>
      </c>
      <c r="E575" s="30" t="s">
        <v>15</v>
      </c>
      <c r="F575" s="30"/>
      <c r="G575" s="30"/>
      <c r="H575" s="30" t="s">
        <v>22</v>
      </c>
      <c r="I575" s="31" t="s">
        <v>29</v>
      </c>
    </row>
    <row r="576" spans="2:9" s="6" customFormat="1" ht="11.25" customHeight="1" x14ac:dyDescent="0.55000000000000004">
      <c r="B576" s="30" t="s">
        <v>1233</v>
      </c>
      <c r="C576" s="30" t="s">
        <v>1234</v>
      </c>
      <c r="D576" s="32">
        <v>83941</v>
      </c>
      <c r="E576" s="30" t="s">
        <v>15</v>
      </c>
      <c r="F576" s="30"/>
      <c r="G576" s="30" t="s">
        <v>39</v>
      </c>
      <c r="H576" s="30" t="s">
        <v>266</v>
      </c>
      <c r="I576" s="31" t="s">
        <v>29</v>
      </c>
    </row>
    <row r="577" spans="2:9" s="6" customFormat="1" ht="11.25" customHeight="1" x14ac:dyDescent="0.55000000000000004">
      <c r="B577" s="30" t="s">
        <v>1235</v>
      </c>
      <c r="C577" s="30" t="s">
        <v>1236</v>
      </c>
      <c r="D577" s="32">
        <v>62537</v>
      </c>
      <c r="E577" s="30" t="s">
        <v>20</v>
      </c>
      <c r="F577" s="30" t="s">
        <v>1237</v>
      </c>
      <c r="G577" s="30" t="s">
        <v>25</v>
      </c>
      <c r="H577" s="30" t="s">
        <v>22</v>
      </c>
      <c r="I577" s="31">
        <v>319062.93900000001</v>
      </c>
    </row>
    <row r="578" spans="2:9" s="6" customFormat="1" ht="11.25" customHeight="1" x14ac:dyDescent="0.55000000000000004">
      <c r="B578" s="30" t="s">
        <v>1237</v>
      </c>
      <c r="C578" s="30" t="s">
        <v>1238</v>
      </c>
      <c r="D578" s="32" t="s">
        <v>29</v>
      </c>
      <c r="E578" s="30" t="s">
        <v>20</v>
      </c>
      <c r="F578" s="30" t="s">
        <v>1237</v>
      </c>
      <c r="G578" s="30" t="s">
        <v>35</v>
      </c>
      <c r="H578" s="30" t="s">
        <v>22</v>
      </c>
      <c r="I578" s="31">
        <v>10425761.275</v>
      </c>
    </row>
    <row r="579" spans="2:9" s="6" customFormat="1" ht="11.25" customHeight="1" x14ac:dyDescent="0.55000000000000004">
      <c r="B579" s="30" t="s">
        <v>1239</v>
      </c>
      <c r="C579" s="30" t="s">
        <v>1240</v>
      </c>
      <c r="D579" s="32" t="s">
        <v>29</v>
      </c>
      <c r="E579" s="30" t="s">
        <v>20</v>
      </c>
      <c r="F579" s="30"/>
      <c r="G579" s="30"/>
      <c r="H579" s="30" t="s">
        <v>22</v>
      </c>
      <c r="I579" s="31" t="s">
        <v>29</v>
      </c>
    </row>
    <row r="580" spans="2:9" s="6" customFormat="1" ht="11.25" customHeight="1" x14ac:dyDescent="0.55000000000000004">
      <c r="B580" s="30" t="s">
        <v>1241</v>
      </c>
      <c r="C580" s="30" t="s">
        <v>1242</v>
      </c>
      <c r="D580" s="32">
        <v>94218</v>
      </c>
      <c r="E580" s="30" t="s">
        <v>20</v>
      </c>
      <c r="F580" s="30" t="s">
        <v>1237</v>
      </c>
      <c r="G580" s="30" t="s">
        <v>16</v>
      </c>
      <c r="H580" s="30" t="s">
        <v>22</v>
      </c>
      <c r="I580" s="31">
        <v>305537.16499999998</v>
      </c>
    </row>
    <row r="581" spans="2:9" s="6" customFormat="1" ht="11.25" customHeight="1" x14ac:dyDescent="0.55000000000000004">
      <c r="B581" s="30" t="s">
        <v>1243</v>
      </c>
      <c r="C581" s="30" t="s">
        <v>1244</v>
      </c>
      <c r="D581" s="32">
        <v>94218</v>
      </c>
      <c r="E581" s="30" t="s">
        <v>20</v>
      </c>
      <c r="F581" s="30"/>
      <c r="G581" s="30"/>
      <c r="H581" s="30" t="s">
        <v>22</v>
      </c>
      <c r="I581" s="31" t="s">
        <v>29</v>
      </c>
    </row>
    <row r="582" spans="2:9" s="6" customFormat="1" ht="11.25" customHeight="1" x14ac:dyDescent="0.55000000000000004">
      <c r="B582" s="30" t="s">
        <v>1245</v>
      </c>
      <c r="C582" s="30" t="s">
        <v>1246</v>
      </c>
      <c r="D582" s="32">
        <v>94218</v>
      </c>
      <c r="E582" s="30" t="s">
        <v>20</v>
      </c>
      <c r="F582" s="30"/>
      <c r="G582" s="30"/>
      <c r="H582" s="30" t="s">
        <v>22</v>
      </c>
      <c r="I582" s="31" t="s">
        <v>29</v>
      </c>
    </row>
    <row r="583" spans="2:9" s="6" customFormat="1" ht="11.25" customHeight="1" x14ac:dyDescent="0.55000000000000004">
      <c r="B583" s="30" t="s">
        <v>1247</v>
      </c>
      <c r="C583" s="30" t="s">
        <v>1248</v>
      </c>
      <c r="D583" s="32">
        <v>62553</v>
      </c>
      <c r="E583" s="30" t="s">
        <v>20</v>
      </c>
      <c r="F583" s="30" t="s">
        <v>1237</v>
      </c>
      <c r="G583" s="30" t="s">
        <v>35</v>
      </c>
      <c r="H583" s="30" t="s">
        <v>22</v>
      </c>
      <c r="I583" s="31">
        <v>10006220.558</v>
      </c>
    </row>
    <row r="584" spans="2:9" s="6" customFormat="1" ht="11.25" customHeight="1" x14ac:dyDescent="0.55000000000000004">
      <c r="B584" s="30" t="s">
        <v>1249</v>
      </c>
      <c r="C584" s="30" t="s">
        <v>1250</v>
      </c>
      <c r="D584" s="32">
        <v>62553</v>
      </c>
      <c r="E584" s="30" t="s">
        <v>20</v>
      </c>
      <c r="F584" s="30"/>
      <c r="G584" s="30"/>
      <c r="H584" s="30" t="s">
        <v>22</v>
      </c>
      <c r="I584" s="31" t="s">
        <v>29</v>
      </c>
    </row>
    <row r="585" spans="2:9" s="6" customFormat="1" ht="11.25" customHeight="1" x14ac:dyDescent="0.55000000000000004">
      <c r="B585" s="30" t="s">
        <v>1251</v>
      </c>
      <c r="C585" s="30" t="s">
        <v>1252</v>
      </c>
      <c r="D585" s="32">
        <v>62553</v>
      </c>
      <c r="E585" s="30" t="s">
        <v>20</v>
      </c>
      <c r="F585" s="30"/>
      <c r="G585" s="30"/>
      <c r="H585" s="30" t="s">
        <v>22</v>
      </c>
      <c r="I585" s="31" t="s">
        <v>29</v>
      </c>
    </row>
    <row r="586" spans="2:9" s="6" customFormat="1" ht="11.25" customHeight="1" x14ac:dyDescent="0.55000000000000004">
      <c r="B586" s="30" t="s">
        <v>1253</v>
      </c>
      <c r="C586" s="30" t="s">
        <v>1254</v>
      </c>
      <c r="D586" s="32">
        <v>60137</v>
      </c>
      <c r="E586" s="30" t="s">
        <v>15</v>
      </c>
      <c r="F586" s="30" t="s">
        <v>1237</v>
      </c>
      <c r="G586" s="30"/>
      <c r="H586" s="30" t="s">
        <v>22</v>
      </c>
      <c r="I586" s="31" t="s">
        <v>29</v>
      </c>
    </row>
    <row r="587" spans="2:9" s="6" customFormat="1" ht="11.25" customHeight="1" x14ac:dyDescent="0.55000000000000004">
      <c r="B587" s="30" t="s">
        <v>1255</v>
      </c>
      <c r="C587" s="30" t="s">
        <v>1256</v>
      </c>
      <c r="D587" s="32">
        <v>79600</v>
      </c>
      <c r="E587" s="30" t="s">
        <v>15</v>
      </c>
      <c r="F587" s="30"/>
      <c r="G587" s="30"/>
      <c r="H587" s="30" t="s">
        <v>52</v>
      </c>
      <c r="I587" s="31" t="s">
        <v>29</v>
      </c>
    </row>
    <row r="588" spans="2:9" s="6" customFormat="1" ht="11.25" customHeight="1" x14ac:dyDescent="0.55000000000000004">
      <c r="B588" s="30" t="s">
        <v>1257</v>
      </c>
      <c r="C588" s="30" t="s">
        <v>1258</v>
      </c>
      <c r="D588" s="32">
        <v>97853</v>
      </c>
      <c r="E588" s="30" t="s">
        <v>15</v>
      </c>
      <c r="F588" s="30"/>
      <c r="G588" s="30"/>
      <c r="H588" s="30" t="s">
        <v>63</v>
      </c>
      <c r="I588" s="31" t="s">
        <v>29</v>
      </c>
    </row>
    <row r="589" spans="2:9" s="6" customFormat="1" ht="11.25" customHeight="1" x14ac:dyDescent="0.55000000000000004">
      <c r="B589" s="30" t="s">
        <v>1259</v>
      </c>
      <c r="C589" s="30" t="s">
        <v>1260</v>
      </c>
      <c r="D589" s="32">
        <v>14679</v>
      </c>
      <c r="E589" s="30" t="s">
        <v>20</v>
      </c>
      <c r="F589" s="30"/>
      <c r="G589" s="30" t="s">
        <v>265</v>
      </c>
      <c r="H589" s="30" t="s">
        <v>429</v>
      </c>
      <c r="I589" s="31">
        <v>713500.07700000005</v>
      </c>
    </row>
    <row r="590" spans="2:9" s="6" customFormat="1" ht="11.25" customHeight="1" x14ac:dyDescent="0.55000000000000004">
      <c r="B590" s="30" t="s">
        <v>1261</v>
      </c>
      <c r="C590" s="30" t="s">
        <v>1262</v>
      </c>
      <c r="D590" s="32">
        <v>14679</v>
      </c>
      <c r="E590" s="30" t="s">
        <v>20</v>
      </c>
      <c r="F590" s="30"/>
      <c r="G590" s="30"/>
      <c r="H590" s="30" t="s">
        <v>429</v>
      </c>
      <c r="I590" s="31" t="s">
        <v>29</v>
      </c>
    </row>
    <row r="591" spans="2:9" s="6" customFormat="1" ht="11.25" customHeight="1" x14ac:dyDescent="0.55000000000000004">
      <c r="B591" s="30" t="s">
        <v>1263</v>
      </c>
      <c r="C591" s="30" t="s">
        <v>1264</v>
      </c>
      <c r="D591" s="32">
        <v>14679</v>
      </c>
      <c r="E591" s="30" t="s">
        <v>20</v>
      </c>
      <c r="F591" s="30"/>
      <c r="G591" s="30"/>
      <c r="H591" s="30" t="s">
        <v>429</v>
      </c>
      <c r="I591" s="31" t="s">
        <v>29</v>
      </c>
    </row>
    <row r="592" spans="2:9" s="6" customFormat="1" ht="11.25" customHeight="1" x14ac:dyDescent="0.55000000000000004">
      <c r="B592" s="30" t="s">
        <v>1265</v>
      </c>
      <c r="C592" s="30" t="s">
        <v>1266</v>
      </c>
      <c r="D592" s="32">
        <v>80675</v>
      </c>
      <c r="E592" s="30" t="s">
        <v>15</v>
      </c>
      <c r="F592" s="30" t="s">
        <v>884</v>
      </c>
      <c r="G592" s="30" t="s">
        <v>35</v>
      </c>
      <c r="H592" s="30" t="s">
        <v>735</v>
      </c>
      <c r="I592" s="31" t="s">
        <v>29</v>
      </c>
    </row>
    <row r="593" spans="2:9" s="6" customFormat="1" ht="11.25" customHeight="1" x14ac:dyDescent="0.55000000000000004">
      <c r="B593" s="30" t="s">
        <v>1267</v>
      </c>
      <c r="C593" s="30" t="s">
        <v>1268</v>
      </c>
      <c r="D593" s="32">
        <v>80675</v>
      </c>
      <c r="E593" s="30" t="s">
        <v>15</v>
      </c>
      <c r="F593" s="30"/>
      <c r="G593" s="30"/>
      <c r="H593" s="30" t="s">
        <v>735</v>
      </c>
      <c r="I593" s="31" t="s">
        <v>29</v>
      </c>
    </row>
    <row r="594" spans="2:9" s="6" customFormat="1" ht="11.25" customHeight="1" x14ac:dyDescent="0.55000000000000004">
      <c r="B594" s="30" t="s">
        <v>1269</v>
      </c>
      <c r="C594" s="30" t="s">
        <v>1270</v>
      </c>
      <c r="D594" s="32">
        <v>82880</v>
      </c>
      <c r="E594" s="30" t="s">
        <v>20</v>
      </c>
      <c r="F594" s="30" t="s">
        <v>786</v>
      </c>
      <c r="G594" s="30" t="s">
        <v>80</v>
      </c>
      <c r="H594" s="30" t="s">
        <v>40</v>
      </c>
      <c r="I594" s="31">
        <v>23864.696</v>
      </c>
    </row>
    <row r="595" spans="2:9" s="6" customFormat="1" ht="11.25" customHeight="1" x14ac:dyDescent="0.55000000000000004">
      <c r="B595" s="30" t="s">
        <v>1271</v>
      </c>
      <c r="C595" s="30" t="s">
        <v>1272</v>
      </c>
      <c r="D595" s="32">
        <v>74454</v>
      </c>
      <c r="E595" s="30" t="s">
        <v>15</v>
      </c>
      <c r="F595" s="30"/>
      <c r="G595" s="30"/>
      <c r="H595" s="30" t="s">
        <v>105</v>
      </c>
      <c r="I595" s="31" t="s">
        <v>29</v>
      </c>
    </row>
    <row r="596" spans="2:9" s="6" customFormat="1" ht="11.25" customHeight="1" x14ac:dyDescent="0.55000000000000004">
      <c r="B596" s="30" t="s">
        <v>1273</v>
      </c>
      <c r="C596" s="30" t="s">
        <v>1274</v>
      </c>
      <c r="D596" s="32">
        <v>76996</v>
      </c>
      <c r="E596" s="30" t="s">
        <v>15</v>
      </c>
      <c r="F596" s="30"/>
      <c r="G596" s="30"/>
      <c r="H596" s="30" t="s">
        <v>22</v>
      </c>
      <c r="I596" s="31" t="s">
        <v>29</v>
      </c>
    </row>
    <row r="597" spans="2:9" s="6" customFormat="1" ht="11.25" customHeight="1" x14ac:dyDescent="0.55000000000000004">
      <c r="B597" s="30" t="s">
        <v>1275</v>
      </c>
      <c r="C597" s="30" t="s">
        <v>1276</v>
      </c>
      <c r="D597" s="32">
        <v>60211</v>
      </c>
      <c r="E597" s="30" t="s">
        <v>15</v>
      </c>
      <c r="F597" s="30"/>
      <c r="G597" s="30"/>
      <c r="H597" s="30" t="s">
        <v>92</v>
      </c>
      <c r="I597" s="31" t="s">
        <v>29</v>
      </c>
    </row>
    <row r="598" spans="2:9" s="6" customFormat="1" ht="11.25" customHeight="1" x14ac:dyDescent="0.55000000000000004">
      <c r="B598" s="30" t="s">
        <v>1071</v>
      </c>
      <c r="C598" s="30" t="s">
        <v>1277</v>
      </c>
      <c r="D598" s="32" t="s">
        <v>29</v>
      </c>
      <c r="E598" s="30" t="s">
        <v>20</v>
      </c>
      <c r="F598" s="30" t="s">
        <v>1071</v>
      </c>
      <c r="G598" s="30" t="s">
        <v>155</v>
      </c>
      <c r="H598" s="30" t="s">
        <v>146</v>
      </c>
      <c r="I598" s="31">
        <v>21608114.911000002</v>
      </c>
    </row>
    <row r="599" spans="2:9" s="6" customFormat="1" ht="11.25" customHeight="1" x14ac:dyDescent="0.55000000000000004">
      <c r="B599" s="30" t="s">
        <v>1278</v>
      </c>
      <c r="C599" s="30" t="s">
        <v>1279</v>
      </c>
      <c r="D599" s="32" t="s">
        <v>29</v>
      </c>
      <c r="E599" s="30" t="s">
        <v>20</v>
      </c>
      <c r="F599" s="30"/>
      <c r="G599" s="30"/>
      <c r="H599" s="30" t="s">
        <v>146</v>
      </c>
      <c r="I599" s="31" t="s">
        <v>29</v>
      </c>
    </row>
    <row r="600" spans="2:9" s="6" customFormat="1" ht="11.25" customHeight="1" x14ac:dyDescent="0.55000000000000004">
      <c r="B600" s="30" t="s">
        <v>1280</v>
      </c>
      <c r="C600" s="30" t="s">
        <v>1281</v>
      </c>
      <c r="D600" s="32">
        <v>65749</v>
      </c>
      <c r="E600" s="30" t="s">
        <v>15</v>
      </c>
      <c r="F600" s="30" t="s">
        <v>1071</v>
      </c>
      <c r="G600" s="30" t="s">
        <v>155</v>
      </c>
      <c r="H600" s="30" t="s">
        <v>63</v>
      </c>
      <c r="I600" s="31" t="s">
        <v>29</v>
      </c>
    </row>
    <row r="601" spans="2:9" s="6" customFormat="1" ht="11.25" customHeight="1" x14ac:dyDescent="0.55000000000000004">
      <c r="B601" s="30" t="s">
        <v>1282</v>
      </c>
      <c r="C601" s="30" t="s">
        <v>1283</v>
      </c>
      <c r="D601" s="32">
        <v>65749</v>
      </c>
      <c r="E601" s="30" t="s">
        <v>15</v>
      </c>
      <c r="F601" s="30"/>
      <c r="G601" s="30"/>
      <c r="H601" s="30" t="s">
        <v>63</v>
      </c>
      <c r="I601" s="31" t="s">
        <v>29</v>
      </c>
    </row>
    <row r="602" spans="2:9" s="6" customFormat="1" ht="11.25" customHeight="1" x14ac:dyDescent="0.55000000000000004">
      <c r="B602" s="30" t="s">
        <v>95</v>
      </c>
      <c r="C602" s="30" t="s">
        <v>1284</v>
      </c>
      <c r="D602" s="32" t="s">
        <v>29</v>
      </c>
      <c r="E602" s="30" t="s">
        <v>20</v>
      </c>
      <c r="F602" s="30" t="s">
        <v>95</v>
      </c>
      <c r="G602" s="30" t="s">
        <v>39</v>
      </c>
      <c r="H602" s="30" t="s">
        <v>96</v>
      </c>
      <c r="I602" s="31">
        <v>23094529.134</v>
      </c>
    </row>
    <row r="603" spans="2:9" s="6" customFormat="1" ht="11.25" customHeight="1" x14ac:dyDescent="0.55000000000000004">
      <c r="B603" s="30" t="s">
        <v>1285</v>
      </c>
      <c r="C603" s="30" t="s">
        <v>1286</v>
      </c>
      <c r="D603" s="32">
        <v>14188</v>
      </c>
      <c r="E603" s="30" t="s">
        <v>20</v>
      </c>
      <c r="F603" s="30" t="s">
        <v>1287</v>
      </c>
      <c r="G603" s="30" t="s">
        <v>35</v>
      </c>
      <c r="H603" s="30" t="s">
        <v>1055</v>
      </c>
      <c r="I603" s="31">
        <v>9211.1010000000006</v>
      </c>
    </row>
    <row r="604" spans="2:9" s="6" customFormat="1" ht="11.25" customHeight="1" x14ac:dyDescent="0.55000000000000004">
      <c r="B604" s="30" t="s">
        <v>1288</v>
      </c>
      <c r="C604" s="30" t="s">
        <v>1289</v>
      </c>
      <c r="D604" s="32">
        <v>99767</v>
      </c>
      <c r="E604" s="30" t="s">
        <v>15</v>
      </c>
      <c r="F604" s="30" t="s">
        <v>989</v>
      </c>
      <c r="G604" s="30" t="s">
        <v>21</v>
      </c>
      <c r="H604" s="30" t="s">
        <v>105</v>
      </c>
      <c r="I604" s="31" t="s">
        <v>29</v>
      </c>
    </row>
    <row r="605" spans="2:9" s="6" customFormat="1" ht="11.25" customHeight="1" x14ac:dyDescent="0.55000000000000004">
      <c r="B605" s="30" t="s">
        <v>1290</v>
      </c>
      <c r="C605" s="30" t="s">
        <v>1291</v>
      </c>
      <c r="D605" s="32">
        <v>99902</v>
      </c>
      <c r="E605" s="30" t="s">
        <v>15</v>
      </c>
      <c r="F605" s="30"/>
      <c r="G605" s="30"/>
      <c r="H605" s="30" t="s">
        <v>113</v>
      </c>
      <c r="I605" s="31" t="s">
        <v>29</v>
      </c>
    </row>
    <row r="606" spans="2:9" s="6" customFormat="1" ht="11.25" customHeight="1" x14ac:dyDescent="0.55000000000000004">
      <c r="B606" s="30" t="s">
        <v>1292</v>
      </c>
      <c r="C606" s="30" t="s">
        <v>1293</v>
      </c>
      <c r="D606" s="32">
        <v>74560</v>
      </c>
      <c r="E606" s="30" t="s">
        <v>15</v>
      </c>
      <c r="F606" s="30"/>
      <c r="G606" s="30"/>
      <c r="H606" s="30" t="s">
        <v>22</v>
      </c>
      <c r="I606" s="31" t="s">
        <v>29</v>
      </c>
    </row>
    <row r="607" spans="2:9" s="6" customFormat="1" ht="11.25" customHeight="1" x14ac:dyDescent="0.55000000000000004">
      <c r="B607" s="30" t="s">
        <v>1294</v>
      </c>
      <c r="C607" s="30" t="s">
        <v>1295</v>
      </c>
      <c r="D607" s="32">
        <v>73300</v>
      </c>
      <c r="E607" s="30" t="s">
        <v>15</v>
      </c>
      <c r="F607" s="30"/>
      <c r="G607" s="30"/>
      <c r="H607" s="30" t="s">
        <v>113</v>
      </c>
      <c r="I607" s="31" t="s">
        <v>29</v>
      </c>
    </row>
    <row r="608" spans="2:9" s="6" customFormat="1" ht="11.25" customHeight="1" x14ac:dyDescent="0.55000000000000004">
      <c r="B608" s="30" t="s">
        <v>1296</v>
      </c>
      <c r="C608" s="30" t="s">
        <v>1297</v>
      </c>
      <c r="D608" s="32">
        <v>71129</v>
      </c>
      <c r="E608" s="30" t="s">
        <v>20</v>
      </c>
      <c r="F608" s="30" t="s">
        <v>759</v>
      </c>
      <c r="G608" s="30" t="s">
        <v>129</v>
      </c>
      <c r="H608" s="30" t="s">
        <v>22</v>
      </c>
      <c r="I608" s="31">
        <v>1659950.3470000001</v>
      </c>
    </row>
    <row r="609" spans="2:9" s="6" customFormat="1" ht="11.25" customHeight="1" x14ac:dyDescent="0.55000000000000004">
      <c r="B609" s="30" t="s">
        <v>1298</v>
      </c>
      <c r="C609" s="30" t="s">
        <v>1299</v>
      </c>
      <c r="D609" s="32">
        <v>71129</v>
      </c>
      <c r="E609" s="30" t="s">
        <v>20</v>
      </c>
      <c r="F609" s="30"/>
      <c r="G609" s="30"/>
      <c r="H609" s="30" t="s">
        <v>22</v>
      </c>
      <c r="I609" s="31" t="s">
        <v>29</v>
      </c>
    </row>
    <row r="610" spans="2:9" s="6" customFormat="1" ht="11.25" customHeight="1" x14ac:dyDescent="0.55000000000000004">
      <c r="B610" s="30" t="s">
        <v>759</v>
      </c>
      <c r="C610" s="30" t="s">
        <v>1300</v>
      </c>
      <c r="D610" s="32" t="s">
        <v>29</v>
      </c>
      <c r="E610" s="30" t="s">
        <v>20</v>
      </c>
      <c r="F610" s="30" t="s">
        <v>759</v>
      </c>
      <c r="G610" s="30" t="s">
        <v>129</v>
      </c>
      <c r="H610" s="30" t="s">
        <v>22</v>
      </c>
      <c r="I610" s="31">
        <v>1669765.81</v>
      </c>
    </row>
    <row r="611" spans="2:9" s="6" customFormat="1" ht="11.25" customHeight="1" x14ac:dyDescent="0.55000000000000004">
      <c r="B611" s="30" t="s">
        <v>1301</v>
      </c>
      <c r="C611" s="30" t="s">
        <v>1302</v>
      </c>
      <c r="D611" s="32" t="s">
        <v>29</v>
      </c>
      <c r="E611" s="30" t="s">
        <v>20</v>
      </c>
      <c r="F611" s="30"/>
      <c r="G611" s="30"/>
      <c r="H611" s="30" t="s">
        <v>22</v>
      </c>
      <c r="I611" s="31" t="s">
        <v>29</v>
      </c>
    </row>
    <row r="612" spans="2:9" s="6" customFormat="1" ht="11.25" customHeight="1" x14ac:dyDescent="0.55000000000000004">
      <c r="B612" s="30" t="s">
        <v>1303</v>
      </c>
      <c r="C612" s="30" t="s">
        <v>1304</v>
      </c>
      <c r="D612" s="32">
        <v>85090</v>
      </c>
      <c r="E612" s="30" t="s">
        <v>20</v>
      </c>
      <c r="F612" s="30" t="s">
        <v>759</v>
      </c>
      <c r="G612" s="30" t="s">
        <v>16</v>
      </c>
      <c r="H612" s="30" t="s">
        <v>22</v>
      </c>
      <c r="I612" s="31">
        <v>14384.928</v>
      </c>
    </row>
    <row r="613" spans="2:9" s="6" customFormat="1" ht="11.25" customHeight="1" x14ac:dyDescent="0.55000000000000004">
      <c r="B613" s="30" t="s">
        <v>1305</v>
      </c>
      <c r="C613" s="30" t="s">
        <v>1306</v>
      </c>
      <c r="D613" s="32">
        <v>85090</v>
      </c>
      <c r="E613" s="30" t="s">
        <v>20</v>
      </c>
      <c r="F613" s="30"/>
      <c r="G613" s="30"/>
      <c r="H613" s="30" t="s">
        <v>22</v>
      </c>
      <c r="I613" s="31" t="s">
        <v>29</v>
      </c>
    </row>
    <row r="614" spans="2:9" s="6" customFormat="1" ht="11.25" customHeight="1" x14ac:dyDescent="0.55000000000000004">
      <c r="B614" s="30" t="s">
        <v>1307</v>
      </c>
      <c r="C614" s="30" t="s">
        <v>1308</v>
      </c>
      <c r="D614" s="32">
        <v>60031</v>
      </c>
      <c r="E614" s="30" t="s">
        <v>15</v>
      </c>
      <c r="F614" s="30"/>
      <c r="G614" s="30"/>
      <c r="H614" s="30" t="s">
        <v>22</v>
      </c>
      <c r="I614" s="31" t="s">
        <v>29</v>
      </c>
    </row>
    <row r="615" spans="2:9" s="6" customFormat="1" ht="11.25" customHeight="1" x14ac:dyDescent="0.55000000000000004">
      <c r="B615" s="30" t="s">
        <v>1309</v>
      </c>
      <c r="C615" s="30" t="s">
        <v>1310</v>
      </c>
      <c r="D615" s="32">
        <v>62634</v>
      </c>
      <c r="E615" s="30" t="s">
        <v>20</v>
      </c>
      <c r="F615" s="30" t="s">
        <v>428</v>
      </c>
      <c r="G615" s="30" t="s">
        <v>21</v>
      </c>
      <c r="H615" s="30" t="s">
        <v>429</v>
      </c>
      <c r="I615" s="31">
        <v>115078.735</v>
      </c>
    </row>
    <row r="616" spans="2:9" s="6" customFormat="1" ht="11.25" customHeight="1" x14ac:dyDescent="0.55000000000000004">
      <c r="B616" s="30" t="s">
        <v>1311</v>
      </c>
      <c r="C616" s="30" t="s">
        <v>1312</v>
      </c>
      <c r="D616" s="32" t="s">
        <v>29</v>
      </c>
      <c r="E616" s="30" t="s">
        <v>20</v>
      </c>
      <c r="F616" s="30" t="s">
        <v>1311</v>
      </c>
      <c r="G616" s="30" t="s">
        <v>16</v>
      </c>
      <c r="H616" s="30" t="s">
        <v>582</v>
      </c>
      <c r="I616" s="31">
        <v>40054606.825000003</v>
      </c>
    </row>
    <row r="617" spans="2:9" s="6" customFormat="1" ht="11.25" customHeight="1" x14ac:dyDescent="0.55000000000000004">
      <c r="B617" s="30" t="s">
        <v>1313</v>
      </c>
      <c r="C617" s="30" t="s">
        <v>1314</v>
      </c>
      <c r="D617" s="32" t="s">
        <v>29</v>
      </c>
      <c r="E617" s="30" t="s">
        <v>20</v>
      </c>
      <c r="F617" s="30"/>
      <c r="G617" s="30"/>
      <c r="H617" s="30"/>
      <c r="I617" s="31" t="s">
        <v>29</v>
      </c>
    </row>
    <row r="618" spans="2:9" s="6" customFormat="1" ht="11.25" customHeight="1" x14ac:dyDescent="0.55000000000000004">
      <c r="B618" s="30" t="s">
        <v>1315</v>
      </c>
      <c r="C618" s="30" t="s">
        <v>1316</v>
      </c>
      <c r="D618" s="32">
        <v>72664</v>
      </c>
      <c r="E618" s="30" t="s">
        <v>20</v>
      </c>
      <c r="F618" s="30" t="s">
        <v>1311</v>
      </c>
      <c r="G618" s="30" t="s">
        <v>155</v>
      </c>
      <c r="H618" s="30" t="s">
        <v>582</v>
      </c>
      <c r="I618" s="31">
        <v>2250928.8810000001</v>
      </c>
    </row>
    <row r="619" spans="2:9" s="6" customFormat="1" ht="11.25" customHeight="1" x14ac:dyDescent="0.55000000000000004">
      <c r="B619" s="30" t="s">
        <v>1317</v>
      </c>
      <c r="C619" s="30" t="s">
        <v>1318</v>
      </c>
      <c r="D619" s="32">
        <v>72664</v>
      </c>
      <c r="E619" s="30" t="s">
        <v>20</v>
      </c>
      <c r="F619" s="30"/>
      <c r="G619" s="30"/>
      <c r="H619" s="30" t="s">
        <v>582</v>
      </c>
      <c r="I619" s="31" t="s">
        <v>29</v>
      </c>
    </row>
    <row r="620" spans="2:9" s="6" customFormat="1" ht="11.25" customHeight="1" x14ac:dyDescent="0.55000000000000004">
      <c r="B620" s="30" t="s">
        <v>1319</v>
      </c>
      <c r="C620" s="30" t="s">
        <v>1320</v>
      </c>
      <c r="D620" s="32">
        <v>72664</v>
      </c>
      <c r="E620" s="30" t="s">
        <v>20</v>
      </c>
      <c r="F620" s="30"/>
      <c r="G620" s="30"/>
      <c r="H620" s="30" t="s">
        <v>582</v>
      </c>
      <c r="I620" s="31" t="s">
        <v>29</v>
      </c>
    </row>
    <row r="621" spans="2:9" s="6" customFormat="1" ht="11.25" customHeight="1" x14ac:dyDescent="0.55000000000000004">
      <c r="B621" s="30" t="s">
        <v>1321</v>
      </c>
      <c r="C621" s="30" t="s">
        <v>1322</v>
      </c>
      <c r="D621" s="32">
        <v>72664</v>
      </c>
      <c r="E621" s="30" t="s">
        <v>20</v>
      </c>
      <c r="F621" s="30"/>
      <c r="G621" s="30"/>
      <c r="H621" s="30" t="s">
        <v>582</v>
      </c>
      <c r="I621" s="31" t="s">
        <v>29</v>
      </c>
    </row>
    <row r="622" spans="2:9" s="6" customFormat="1" ht="11.25" customHeight="1" x14ac:dyDescent="0.55000000000000004">
      <c r="B622" s="30" t="s">
        <v>1323</v>
      </c>
      <c r="C622" s="30" t="s">
        <v>1324</v>
      </c>
      <c r="D622" s="32">
        <v>79065</v>
      </c>
      <c r="E622" s="30" t="s">
        <v>20</v>
      </c>
      <c r="F622" s="30" t="s">
        <v>1311</v>
      </c>
      <c r="G622" s="30" t="s">
        <v>155</v>
      </c>
      <c r="H622" s="30" t="s">
        <v>582</v>
      </c>
      <c r="I622" s="31">
        <v>37830580.086000003</v>
      </c>
    </row>
    <row r="623" spans="2:9" s="6" customFormat="1" ht="11.25" customHeight="1" x14ac:dyDescent="0.55000000000000004">
      <c r="B623" s="30" t="s">
        <v>1325</v>
      </c>
      <c r="C623" s="30" t="s">
        <v>1326</v>
      </c>
      <c r="D623" s="32">
        <v>79065</v>
      </c>
      <c r="E623" s="30" t="s">
        <v>20</v>
      </c>
      <c r="F623" s="30"/>
      <c r="G623" s="30"/>
      <c r="H623" s="30" t="s">
        <v>582</v>
      </c>
      <c r="I623" s="31" t="s">
        <v>29</v>
      </c>
    </row>
    <row r="624" spans="2:9" s="6" customFormat="1" ht="11.25" customHeight="1" x14ac:dyDescent="0.55000000000000004">
      <c r="B624" s="30" t="s">
        <v>1327</v>
      </c>
      <c r="C624" s="30" t="s">
        <v>1328</v>
      </c>
      <c r="D624" s="32">
        <v>79065</v>
      </c>
      <c r="E624" s="30" t="s">
        <v>20</v>
      </c>
      <c r="F624" s="30"/>
      <c r="G624" s="30"/>
      <c r="H624" s="30" t="s">
        <v>582</v>
      </c>
      <c r="I624" s="31" t="s">
        <v>29</v>
      </c>
    </row>
    <row r="625" spans="2:9" s="6" customFormat="1" ht="11.25" customHeight="1" x14ac:dyDescent="0.55000000000000004">
      <c r="B625" s="30" t="s">
        <v>1329</v>
      </c>
      <c r="C625" s="30" t="s">
        <v>1330</v>
      </c>
      <c r="D625" s="32">
        <v>79065</v>
      </c>
      <c r="E625" s="30" t="s">
        <v>20</v>
      </c>
      <c r="F625" s="30"/>
      <c r="G625" s="30"/>
      <c r="H625" s="30" t="s">
        <v>582</v>
      </c>
      <c r="I625" s="31" t="s">
        <v>29</v>
      </c>
    </row>
    <row r="626" spans="2:9" s="6" customFormat="1" ht="11.25" customHeight="1" x14ac:dyDescent="0.55000000000000004">
      <c r="B626" s="30" t="s">
        <v>1331</v>
      </c>
      <c r="C626" s="30" t="s">
        <v>1332</v>
      </c>
      <c r="D626" s="32">
        <v>65145</v>
      </c>
      <c r="E626" s="30" t="s">
        <v>15</v>
      </c>
      <c r="F626" s="30" t="s">
        <v>273</v>
      </c>
      <c r="G626" s="30"/>
      <c r="H626" s="30" t="s">
        <v>86</v>
      </c>
      <c r="I626" s="31" t="s">
        <v>29</v>
      </c>
    </row>
    <row r="627" spans="2:9" s="6" customFormat="1" ht="11.25" customHeight="1" x14ac:dyDescent="0.55000000000000004">
      <c r="B627" s="30" t="s">
        <v>1333</v>
      </c>
      <c r="C627" s="30" t="s">
        <v>1334</v>
      </c>
      <c r="D627" s="32">
        <v>62650</v>
      </c>
      <c r="E627" s="30" t="s">
        <v>20</v>
      </c>
      <c r="F627" s="30" t="s">
        <v>401</v>
      </c>
      <c r="G627" s="30" t="s">
        <v>35</v>
      </c>
      <c r="H627" s="30" t="s">
        <v>108</v>
      </c>
      <c r="I627" s="31">
        <v>69561.350999999995</v>
      </c>
    </row>
    <row r="628" spans="2:9" s="6" customFormat="1" ht="11.25" customHeight="1" x14ac:dyDescent="0.55000000000000004">
      <c r="B628" s="30" t="s">
        <v>1335</v>
      </c>
      <c r="C628" s="30" t="s">
        <v>1336</v>
      </c>
      <c r="D628" s="32">
        <v>88803</v>
      </c>
      <c r="E628" s="30" t="s">
        <v>15</v>
      </c>
      <c r="F628" s="30"/>
      <c r="G628" s="30"/>
      <c r="H628" s="30" t="s">
        <v>86</v>
      </c>
      <c r="I628" s="31" t="s">
        <v>29</v>
      </c>
    </row>
    <row r="629" spans="2:9" s="6" customFormat="1" ht="11.25" customHeight="1" x14ac:dyDescent="0.55000000000000004">
      <c r="B629" s="30" t="s">
        <v>1337</v>
      </c>
      <c r="C629" s="30" t="s">
        <v>1338</v>
      </c>
      <c r="D629" s="32">
        <v>81019</v>
      </c>
      <c r="E629" s="30" t="s">
        <v>20</v>
      </c>
      <c r="F629" s="30" t="s">
        <v>766</v>
      </c>
      <c r="G629" s="30" t="s">
        <v>25</v>
      </c>
      <c r="H629" s="30" t="s">
        <v>89</v>
      </c>
      <c r="I629" s="31">
        <v>28884.583000000002</v>
      </c>
    </row>
    <row r="630" spans="2:9" s="6" customFormat="1" ht="11.25" customHeight="1" x14ac:dyDescent="0.55000000000000004">
      <c r="B630" s="30" t="s">
        <v>1339</v>
      </c>
      <c r="C630" s="30" t="s">
        <v>1340</v>
      </c>
      <c r="D630" s="32">
        <v>89003</v>
      </c>
      <c r="E630" s="30" t="s">
        <v>15</v>
      </c>
      <c r="F630" s="30"/>
      <c r="G630" s="30" t="s">
        <v>16</v>
      </c>
      <c r="H630" s="30" t="s">
        <v>22</v>
      </c>
      <c r="I630" s="31" t="s">
        <v>29</v>
      </c>
    </row>
    <row r="631" spans="2:9" s="6" customFormat="1" ht="11.25" customHeight="1" x14ac:dyDescent="0.55000000000000004">
      <c r="B631" s="30" t="s">
        <v>1341</v>
      </c>
      <c r="C631" s="30" t="s">
        <v>1342</v>
      </c>
      <c r="D631" s="32">
        <v>97705</v>
      </c>
      <c r="E631" s="30" t="s">
        <v>20</v>
      </c>
      <c r="F631" s="30" t="s">
        <v>1343</v>
      </c>
      <c r="G631" s="30" t="s">
        <v>35</v>
      </c>
      <c r="H631" s="30" t="s">
        <v>92</v>
      </c>
      <c r="I631" s="31">
        <v>29550.904999999999</v>
      </c>
    </row>
    <row r="632" spans="2:9" s="6" customFormat="1" ht="11.25" customHeight="1" x14ac:dyDescent="0.55000000000000004">
      <c r="B632" s="30" t="s">
        <v>1344</v>
      </c>
      <c r="C632" s="30" t="s">
        <v>1345</v>
      </c>
      <c r="D632" s="32">
        <v>80004</v>
      </c>
      <c r="E632" s="30" t="s">
        <v>15</v>
      </c>
      <c r="F632" s="30"/>
      <c r="G632" s="30"/>
      <c r="H632" s="30" t="s">
        <v>75</v>
      </c>
      <c r="I632" s="31" t="s">
        <v>29</v>
      </c>
    </row>
    <row r="633" spans="2:9" s="6" customFormat="1" ht="11.25" customHeight="1" x14ac:dyDescent="0.55000000000000004">
      <c r="B633" s="30" t="s">
        <v>1346</v>
      </c>
      <c r="C633" s="30" t="s">
        <v>1347</v>
      </c>
      <c r="D633" s="32">
        <v>73660</v>
      </c>
      <c r="E633" s="30" t="s">
        <v>20</v>
      </c>
      <c r="F633" s="30"/>
      <c r="G633" s="30" t="s">
        <v>35</v>
      </c>
      <c r="H633" s="30" t="s">
        <v>45</v>
      </c>
      <c r="I633" s="31">
        <v>38295.548999999999</v>
      </c>
    </row>
    <row r="634" spans="2:9" s="6" customFormat="1" ht="11.25" customHeight="1" x14ac:dyDescent="0.55000000000000004">
      <c r="B634" s="30" t="s">
        <v>1348</v>
      </c>
      <c r="C634" s="30" t="s">
        <v>1349</v>
      </c>
      <c r="D634" s="32">
        <v>15690</v>
      </c>
      <c r="E634" s="30" t="s">
        <v>20</v>
      </c>
      <c r="F634" s="30" t="s">
        <v>1311</v>
      </c>
      <c r="G634" s="30" t="s">
        <v>16</v>
      </c>
      <c r="H634" s="30" t="s">
        <v>582</v>
      </c>
      <c r="I634" s="31">
        <v>375008.60399999999</v>
      </c>
    </row>
    <row r="635" spans="2:9" s="6" customFormat="1" ht="11.25" customHeight="1" x14ac:dyDescent="0.55000000000000004">
      <c r="B635" s="30" t="s">
        <v>1350</v>
      </c>
      <c r="C635" s="30" t="s">
        <v>1351</v>
      </c>
      <c r="D635" s="32">
        <v>73733</v>
      </c>
      <c r="E635" s="30" t="s">
        <v>15</v>
      </c>
      <c r="F635" s="30"/>
      <c r="G635" s="30" t="s">
        <v>35</v>
      </c>
      <c r="H635" s="30" t="s">
        <v>66</v>
      </c>
      <c r="I635" s="31" t="s">
        <v>29</v>
      </c>
    </row>
    <row r="636" spans="2:9" s="6" customFormat="1" ht="11.25" customHeight="1" x14ac:dyDescent="0.55000000000000004">
      <c r="B636" s="30" t="s">
        <v>1352</v>
      </c>
      <c r="C636" s="30" t="s">
        <v>1353</v>
      </c>
      <c r="D636" s="32">
        <v>86851</v>
      </c>
      <c r="E636" s="30" t="s">
        <v>15</v>
      </c>
      <c r="F636" s="30"/>
      <c r="G636" s="30"/>
      <c r="H636" s="30" t="s">
        <v>30</v>
      </c>
      <c r="I636" s="31" t="s">
        <v>29</v>
      </c>
    </row>
    <row r="637" spans="2:9" s="6" customFormat="1" ht="11.25" customHeight="1" x14ac:dyDescent="0.55000000000000004">
      <c r="B637" s="30" t="s">
        <v>1354</v>
      </c>
      <c r="C637" s="30" t="s">
        <v>1355</v>
      </c>
      <c r="D637" s="32">
        <v>86070</v>
      </c>
      <c r="E637" s="30" t="s">
        <v>15</v>
      </c>
      <c r="F637" s="30"/>
      <c r="G637" s="30"/>
      <c r="H637" s="30" t="s">
        <v>48</v>
      </c>
      <c r="I637" s="31" t="s">
        <v>29</v>
      </c>
    </row>
    <row r="638" spans="2:9" s="6" customFormat="1" ht="11.25" customHeight="1" x14ac:dyDescent="0.55000000000000004">
      <c r="B638" s="30" t="s">
        <v>1356</v>
      </c>
      <c r="C638" s="30" t="s">
        <v>1357</v>
      </c>
      <c r="D638" s="32">
        <v>70108</v>
      </c>
      <c r="E638" s="30" t="s">
        <v>15</v>
      </c>
      <c r="F638" s="30"/>
      <c r="G638" s="30"/>
      <c r="H638" s="30" t="s">
        <v>22</v>
      </c>
      <c r="I638" s="31" t="s">
        <v>29</v>
      </c>
    </row>
    <row r="639" spans="2:9" s="6" customFormat="1" ht="11.25" customHeight="1" x14ac:dyDescent="0.55000000000000004">
      <c r="B639" s="30" t="s">
        <v>1358</v>
      </c>
      <c r="C639" s="30" t="s">
        <v>1359</v>
      </c>
      <c r="D639" s="32">
        <v>83089</v>
      </c>
      <c r="E639" s="30" t="s">
        <v>15</v>
      </c>
      <c r="F639" s="30"/>
      <c r="G639" s="30"/>
      <c r="H639" s="30" t="s">
        <v>105</v>
      </c>
      <c r="I639" s="31" t="s">
        <v>29</v>
      </c>
    </row>
    <row r="640" spans="2:9" s="6" customFormat="1" ht="11.25" customHeight="1" x14ac:dyDescent="0.55000000000000004">
      <c r="B640" s="30" t="s">
        <v>1360</v>
      </c>
      <c r="C640" s="30" t="s">
        <v>1361</v>
      </c>
      <c r="D640" s="32">
        <v>74608</v>
      </c>
      <c r="E640" s="30" t="s">
        <v>15</v>
      </c>
      <c r="F640" s="30"/>
      <c r="G640" s="30"/>
      <c r="H640" s="30" t="s">
        <v>22</v>
      </c>
      <c r="I640" s="31" t="s">
        <v>29</v>
      </c>
    </row>
    <row r="641" spans="2:9" s="6" customFormat="1" ht="11.25" customHeight="1" x14ac:dyDescent="0.55000000000000004">
      <c r="B641" s="30" t="s">
        <v>1362</v>
      </c>
      <c r="C641" s="30" t="s">
        <v>1363</v>
      </c>
      <c r="D641" s="32">
        <v>60043</v>
      </c>
      <c r="E641" s="30" t="s">
        <v>15</v>
      </c>
      <c r="F641" s="30"/>
      <c r="G641" s="30"/>
      <c r="H641" s="30" t="s">
        <v>105</v>
      </c>
      <c r="I641" s="31" t="s">
        <v>29</v>
      </c>
    </row>
    <row r="642" spans="2:9" s="6" customFormat="1" ht="11.25" customHeight="1" x14ac:dyDescent="0.55000000000000004">
      <c r="B642" s="30" t="s">
        <v>1364</v>
      </c>
      <c r="C642" s="30" t="s">
        <v>1365</v>
      </c>
      <c r="D642" s="32">
        <v>94137</v>
      </c>
      <c r="E642" s="30" t="s">
        <v>15</v>
      </c>
      <c r="F642" s="30"/>
      <c r="G642" s="30"/>
      <c r="H642" s="30" t="s">
        <v>66</v>
      </c>
      <c r="I642" s="31" t="s">
        <v>29</v>
      </c>
    </row>
    <row r="643" spans="2:9" s="6" customFormat="1" ht="11.25" customHeight="1" x14ac:dyDescent="0.55000000000000004">
      <c r="B643" s="30" t="s">
        <v>1366</v>
      </c>
      <c r="C643" s="30" t="s">
        <v>1367</v>
      </c>
      <c r="D643" s="32">
        <v>13183</v>
      </c>
      <c r="E643" s="30" t="s">
        <v>20</v>
      </c>
      <c r="F643" s="30" t="s">
        <v>232</v>
      </c>
      <c r="G643" s="30" t="s">
        <v>155</v>
      </c>
      <c r="H643" s="30" t="s">
        <v>63</v>
      </c>
      <c r="I643" s="31">
        <v>1689866.0590000001</v>
      </c>
    </row>
    <row r="644" spans="2:9" s="6" customFormat="1" ht="11.25" customHeight="1" x14ac:dyDescent="0.55000000000000004">
      <c r="B644" s="30" t="s">
        <v>1368</v>
      </c>
      <c r="C644" s="30" t="s">
        <v>1369</v>
      </c>
      <c r="D644" s="32">
        <v>98523</v>
      </c>
      <c r="E644" s="30" t="s">
        <v>15</v>
      </c>
      <c r="F644" s="30"/>
      <c r="G644" s="30"/>
      <c r="H644" s="30" t="s">
        <v>105</v>
      </c>
      <c r="I644" s="31" t="s">
        <v>29</v>
      </c>
    </row>
    <row r="645" spans="2:9" s="6" customFormat="1" ht="11.25" customHeight="1" x14ac:dyDescent="0.55000000000000004">
      <c r="B645" s="30" t="s">
        <v>1370</v>
      </c>
      <c r="C645" s="30" t="s">
        <v>1371</v>
      </c>
      <c r="D645" s="32">
        <v>62804</v>
      </c>
      <c r="E645" s="30" t="s">
        <v>15</v>
      </c>
      <c r="F645" s="30" t="s">
        <v>51</v>
      </c>
      <c r="G645" s="30" t="s">
        <v>21</v>
      </c>
      <c r="H645" s="30" t="s">
        <v>75</v>
      </c>
      <c r="I645" s="31" t="s">
        <v>29</v>
      </c>
    </row>
    <row r="646" spans="2:9" s="6" customFormat="1" ht="11.25" customHeight="1" x14ac:dyDescent="0.55000000000000004">
      <c r="B646" s="30" t="s">
        <v>1372</v>
      </c>
      <c r="C646" s="30" t="s">
        <v>1373</v>
      </c>
      <c r="D646" s="32">
        <v>60034</v>
      </c>
      <c r="E646" s="30" t="s">
        <v>15</v>
      </c>
      <c r="F646" s="30"/>
      <c r="G646" s="30"/>
      <c r="H646" s="30" t="s">
        <v>92</v>
      </c>
      <c r="I646" s="31" t="s">
        <v>29</v>
      </c>
    </row>
    <row r="647" spans="2:9" s="6" customFormat="1" ht="11.25" customHeight="1" x14ac:dyDescent="0.55000000000000004">
      <c r="B647" s="30" t="s">
        <v>1374</v>
      </c>
      <c r="C647" s="30" t="s">
        <v>1375</v>
      </c>
      <c r="D647" s="32">
        <v>60044</v>
      </c>
      <c r="E647" s="30" t="s">
        <v>15</v>
      </c>
      <c r="F647" s="30"/>
      <c r="G647" s="30"/>
      <c r="H647" s="30" t="s">
        <v>22</v>
      </c>
      <c r="I647" s="31" t="s">
        <v>29</v>
      </c>
    </row>
    <row r="648" spans="2:9" s="6" customFormat="1" ht="11.25" customHeight="1" x14ac:dyDescent="0.55000000000000004">
      <c r="B648" s="30" t="s">
        <v>1376</v>
      </c>
      <c r="C648" s="30" t="s">
        <v>1377</v>
      </c>
      <c r="D648" s="32">
        <v>90913</v>
      </c>
      <c r="E648" s="30" t="s">
        <v>15</v>
      </c>
      <c r="F648" s="30"/>
      <c r="G648" s="30"/>
      <c r="H648" s="30" t="s">
        <v>262</v>
      </c>
      <c r="I648" s="31" t="s">
        <v>29</v>
      </c>
    </row>
    <row r="649" spans="2:9" s="6" customFormat="1" ht="11.25" customHeight="1" x14ac:dyDescent="0.55000000000000004">
      <c r="B649" s="30" t="s">
        <v>1378</v>
      </c>
      <c r="C649" s="30" t="s">
        <v>1379</v>
      </c>
      <c r="D649" s="32">
        <v>77020</v>
      </c>
      <c r="E649" s="30" t="s">
        <v>15</v>
      </c>
      <c r="F649" s="30"/>
      <c r="G649" s="30"/>
      <c r="H649" s="30" t="s">
        <v>89</v>
      </c>
      <c r="I649" s="31" t="s">
        <v>29</v>
      </c>
    </row>
    <row r="650" spans="2:9" s="6" customFormat="1" ht="11.25" customHeight="1" x14ac:dyDescent="0.55000000000000004">
      <c r="B650" s="30" t="s">
        <v>1380</v>
      </c>
      <c r="C650" s="30" t="s">
        <v>1381</v>
      </c>
      <c r="D650" s="32">
        <v>75892</v>
      </c>
      <c r="E650" s="30" t="s">
        <v>15</v>
      </c>
      <c r="F650" s="30"/>
      <c r="G650" s="30" t="s">
        <v>16</v>
      </c>
      <c r="H650" s="30" t="s">
        <v>22</v>
      </c>
      <c r="I650" s="31" t="s">
        <v>29</v>
      </c>
    </row>
    <row r="651" spans="2:9" s="6" customFormat="1" ht="11.25" customHeight="1" x14ac:dyDescent="0.55000000000000004">
      <c r="B651" s="30" t="s">
        <v>1382</v>
      </c>
      <c r="C651" s="30" t="s">
        <v>1383</v>
      </c>
      <c r="D651" s="32">
        <v>62790</v>
      </c>
      <c r="E651" s="30" t="s">
        <v>20</v>
      </c>
      <c r="F651" s="30" t="s">
        <v>1384</v>
      </c>
      <c r="G651" s="30" t="s">
        <v>35</v>
      </c>
      <c r="H651" s="30" t="s">
        <v>22</v>
      </c>
      <c r="I651" s="31">
        <v>341098.80100000004</v>
      </c>
    </row>
    <row r="652" spans="2:9" s="6" customFormat="1" ht="11.25" customHeight="1" x14ac:dyDescent="0.55000000000000004">
      <c r="B652" s="30" t="s">
        <v>1385</v>
      </c>
      <c r="C652" s="30" t="s">
        <v>1386</v>
      </c>
      <c r="D652" s="32">
        <v>89699</v>
      </c>
      <c r="E652" s="30" t="s">
        <v>15</v>
      </c>
      <c r="F652" s="30"/>
      <c r="G652" s="30"/>
      <c r="H652" s="30" t="s">
        <v>239</v>
      </c>
      <c r="I652" s="31" t="s">
        <v>29</v>
      </c>
    </row>
    <row r="653" spans="2:9" s="6" customFormat="1" ht="11.25" customHeight="1" x14ac:dyDescent="0.55000000000000004">
      <c r="B653" s="30" t="s">
        <v>1387</v>
      </c>
      <c r="C653" s="30" t="s">
        <v>1388</v>
      </c>
      <c r="D653" s="32">
        <v>84174</v>
      </c>
      <c r="E653" s="30" t="s">
        <v>20</v>
      </c>
      <c r="F653" s="30"/>
      <c r="G653" s="30" t="s">
        <v>155</v>
      </c>
      <c r="H653" s="30" t="s">
        <v>22</v>
      </c>
      <c r="I653" s="31">
        <v>941429.73400000005</v>
      </c>
    </row>
    <row r="654" spans="2:9" s="6" customFormat="1" ht="11.25" customHeight="1" x14ac:dyDescent="0.55000000000000004">
      <c r="B654" s="30" t="s">
        <v>1389</v>
      </c>
      <c r="C654" s="30" t="s">
        <v>1390</v>
      </c>
      <c r="D654" s="32">
        <v>75639</v>
      </c>
      <c r="E654" s="30" t="s">
        <v>15</v>
      </c>
      <c r="F654" s="30"/>
      <c r="G654" s="30"/>
      <c r="H654" s="30" t="s">
        <v>89</v>
      </c>
      <c r="I654" s="31" t="s">
        <v>29</v>
      </c>
    </row>
    <row r="655" spans="2:9" s="6" customFormat="1" ht="11.25" customHeight="1" x14ac:dyDescent="0.55000000000000004">
      <c r="B655" s="30" t="s">
        <v>1391</v>
      </c>
      <c r="C655" s="30" t="s">
        <v>1392</v>
      </c>
      <c r="D655" s="32">
        <v>85561</v>
      </c>
      <c r="E655" s="30" t="s">
        <v>20</v>
      </c>
      <c r="F655" s="30" t="s">
        <v>1393</v>
      </c>
      <c r="G655" s="30" t="s">
        <v>21</v>
      </c>
      <c r="H655" s="30" t="s">
        <v>22</v>
      </c>
      <c r="I655" s="31">
        <v>38533.031999999999</v>
      </c>
    </row>
    <row r="656" spans="2:9" s="6" customFormat="1" ht="11.25" customHeight="1" x14ac:dyDescent="0.55000000000000004">
      <c r="B656" s="30" t="s">
        <v>1394</v>
      </c>
      <c r="C656" s="30" t="s">
        <v>1395</v>
      </c>
      <c r="D656" s="32">
        <v>62928</v>
      </c>
      <c r="E656" s="30" t="s">
        <v>20</v>
      </c>
      <c r="F656" s="30"/>
      <c r="G656" s="30" t="s">
        <v>35</v>
      </c>
      <c r="H656" s="30" t="s">
        <v>63</v>
      </c>
      <c r="I656" s="31">
        <v>886517.99100000004</v>
      </c>
    </row>
    <row r="657" spans="2:9" s="6" customFormat="1" ht="11.25" customHeight="1" x14ac:dyDescent="0.55000000000000004">
      <c r="B657" s="30" t="s">
        <v>1396</v>
      </c>
      <c r="C657" s="30" t="s">
        <v>1397</v>
      </c>
      <c r="D657" s="32">
        <v>62928</v>
      </c>
      <c r="E657" s="30" t="s">
        <v>20</v>
      </c>
      <c r="F657" s="30"/>
      <c r="G657" s="30"/>
      <c r="H657" s="30" t="s">
        <v>63</v>
      </c>
      <c r="I657" s="31" t="s">
        <v>29</v>
      </c>
    </row>
    <row r="658" spans="2:9" s="6" customFormat="1" ht="11.25" customHeight="1" x14ac:dyDescent="0.55000000000000004">
      <c r="B658" s="30" t="s">
        <v>1398</v>
      </c>
      <c r="C658" s="30" t="s">
        <v>1399</v>
      </c>
      <c r="D658" s="32">
        <v>62928</v>
      </c>
      <c r="E658" s="30" t="s">
        <v>20</v>
      </c>
      <c r="F658" s="30"/>
      <c r="G658" s="30"/>
      <c r="H658" s="30" t="s">
        <v>63</v>
      </c>
      <c r="I658" s="31" t="s">
        <v>29</v>
      </c>
    </row>
    <row r="659" spans="2:9" s="6" customFormat="1" ht="11.25" customHeight="1" x14ac:dyDescent="0.55000000000000004">
      <c r="B659" s="30" t="s">
        <v>1400</v>
      </c>
      <c r="C659" s="30" t="s">
        <v>1401</v>
      </c>
      <c r="D659" s="32">
        <v>88595</v>
      </c>
      <c r="E659" s="30" t="s">
        <v>20</v>
      </c>
      <c r="F659" s="30"/>
      <c r="G659" s="30"/>
      <c r="H659" s="30" t="s">
        <v>278</v>
      </c>
      <c r="I659" s="31" t="s">
        <v>29</v>
      </c>
    </row>
    <row r="660" spans="2:9" s="6" customFormat="1" ht="11.25" customHeight="1" x14ac:dyDescent="0.55000000000000004">
      <c r="B660" s="30" t="s">
        <v>1402</v>
      </c>
      <c r="C660" s="30" t="s">
        <v>1403</v>
      </c>
      <c r="D660" s="32">
        <v>71228</v>
      </c>
      <c r="E660" s="30" t="s">
        <v>20</v>
      </c>
      <c r="F660" s="30" t="s">
        <v>1404</v>
      </c>
      <c r="G660" s="30" t="s">
        <v>155</v>
      </c>
      <c r="H660" s="30" t="s">
        <v>556</v>
      </c>
      <c r="I660" s="31">
        <v>3216680.389</v>
      </c>
    </row>
    <row r="661" spans="2:9" s="6" customFormat="1" ht="11.25" customHeight="1" x14ac:dyDescent="0.55000000000000004">
      <c r="B661" s="30" t="s">
        <v>1405</v>
      </c>
      <c r="C661" s="30" t="s">
        <v>1406</v>
      </c>
      <c r="D661" s="32">
        <v>71228</v>
      </c>
      <c r="E661" s="30" t="s">
        <v>20</v>
      </c>
      <c r="F661" s="30"/>
      <c r="G661" s="30"/>
      <c r="H661" s="30" t="s">
        <v>556</v>
      </c>
      <c r="I661" s="31" t="s">
        <v>29</v>
      </c>
    </row>
    <row r="662" spans="2:9" s="6" customFormat="1" ht="11.25" customHeight="1" x14ac:dyDescent="0.55000000000000004">
      <c r="B662" s="30" t="s">
        <v>1407</v>
      </c>
      <c r="C662" s="30" t="s">
        <v>1408</v>
      </c>
      <c r="D662" s="32">
        <v>71228</v>
      </c>
      <c r="E662" s="30" t="s">
        <v>20</v>
      </c>
      <c r="F662" s="30"/>
      <c r="G662" s="30"/>
      <c r="H662" s="30" t="s">
        <v>556</v>
      </c>
      <c r="I662" s="31" t="s">
        <v>29</v>
      </c>
    </row>
    <row r="663" spans="2:9" s="6" customFormat="1" ht="11.25" customHeight="1" x14ac:dyDescent="0.55000000000000004">
      <c r="B663" s="30" t="s">
        <v>1409</v>
      </c>
      <c r="C663" s="30" t="s">
        <v>1410</v>
      </c>
      <c r="D663" s="32">
        <v>94285</v>
      </c>
      <c r="E663" s="30" t="s">
        <v>15</v>
      </c>
      <c r="F663" s="30" t="s">
        <v>970</v>
      </c>
      <c r="G663" s="30" t="s">
        <v>35</v>
      </c>
      <c r="H663" s="30" t="s">
        <v>48</v>
      </c>
      <c r="I663" s="31" t="s">
        <v>29</v>
      </c>
    </row>
    <row r="664" spans="2:9" s="6" customFormat="1" ht="11.25" customHeight="1" x14ac:dyDescent="0.55000000000000004">
      <c r="B664" s="30" t="s">
        <v>1411</v>
      </c>
      <c r="C664" s="30" t="s">
        <v>1412</v>
      </c>
      <c r="D664" s="32">
        <v>62820</v>
      </c>
      <c r="E664" s="30" t="s">
        <v>15</v>
      </c>
      <c r="F664" s="30" t="s">
        <v>503</v>
      </c>
      <c r="G664" s="30"/>
      <c r="H664" s="30" t="s">
        <v>17</v>
      </c>
      <c r="I664" s="31" t="s">
        <v>29</v>
      </c>
    </row>
    <row r="665" spans="2:9" s="6" customFormat="1" ht="11.25" customHeight="1" x14ac:dyDescent="0.55000000000000004">
      <c r="B665" s="30" t="s">
        <v>1413</v>
      </c>
      <c r="C665" s="30" t="s">
        <v>1414</v>
      </c>
      <c r="D665" s="32">
        <v>62901</v>
      </c>
      <c r="E665" s="30" t="s">
        <v>15</v>
      </c>
      <c r="F665" s="30" t="s">
        <v>1415</v>
      </c>
      <c r="G665" s="30"/>
      <c r="H665" s="30" t="s">
        <v>146</v>
      </c>
      <c r="I665" s="31" t="s">
        <v>29</v>
      </c>
    </row>
    <row r="666" spans="2:9" s="6" customFormat="1" ht="11.25" customHeight="1" x14ac:dyDescent="0.55000000000000004">
      <c r="B666" s="30" t="s">
        <v>1416</v>
      </c>
      <c r="C666" s="30" t="s">
        <v>1417</v>
      </c>
      <c r="D666" s="32">
        <v>62901</v>
      </c>
      <c r="E666" s="30" t="s">
        <v>15</v>
      </c>
      <c r="F666" s="30"/>
      <c r="G666" s="30"/>
      <c r="H666" s="30" t="s">
        <v>146</v>
      </c>
      <c r="I666" s="31" t="s">
        <v>29</v>
      </c>
    </row>
    <row r="667" spans="2:9" s="6" customFormat="1" ht="11.25" customHeight="1" x14ac:dyDescent="0.55000000000000004">
      <c r="B667" s="30" t="s">
        <v>1418</v>
      </c>
      <c r="C667" s="30" t="s">
        <v>1419</v>
      </c>
      <c r="D667" s="32">
        <v>77356</v>
      </c>
      <c r="E667" s="30" t="s">
        <v>15</v>
      </c>
      <c r="F667" s="30"/>
      <c r="G667" s="30"/>
      <c r="H667" s="30" t="s">
        <v>655</v>
      </c>
      <c r="I667" s="31" t="s">
        <v>29</v>
      </c>
    </row>
    <row r="668" spans="2:9" s="6" customFormat="1" ht="11.25" customHeight="1" x14ac:dyDescent="0.55000000000000004">
      <c r="B668" s="30" t="s">
        <v>1420</v>
      </c>
      <c r="C668" s="30" t="s">
        <v>1421</v>
      </c>
      <c r="D668" s="32">
        <v>16460</v>
      </c>
      <c r="E668" s="30" t="s">
        <v>20</v>
      </c>
      <c r="F668" s="30"/>
      <c r="G668" s="30" t="s">
        <v>21</v>
      </c>
      <c r="H668" s="30" t="s">
        <v>865</v>
      </c>
      <c r="I668" s="31">
        <v>3516.3519999999999</v>
      </c>
    </row>
    <row r="669" spans="2:9" s="6" customFormat="1" ht="11.25" customHeight="1" x14ac:dyDescent="0.55000000000000004">
      <c r="B669" s="30" t="s">
        <v>1422</v>
      </c>
      <c r="C669" s="30" t="s">
        <v>1423</v>
      </c>
      <c r="D669" s="32">
        <v>68276</v>
      </c>
      <c r="E669" s="30" t="s">
        <v>20</v>
      </c>
      <c r="F669" s="30" t="s">
        <v>1424</v>
      </c>
      <c r="G669" s="30" t="s">
        <v>35</v>
      </c>
      <c r="H669" s="30" t="s">
        <v>86</v>
      </c>
      <c r="I669" s="31">
        <v>17871785.579</v>
      </c>
    </row>
    <row r="670" spans="2:9" s="6" customFormat="1" ht="11.25" customHeight="1" x14ac:dyDescent="0.55000000000000004">
      <c r="B670" s="30" t="s">
        <v>1425</v>
      </c>
      <c r="C670" s="30" t="s">
        <v>1426</v>
      </c>
      <c r="D670" s="32">
        <v>89087</v>
      </c>
      <c r="E670" s="30" t="s">
        <v>20</v>
      </c>
      <c r="F670" s="30" t="s">
        <v>149</v>
      </c>
      <c r="G670" s="30" t="s">
        <v>21</v>
      </c>
      <c r="H670" s="30" t="s">
        <v>113</v>
      </c>
      <c r="I670" s="31">
        <v>110298.04000000001</v>
      </c>
    </row>
    <row r="671" spans="2:9" s="6" customFormat="1" ht="11.25" customHeight="1" x14ac:dyDescent="0.55000000000000004">
      <c r="B671" s="30" t="s">
        <v>1427</v>
      </c>
      <c r="C671" s="30" t="s">
        <v>1428</v>
      </c>
      <c r="D671" s="32">
        <v>64149</v>
      </c>
      <c r="E671" s="30" t="s">
        <v>20</v>
      </c>
      <c r="F671" s="30"/>
      <c r="G671" s="30" t="s">
        <v>129</v>
      </c>
      <c r="H671" s="30" t="s">
        <v>146</v>
      </c>
      <c r="I671" s="31">
        <v>30771.368000000002</v>
      </c>
    </row>
    <row r="672" spans="2:9" s="6" customFormat="1" ht="11.25" customHeight="1" x14ac:dyDescent="0.55000000000000004">
      <c r="B672" s="30" t="s">
        <v>1429</v>
      </c>
      <c r="C672" s="30" t="s">
        <v>1430</v>
      </c>
      <c r="D672" s="32">
        <v>60130</v>
      </c>
      <c r="E672" s="30" t="s">
        <v>15</v>
      </c>
      <c r="F672" s="30" t="s">
        <v>1124</v>
      </c>
      <c r="G672" s="30"/>
      <c r="H672" s="30" t="s">
        <v>63</v>
      </c>
      <c r="I672" s="31" t="s">
        <v>29</v>
      </c>
    </row>
    <row r="673" spans="2:9" s="6" customFormat="1" ht="11.25" customHeight="1" x14ac:dyDescent="0.55000000000000004">
      <c r="B673" s="30" t="s">
        <v>5536</v>
      </c>
      <c r="C673" s="30" t="s">
        <v>2881</v>
      </c>
      <c r="D673" s="32">
        <v>78077</v>
      </c>
      <c r="E673" s="30" t="s">
        <v>20</v>
      </c>
      <c r="F673" s="30" t="s">
        <v>683</v>
      </c>
      <c r="G673" s="30" t="s">
        <v>35</v>
      </c>
      <c r="H673" s="30" t="s">
        <v>124</v>
      </c>
      <c r="I673" s="31">
        <v>4460548.7630000003</v>
      </c>
    </row>
    <row r="674" spans="2:9" s="6" customFormat="1" ht="11.25" customHeight="1" x14ac:dyDescent="0.55000000000000004">
      <c r="B674" s="30" t="s">
        <v>5537</v>
      </c>
      <c r="C674" s="30" t="s">
        <v>2882</v>
      </c>
      <c r="D674" s="32">
        <v>78077</v>
      </c>
      <c r="E674" s="30" t="s">
        <v>20</v>
      </c>
      <c r="F674" s="30"/>
      <c r="G674" s="30"/>
      <c r="H674" s="30" t="s">
        <v>124</v>
      </c>
      <c r="I674" s="31" t="s">
        <v>29</v>
      </c>
    </row>
    <row r="675" spans="2:9" s="6" customFormat="1" ht="11.25" customHeight="1" x14ac:dyDescent="0.55000000000000004">
      <c r="B675" s="30" t="s">
        <v>5538</v>
      </c>
      <c r="C675" s="30" t="s">
        <v>2883</v>
      </c>
      <c r="D675" s="32">
        <v>78077</v>
      </c>
      <c r="E675" s="30" t="s">
        <v>20</v>
      </c>
      <c r="F675" s="30"/>
      <c r="G675" s="30"/>
      <c r="H675" s="30" t="s">
        <v>124</v>
      </c>
      <c r="I675" s="31" t="s">
        <v>29</v>
      </c>
    </row>
    <row r="676" spans="2:9" s="6" customFormat="1" ht="11.25" customHeight="1" x14ac:dyDescent="0.55000000000000004">
      <c r="B676" s="30" t="s">
        <v>5539</v>
      </c>
      <c r="C676" s="30" t="s">
        <v>2884</v>
      </c>
      <c r="D676" s="32">
        <v>78077</v>
      </c>
      <c r="E676" s="30" t="s">
        <v>20</v>
      </c>
      <c r="F676" s="30"/>
      <c r="G676" s="30"/>
      <c r="H676" s="30" t="s">
        <v>124</v>
      </c>
      <c r="I676" s="31" t="s">
        <v>29</v>
      </c>
    </row>
    <row r="677" spans="2:9" s="6" customFormat="1" ht="11.25" customHeight="1" x14ac:dyDescent="0.55000000000000004">
      <c r="B677" s="30" t="s">
        <v>5540</v>
      </c>
      <c r="C677" s="30" t="s">
        <v>687</v>
      </c>
      <c r="D677" s="32">
        <v>62944</v>
      </c>
      <c r="E677" s="30" t="s">
        <v>20</v>
      </c>
      <c r="F677" s="30" t="s">
        <v>683</v>
      </c>
      <c r="G677" s="30" t="s">
        <v>155</v>
      </c>
      <c r="H677" s="30" t="s">
        <v>124</v>
      </c>
      <c r="I677" s="31">
        <v>216330651.21799999</v>
      </c>
    </row>
    <row r="678" spans="2:9" s="6" customFormat="1" ht="11.25" customHeight="1" x14ac:dyDescent="0.55000000000000004">
      <c r="B678" s="30" t="s">
        <v>5541</v>
      </c>
      <c r="C678" s="30" t="s">
        <v>688</v>
      </c>
      <c r="D678" s="32">
        <v>62944</v>
      </c>
      <c r="E678" s="30" t="s">
        <v>20</v>
      </c>
      <c r="F678" s="30"/>
      <c r="G678" s="30"/>
      <c r="H678" s="30" t="s">
        <v>124</v>
      </c>
      <c r="I678" s="31" t="s">
        <v>29</v>
      </c>
    </row>
    <row r="679" spans="2:9" s="6" customFormat="1" ht="11.25" customHeight="1" x14ac:dyDescent="0.55000000000000004">
      <c r="B679" s="30" t="s">
        <v>5542</v>
      </c>
      <c r="C679" s="30" t="s">
        <v>689</v>
      </c>
      <c r="D679" s="32">
        <v>62944</v>
      </c>
      <c r="E679" s="30" t="s">
        <v>20</v>
      </c>
      <c r="F679" s="30"/>
      <c r="G679" s="30"/>
      <c r="H679" s="30" t="s">
        <v>124</v>
      </c>
      <c r="I679" s="31" t="s">
        <v>29</v>
      </c>
    </row>
    <row r="680" spans="2:9" s="6" customFormat="1" ht="11.25" customHeight="1" x14ac:dyDescent="0.55000000000000004">
      <c r="B680" s="30" t="s">
        <v>5543</v>
      </c>
      <c r="C680" s="30" t="s">
        <v>690</v>
      </c>
      <c r="D680" s="32">
        <v>62944</v>
      </c>
      <c r="E680" s="30" t="s">
        <v>20</v>
      </c>
      <c r="F680" s="30"/>
      <c r="G680" s="30"/>
      <c r="H680" s="30" t="s">
        <v>124</v>
      </c>
      <c r="I680" s="31" t="s">
        <v>29</v>
      </c>
    </row>
    <row r="681" spans="2:9" s="6" customFormat="1" ht="11.25" customHeight="1" x14ac:dyDescent="0.55000000000000004">
      <c r="B681" s="30" t="s">
        <v>683</v>
      </c>
      <c r="C681" s="30" t="s">
        <v>1431</v>
      </c>
      <c r="D681" s="32" t="s">
        <v>29</v>
      </c>
      <c r="E681" s="30" t="s">
        <v>20</v>
      </c>
      <c r="F681" s="30" t="s">
        <v>683</v>
      </c>
      <c r="G681" s="30" t="s">
        <v>155</v>
      </c>
      <c r="H681" s="30" t="s">
        <v>124</v>
      </c>
      <c r="I681" s="31">
        <v>222156421.67000002</v>
      </c>
    </row>
    <row r="682" spans="2:9" s="6" customFormat="1" ht="11.25" customHeight="1" x14ac:dyDescent="0.55000000000000004">
      <c r="B682" s="30" t="s">
        <v>1432</v>
      </c>
      <c r="C682" s="30" t="s">
        <v>1433</v>
      </c>
      <c r="D682" s="32" t="s">
        <v>29</v>
      </c>
      <c r="E682" s="30" t="s">
        <v>20</v>
      </c>
      <c r="F682" s="30"/>
      <c r="G682" s="30"/>
      <c r="H682" s="30" t="s">
        <v>124</v>
      </c>
      <c r="I682" s="31" t="s">
        <v>29</v>
      </c>
    </row>
    <row r="683" spans="2:9" s="6" customFormat="1" ht="11.25" customHeight="1" x14ac:dyDescent="0.55000000000000004">
      <c r="B683" s="30" t="s">
        <v>1434</v>
      </c>
      <c r="C683" s="30" t="s">
        <v>1435</v>
      </c>
      <c r="D683" s="32">
        <v>62952</v>
      </c>
      <c r="E683" s="30" t="s">
        <v>20</v>
      </c>
      <c r="F683" s="30" t="s">
        <v>1436</v>
      </c>
      <c r="G683" s="30" t="s">
        <v>155</v>
      </c>
      <c r="H683" s="30" t="s">
        <v>89</v>
      </c>
      <c r="I683" s="31">
        <v>1636173.672</v>
      </c>
    </row>
    <row r="684" spans="2:9" s="6" customFormat="1" ht="11.25" customHeight="1" x14ac:dyDescent="0.55000000000000004">
      <c r="B684" s="30" t="s">
        <v>1437</v>
      </c>
      <c r="C684" s="30" t="s">
        <v>1438</v>
      </c>
      <c r="D684" s="32">
        <v>62979</v>
      </c>
      <c r="E684" s="30" t="s">
        <v>15</v>
      </c>
      <c r="F684" s="30"/>
      <c r="G684" s="30"/>
      <c r="H684" s="30" t="s">
        <v>108</v>
      </c>
      <c r="I684" s="31" t="s">
        <v>29</v>
      </c>
    </row>
    <row r="685" spans="2:9" s="6" customFormat="1" ht="11.25" customHeight="1" x14ac:dyDescent="0.55000000000000004">
      <c r="B685" s="30" t="s">
        <v>1439</v>
      </c>
      <c r="C685" s="30" t="s">
        <v>1440</v>
      </c>
      <c r="D685" s="32">
        <v>62979</v>
      </c>
      <c r="E685" s="30" t="s">
        <v>15</v>
      </c>
      <c r="F685" s="30"/>
      <c r="G685" s="30"/>
      <c r="H685" s="30" t="s">
        <v>108</v>
      </c>
      <c r="I685" s="31" t="s">
        <v>29</v>
      </c>
    </row>
    <row r="686" spans="2:9" s="6" customFormat="1" ht="11.25" customHeight="1" x14ac:dyDescent="0.55000000000000004">
      <c r="B686" s="30" t="s">
        <v>1441</v>
      </c>
      <c r="C686" s="30" t="s">
        <v>1442</v>
      </c>
      <c r="D686" s="32">
        <v>91785</v>
      </c>
      <c r="E686" s="30" t="s">
        <v>20</v>
      </c>
      <c r="F686" s="30" t="s">
        <v>1436</v>
      </c>
      <c r="G686" s="30" t="s">
        <v>39</v>
      </c>
      <c r="H686" s="30" t="s">
        <v>89</v>
      </c>
      <c r="I686" s="31">
        <v>13528.101000000001</v>
      </c>
    </row>
    <row r="687" spans="2:9" s="6" customFormat="1" ht="11.25" customHeight="1" x14ac:dyDescent="0.55000000000000004">
      <c r="B687" s="30" t="s">
        <v>1443</v>
      </c>
      <c r="C687" s="30" t="s">
        <v>1444</v>
      </c>
      <c r="D687" s="32">
        <v>81361</v>
      </c>
      <c r="E687" s="30" t="s">
        <v>15</v>
      </c>
      <c r="F687" s="30" t="s">
        <v>683</v>
      </c>
      <c r="G687" s="30"/>
      <c r="H687" s="30" t="s">
        <v>124</v>
      </c>
      <c r="I687" s="31" t="s">
        <v>29</v>
      </c>
    </row>
    <row r="688" spans="2:9" s="6" customFormat="1" ht="11.25" customHeight="1" x14ac:dyDescent="0.55000000000000004">
      <c r="B688" s="30" t="s">
        <v>1445</v>
      </c>
      <c r="C688" s="30" t="s">
        <v>1446</v>
      </c>
      <c r="D688" s="32">
        <v>81361</v>
      </c>
      <c r="E688" s="30" t="s">
        <v>15</v>
      </c>
      <c r="F688" s="30"/>
      <c r="G688" s="30"/>
      <c r="H688" s="30" t="s">
        <v>124</v>
      </c>
      <c r="I688" s="31" t="s">
        <v>29</v>
      </c>
    </row>
    <row r="689" spans="2:9" s="6" customFormat="1" ht="11.25" customHeight="1" x14ac:dyDescent="0.55000000000000004">
      <c r="B689" s="30" t="s">
        <v>1447</v>
      </c>
      <c r="C689" s="30" t="s">
        <v>1448</v>
      </c>
      <c r="D689" s="32">
        <v>62510</v>
      </c>
      <c r="E689" s="30" t="s">
        <v>20</v>
      </c>
      <c r="F689" s="30"/>
      <c r="G689" s="30" t="s">
        <v>155</v>
      </c>
      <c r="H689" s="30" t="s">
        <v>22</v>
      </c>
      <c r="I689" s="31">
        <v>20735507.490000002</v>
      </c>
    </row>
    <row r="690" spans="2:9" s="6" customFormat="1" ht="11.25" customHeight="1" x14ac:dyDescent="0.55000000000000004">
      <c r="B690" s="30" t="s">
        <v>1449</v>
      </c>
      <c r="C690" s="30" t="s">
        <v>1450</v>
      </c>
      <c r="D690" s="32">
        <v>62510</v>
      </c>
      <c r="E690" s="30" t="s">
        <v>20</v>
      </c>
      <c r="F690" s="30"/>
      <c r="G690" s="30"/>
      <c r="H690" s="30" t="s">
        <v>22</v>
      </c>
      <c r="I690" s="31" t="s">
        <v>29</v>
      </c>
    </row>
    <row r="691" spans="2:9" s="6" customFormat="1" ht="11.25" customHeight="1" x14ac:dyDescent="0.55000000000000004">
      <c r="B691" s="30" t="s">
        <v>1451</v>
      </c>
      <c r="C691" s="30" t="s">
        <v>1452</v>
      </c>
      <c r="D691" s="32">
        <v>62510</v>
      </c>
      <c r="E691" s="30" t="s">
        <v>20</v>
      </c>
      <c r="F691" s="30"/>
      <c r="G691" s="30"/>
      <c r="H691" s="30" t="s">
        <v>22</v>
      </c>
      <c r="I691" s="31" t="s">
        <v>29</v>
      </c>
    </row>
    <row r="692" spans="2:9" s="6" customFormat="1" ht="11.25" customHeight="1" x14ac:dyDescent="0.55000000000000004">
      <c r="B692" s="30" t="s">
        <v>1453</v>
      </c>
      <c r="C692" s="30" t="s">
        <v>1454</v>
      </c>
      <c r="D692" s="32">
        <v>62510</v>
      </c>
      <c r="E692" s="30" t="s">
        <v>20</v>
      </c>
      <c r="F692" s="30"/>
      <c r="G692" s="30"/>
      <c r="H692" s="30" t="s">
        <v>22</v>
      </c>
      <c r="I692" s="31" t="s">
        <v>29</v>
      </c>
    </row>
    <row r="693" spans="2:9" s="6" customFormat="1" ht="11.25" customHeight="1" x14ac:dyDescent="0.55000000000000004">
      <c r="B693" s="30" t="s">
        <v>1455</v>
      </c>
      <c r="C693" s="30" t="s">
        <v>1456</v>
      </c>
      <c r="D693" s="32">
        <v>62510</v>
      </c>
      <c r="E693" s="30" t="s">
        <v>20</v>
      </c>
      <c r="F693" s="30"/>
      <c r="G693" s="30"/>
      <c r="H693" s="30" t="s">
        <v>22</v>
      </c>
      <c r="I693" s="31" t="s">
        <v>29</v>
      </c>
    </row>
    <row r="694" spans="2:9" s="6" customFormat="1" ht="11.25" customHeight="1" x14ac:dyDescent="0.55000000000000004">
      <c r="B694" s="30" t="s">
        <v>1457</v>
      </c>
      <c r="C694" s="30" t="s">
        <v>1458</v>
      </c>
      <c r="D694" s="32">
        <v>70769</v>
      </c>
      <c r="E694" s="30" t="s">
        <v>20</v>
      </c>
      <c r="F694" s="30"/>
      <c r="G694" s="30" t="s">
        <v>35</v>
      </c>
      <c r="H694" s="30" t="s">
        <v>75</v>
      </c>
      <c r="I694" s="31">
        <v>2677483.6839999999</v>
      </c>
    </row>
    <row r="695" spans="2:9" s="6" customFormat="1" ht="11.25" customHeight="1" x14ac:dyDescent="0.55000000000000004">
      <c r="B695" s="30" t="s">
        <v>1459</v>
      </c>
      <c r="C695" s="30" t="s">
        <v>1460</v>
      </c>
      <c r="D695" s="32">
        <v>91332</v>
      </c>
      <c r="E695" s="30" t="s">
        <v>15</v>
      </c>
      <c r="F695" s="30"/>
      <c r="G695" s="30" t="s">
        <v>35</v>
      </c>
      <c r="H695" s="30" t="s">
        <v>266</v>
      </c>
      <c r="I695" s="31" t="s">
        <v>29</v>
      </c>
    </row>
    <row r="696" spans="2:9" s="6" customFormat="1" ht="11.25" customHeight="1" x14ac:dyDescent="0.55000000000000004">
      <c r="B696" s="30" t="s">
        <v>1461</v>
      </c>
      <c r="C696" s="30" t="s">
        <v>1462</v>
      </c>
      <c r="D696" s="32">
        <v>60082</v>
      </c>
      <c r="E696" s="30" t="s">
        <v>15</v>
      </c>
      <c r="F696" s="30"/>
      <c r="G696" s="30"/>
      <c r="H696" s="30" t="s">
        <v>22</v>
      </c>
      <c r="I696" s="31" t="s">
        <v>29</v>
      </c>
    </row>
    <row r="697" spans="2:9" s="6" customFormat="1" ht="11.25" customHeight="1" x14ac:dyDescent="0.55000000000000004">
      <c r="B697" s="30" t="s">
        <v>1463</v>
      </c>
      <c r="C697" s="30" t="s">
        <v>1464</v>
      </c>
      <c r="D697" s="32">
        <v>72621</v>
      </c>
      <c r="E697" s="30" t="s">
        <v>15</v>
      </c>
      <c r="F697" s="30"/>
      <c r="G697" s="30"/>
      <c r="H697" s="30" t="s">
        <v>278</v>
      </c>
      <c r="I697" s="31" t="s">
        <v>29</v>
      </c>
    </row>
    <row r="698" spans="2:9" s="6" customFormat="1" ht="11.25" customHeight="1" x14ac:dyDescent="0.55000000000000004">
      <c r="B698" s="30" t="s">
        <v>1465</v>
      </c>
      <c r="C698" s="30" t="s">
        <v>1466</v>
      </c>
      <c r="D698" s="32">
        <v>73946</v>
      </c>
      <c r="E698" s="30" t="s">
        <v>15</v>
      </c>
      <c r="F698" s="30"/>
      <c r="G698" s="30" t="s">
        <v>35</v>
      </c>
      <c r="H698" s="30" t="s">
        <v>66</v>
      </c>
      <c r="I698" s="31" t="s">
        <v>29</v>
      </c>
    </row>
    <row r="699" spans="2:9" s="6" customFormat="1" ht="11.25" customHeight="1" x14ac:dyDescent="0.55000000000000004">
      <c r="B699" s="30" t="s">
        <v>1467</v>
      </c>
      <c r="C699" s="30" t="s">
        <v>1468</v>
      </c>
      <c r="D699" s="32">
        <v>74209</v>
      </c>
      <c r="E699" s="30" t="s">
        <v>20</v>
      </c>
      <c r="F699" s="30"/>
      <c r="G699" s="30" t="s">
        <v>16</v>
      </c>
      <c r="H699" s="30" t="s">
        <v>150</v>
      </c>
      <c r="I699" s="31">
        <v>20823.026000000002</v>
      </c>
    </row>
    <row r="700" spans="2:9" s="6" customFormat="1" ht="11.25" customHeight="1" x14ac:dyDescent="0.55000000000000004">
      <c r="B700" s="30" t="s">
        <v>1469</v>
      </c>
      <c r="C700" s="30" t="s">
        <v>1470</v>
      </c>
      <c r="D700" s="32">
        <v>83232</v>
      </c>
      <c r="E700" s="30" t="s">
        <v>20</v>
      </c>
      <c r="F700" s="30"/>
      <c r="G700" s="30" t="s">
        <v>16</v>
      </c>
      <c r="H700" s="30" t="s">
        <v>385</v>
      </c>
      <c r="I700" s="31">
        <v>1491.865</v>
      </c>
    </row>
    <row r="701" spans="2:9" s="6" customFormat="1" ht="11.25" customHeight="1" x14ac:dyDescent="0.55000000000000004">
      <c r="B701" s="30" t="s">
        <v>1471</v>
      </c>
      <c r="C701" s="30" t="s">
        <v>1472</v>
      </c>
      <c r="D701" s="32">
        <v>60132</v>
      </c>
      <c r="E701" s="30" t="s">
        <v>15</v>
      </c>
      <c r="F701" s="30" t="s">
        <v>1000</v>
      </c>
      <c r="G701" s="30"/>
      <c r="H701" s="30" t="s">
        <v>113</v>
      </c>
      <c r="I701" s="31" t="s">
        <v>29</v>
      </c>
    </row>
    <row r="702" spans="2:9" s="6" customFormat="1" ht="11.25" customHeight="1" x14ac:dyDescent="0.55000000000000004">
      <c r="B702" s="30" t="s">
        <v>1473</v>
      </c>
      <c r="C702" s="30" t="s">
        <v>1474</v>
      </c>
      <c r="D702" s="32">
        <v>65965</v>
      </c>
      <c r="E702" s="30" t="s">
        <v>15</v>
      </c>
      <c r="F702" s="30"/>
      <c r="G702" s="30"/>
      <c r="H702" s="30" t="s">
        <v>179</v>
      </c>
      <c r="I702" s="31" t="s">
        <v>29</v>
      </c>
    </row>
    <row r="703" spans="2:9" s="6" customFormat="1" ht="11.25" customHeight="1" x14ac:dyDescent="0.55000000000000004">
      <c r="B703" s="30" t="s">
        <v>1475</v>
      </c>
      <c r="C703" s="30" t="s">
        <v>1476</v>
      </c>
      <c r="D703" s="32">
        <v>72400</v>
      </c>
      <c r="E703" s="30" t="s">
        <v>15</v>
      </c>
      <c r="F703" s="30"/>
      <c r="G703" s="30"/>
      <c r="H703" s="30" t="s">
        <v>30</v>
      </c>
      <c r="I703" s="31" t="s">
        <v>29</v>
      </c>
    </row>
    <row r="704" spans="2:9" s="6" customFormat="1" ht="11.25" customHeight="1" x14ac:dyDescent="0.55000000000000004">
      <c r="B704" s="30" t="s">
        <v>1477</v>
      </c>
      <c r="C704" s="30" t="s">
        <v>1478</v>
      </c>
      <c r="D704" s="32">
        <v>82147</v>
      </c>
      <c r="E704" s="30" t="s">
        <v>15</v>
      </c>
      <c r="F704" s="30"/>
      <c r="G704" s="30"/>
      <c r="H704" s="30" t="s">
        <v>45</v>
      </c>
      <c r="I704" s="31" t="s">
        <v>29</v>
      </c>
    </row>
    <row r="705" spans="2:9" s="6" customFormat="1" ht="11.25" customHeight="1" x14ac:dyDescent="0.55000000000000004">
      <c r="B705" s="30" t="s">
        <v>1479</v>
      </c>
      <c r="C705" s="30" t="s">
        <v>1480</v>
      </c>
      <c r="D705" s="32">
        <v>70742</v>
      </c>
      <c r="E705" s="30" t="s">
        <v>20</v>
      </c>
      <c r="F705" s="30" t="s">
        <v>5544</v>
      </c>
      <c r="G705" s="30" t="s">
        <v>155</v>
      </c>
      <c r="H705" s="30" t="s">
        <v>45</v>
      </c>
      <c r="I705" s="31">
        <v>244782.255</v>
      </c>
    </row>
    <row r="706" spans="2:9" s="6" customFormat="1" ht="11.25" customHeight="1" x14ac:dyDescent="0.55000000000000004">
      <c r="B706" s="30" t="s">
        <v>1481</v>
      </c>
      <c r="C706" s="30" t="s">
        <v>1482</v>
      </c>
      <c r="D706" s="32">
        <v>76570</v>
      </c>
      <c r="E706" s="30" t="s">
        <v>15</v>
      </c>
      <c r="F706" s="30"/>
      <c r="G706" s="30"/>
      <c r="H706" s="30" t="s">
        <v>66</v>
      </c>
      <c r="I706" s="31" t="s">
        <v>29</v>
      </c>
    </row>
    <row r="707" spans="2:9" s="6" customFormat="1" ht="11.25" customHeight="1" x14ac:dyDescent="0.55000000000000004">
      <c r="B707" s="30" t="s">
        <v>1483</v>
      </c>
      <c r="C707" s="30" t="s">
        <v>1484</v>
      </c>
      <c r="D707" s="32">
        <v>75302</v>
      </c>
      <c r="E707" s="30" t="s">
        <v>15</v>
      </c>
      <c r="F707" s="30"/>
      <c r="G707" s="30"/>
      <c r="H707" s="30" t="s">
        <v>179</v>
      </c>
      <c r="I707" s="31" t="s">
        <v>29</v>
      </c>
    </row>
    <row r="708" spans="2:9" s="6" customFormat="1" ht="11.25" customHeight="1" x14ac:dyDescent="0.55000000000000004">
      <c r="B708" s="30" t="s">
        <v>1485</v>
      </c>
      <c r="C708" s="30" t="s">
        <v>1486</v>
      </c>
      <c r="D708" s="32">
        <v>77968</v>
      </c>
      <c r="E708" s="30" t="s">
        <v>20</v>
      </c>
      <c r="F708" s="30" t="s">
        <v>396</v>
      </c>
      <c r="G708" s="30" t="s">
        <v>39</v>
      </c>
      <c r="H708" s="30" t="s">
        <v>313</v>
      </c>
      <c r="I708" s="31">
        <v>1287309.169</v>
      </c>
    </row>
    <row r="709" spans="2:9" s="6" customFormat="1" ht="11.25" customHeight="1" x14ac:dyDescent="0.55000000000000004">
      <c r="B709" s="30" t="s">
        <v>1487</v>
      </c>
      <c r="C709" s="30" t="s">
        <v>1488</v>
      </c>
      <c r="D709" s="32">
        <v>63045</v>
      </c>
      <c r="E709" s="30" t="s">
        <v>15</v>
      </c>
      <c r="F709" s="30"/>
      <c r="G709" s="30"/>
      <c r="H709" s="30" t="s">
        <v>113</v>
      </c>
      <c r="I709" s="31" t="s">
        <v>29</v>
      </c>
    </row>
    <row r="710" spans="2:9" s="6" customFormat="1" ht="11.25" customHeight="1" x14ac:dyDescent="0.55000000000000004">
      <c r="B710" s="30" t="s">
        <v>1489</v>
      </c>
      <c r="C710" s="30" t="s">
        <v>1490</v>
      </c>
      <c r="D710" s="32">
        <v>85928</v>
      </c>
      <c r="E710" s="30" t="s">
        <v>20</v>
      </c>
      <c r="F710" s="30"/>
      <c r="G710" s="30" t="s">
        <v>155</v>
      </c>
      <c r="H710" s="30" t="s">
        <v>113</v>
      </c>
      <c r="I710" s="31">
        <v>34411.870999999999</v>
      </c>
    </row>
    <row r="711" spans="2:9" s="6" customFormat="1" ht="11.25" customHeight="1" x14ac:dyDescent="0.55000000000000004">
      <c r="B711" s="30" t="s">
        <v>1491</v>
      </c>
      <c r="C711" s="30" t="s">
        <v>1492</v>
      </c>
      <c r="D711" s="32">
        <v>82473</v>
      </c>
      <c r="E711" s="30" t="s">
        <v>15</v>
      </c>
      <c r="F711" s="30"/>
      <c r="G711" s="30"/>
      <c r="H711" s="30" t="s">
        <v>113</v>
      </c>
      <c r="I711" s="31" t="s">
        <v>29</v>
      </c>
    </row>
    <row r="712" spans="2:9" s="6" customFormat="1" ht="11.25" customHeight="1" x14ac:dyDescent="0.55000000000000004">
      <c r="B712" s="30" t="s">
        <v>1493</v>
      </c>
      <c r="C712" s="30" t="s">
        <v>1494</v>
      </c>
      <c r="D712" s="32">
        <v>63053</v>
      </c>
      <c r="E712" s="30" t="s">
        <v>20</v>
      </c>
      <c r="F712" s="30" t="s">
        <v>992</v>
      </c>
      <c r="G712" s="30" t="s">
        <v>194</v>
      </c>
      <c r="H712" s="30" t="s">
        <v>113</v>
      </c>
      <c r="I712" s="31">
        <v>141171.89800000002</v>
      </c>
    </row>
    <row r="713" spans="2:9" s="6" customFormat="1" ht="11.25" customHeight="1" x14ac:dyDescent="0.55000000000000004">
      <c r="B713" s="30" t="s">
        <v>1495</v>
      </c>
      <c r="C713" s="30" t="s">
        <v>1496</v>
      </c>
      <c r="D713" s="32">
        <v>63053</v>
      </c>
      <c r="E713" s="30" t="s">
        <v>20</v>
      </c>
      <c r="F713" s="30"/>
      <c r="G713" s="30"/>
      <c r="H713" s="30" t="s">
        <v>113</v>
      </c>
      <c r="I713" s="31" t="s">
        <v>29</v>
      </c>
    </row>
    <row r="714" spans="2:9" s="6" customFormat="1" ht="11.25" customHeight="1" x14ac:dyDescent="0.55000000000000004">
      <c r="B714" s="30" t="s">
        <v>1497</v>
      </c>
      <c r="C714" s="30" t="s">
        <v>1498</v>
      </c>
      <c r="D714" s="32">
        <v>75337</v>
      </c>
      <c r="E714" s="30" t="s">
        <v>20</v>
      </c>
      <c r="F714" s="30"/>
      <c r="G714" s="30" t="s">
        <v>35</v>
      </c>
      <c r="H714" s="30" t="s">
        <v>179</v>
      </c>
      <c r="I714" s="31">
        <v>6876.07</v>
      </c>
    </row>
    <row r="715" spans="2:9" s="6" customFormat="1" ht="11.25" customHeight="1" x14ac:dyDescent="0.55000000000000004">
      <c r="B715" s="30" t="s">
        <v>1499</v>
      </c>
      <c r="C715" s="30" t="s">
        <v>1500</v>
      </c>
      <c r="D715" s="32">
        <v>74004</v>
      </c>
      <c r="E715" s="30" t="s">
        <v>20</v>
      </c>
      <c r="F715" s="30" t="s">
        <v>792</v>
      </c>
      <c r="G715" s="30" t="s">
        <v>35</v>
      </c>
      <c r="H715" s="30" t="s">
        <v>124</v>
      </c>
      <c r="I715" s="31">
        <v>284516.80499999999</v>
      </c>
    </row>
    <row r="716" spans="2:9" s="6" customFormat="1" ht="11.25" customHeight="1" x14ac:dyDescent="0.55000000000000004">
      <c r="B716" s="30" t="s">
        <v>1501</v>
      </c>
      <c r="C716" s="30" t="s">
        <v>1502</v>
      </c>
      <c r="D716" s="32">
        <v>63096</v>
      </c>
      <c r="E716" s="30" t="s">
        <v>20</v>
      </c>
      <c r="F716" s="30" t="s">
        <v>1022</v>
      </c>
      <c r="G716" s="30" t="s">
        <v>35</v>
      </c>
      <c r="H716" s="30" t="s">
        <v>30</v>
      </c>
      <c r="I716" s="31">
        <v>2574326.7850000001</v>
      </c>
    </row>
    <row r="717" spans="2:9" s="6" customFormat="1" ht="11.25" customHeight="1" x14ac:dyDescent="0.55000000000000004">
      <c r="B717" s="30" t="s">
        <v>1503</v>
      </c>
      <c r="C717" s="30" t="s">
        <v>1504</v>
      </c>
      <c r="D717" s="32">
        <v>63118</v>
      </c>
      <c r="E717" s="30" t="s">
        <v>20</v>
      </c>
      <c r="F717" s="30" t="s">
        <v>1505</v>
      </c>
      <c r="G717" s="30" t="s">
        <v>35</v>
      </c>
      <c r="H717" s="30" t="s">
        <v>500</v>
      </c>
      <c r="I717" s="31">
        <v>632715.89399999997</v>
      </c>
    </row>
    <row r="718" spans="2:9" s="6" customFormat="1" ht="11.25" customHeight="1" x14ac:dyDescent="0.55000000000000004">
      <c r="B718" s="30" t="s">
        <v>1506</v>
      </c>
      <c r="C718" s="30" t="s">
        <v>1507</v>
      </c>
      <c r="D718" s="32">
        <v>63088</v>
      </c>
      <c r="E718" s="30" t="s">
        <v>20</v>
      </c>
      <c r="F718" s="30" t="s">
        <v>1508</v>
      </c>
      <c r="G718" s="30" t="s">
        <v>265</v>
      </c>
      <c r="H718" s="30" t="s">
        <v>63</v>
      </c>
      <c r="I718" s="31">
        <v>9340682.5219999999</v>
      </c>
    </row>
    <row r="719" spans="2:9" s="6" customFormat="1" ht="11.25" customHeight="1" x14ac:dyDescent="0.55000000000000004">
      <c r="B719" s="30" t="s">
        <v>1509</v>
      </c>
      <c r="C719" s="30" t="s">
        <v>1510</v>
      </c>
      <c r="D719" s="32">
        <v>63088</v>
      </c>
      <c r="E719" s="30" t="s">
        <v>20</v>
      </c>
      <c r="F719" s="30"/>
      <c r="G719" s="30"/>
      <c r="H719" s="30" t="s">
        <v>63</v>
      </c>
      <c r="I719" s="31" t="s">
        <v>29</v>
      </c>
    </row>
    <row r="720" spans="2:9" s="6" customFormat="1" ht="11.25" customHeight="1" x14ac:dyDescent="0.55000000000000004">
      <c r="B720" s="30" t="s">
        <v>1511</v>
      </c>
      <c r="C720" s="30" t="s">
        <v>1512</v>
      </c>
      <c r="D720" s="32">
        <v>63088</v>
      </c>
      <c r="E720" s="30" t="s">
        <v>20</v>
      </c>
      <c r="F720" s="30"/>
      <c r="G720" s="30"/>
      <c r="H720" s="30" t="s">
        <v>63</v>
      </c>
      <c r="I720" s="31" t="s">
        <v>29</v>
      </c>
    </row>
    <row r="721" spans="2:9" s="6" customFormat="1" ht="11.25" customHeight="1" x14ac:dyDescent="0.55000000000000004">
      <c r="B721" s="30" t="s">
        <v>1513</v>
      </c>
      <c r="C721" s="30" t="s">
        <v>1514</v>
      </c>
      <c r="D721" s="32">
        <v>63185</v>
      </c>
      <c r="E721" s="30" t="s">
        <v>15</v>
      </c>
      <c r="F721" s="30"/>
      <c r="G721" s="30"/>
      <c r="H721" s="30" t="s">
        <v>92</v>
      </c>
      <c r="I721" s="31" t="s">
        <v>29</v>
      </c>
    </row>
    <row r="722" spans="2:9" s="6" customFormat="1" ht="11.25" customHeight="1" x14ac:dyDescent="0.55000000000000004">
      <c r="B722" s="30" t="s">
        <v>1515</v>
      </c>
      <c r="C722" s="30" t="s">
        <v>1516</v>
      </c>
      <c r="D722" s="32">
        <v>63193</v>
      </c>
      <c r="E722" s="30" t="s">
        <v>15</v>
      </c>
      <c r="F722" s="30"/>
      <c r="G722" s="30" t="s">
        <v>35</v>
      </c>
      <c r="H722" s="30" t="s">
        <v>124</v>
      </c>
      <c r="I722" s="31" t="s">
        <v>29</v>
      </c>
    </row>
    <row r="723" spans="2:9" s="6" customFormat="1" ht="11.25" customHeight="1" x14ac:dyDescent="0.55000000000000004">
      <c r="B723" s="30" t="s">
        <v>1517</v>
      </c>
      <c r="C723" s="30" t="s">
        <v>1518</v>
      </c>
      <c r="D723" s="32">
        <v>60230</v>
      </c>
      <c r="E723" s="30" t="s">
        <v>15</v>
      </c>
      <c r="F723" s="30"/>
      <c r="G723" s="30"/>
      <c r="H723" s="30" t="s">
        <v>92</v>
      </c>
      <c r="I723" s="31" t="s">
        <v>29</v>
      </c>
    </row>
    <row r="724" spans="2:9" s="6" customFormat="1" ht="11.25" customHeight="1" x14ac:dyDescent="0.55000000000000004">
      <c r="B724" s="30" t="s">
        <v>1519</v>
      </c>
      <c r="C724" s="30" t="s">
        <v>1520</v>
      </c>
      <c r="D724" s="32">
        <v>63177</v>
      </c>
      <c r="E724" s="30" t="s">
        <v>20</v>
      </c>
      <c r="F724" s="30" t="s">
        <v>947</v>
      </c>
      <c r="G724" s="30" t="s">
        <v>35</v>
      </c>
      <c r="H724" s="30" t="s">
        <v>17</v>
      </c>
      <c r="I724" s="31">
        <v>5260855.5039999997</v>
      </c>
    </row>
    <row r="725" spans="2:9" s="6" customFormat="1" ht="11.25" customHeight="1" x14ac:dyDescent="0.55000000000000004">
      <c r="B725" s="30" t="s">
        <v>1521</v>
      </c>
      <c r="C725" s="30" t="s">
        <v>1522</v>
      </c>
      <c r="D725" s="32">
        <v>63177</v>
      </c>
      <c r="E725" s="30" t="s">
        <v>20</v>
      </c>
      <c r="F725" s="30"/>
      <c r="G725" s="30"/>
      <c r="H725" s="30" t="s">
        <v>17</v>
      </c>
      <c r="I725" s="31" t="s">
        <v>29</v>
      </c>
    </row>
    <row r="726" spans="2:9" s="6" customFormat="1" ht="11.25" customHeight="1" x14ac:dyDescent="0.55000000000000004">
      <c r="B726" s="30" t="s">
        <v>1523</v>
      </c>
      <c r="C726" s="30" t="s">
        <v>1524</v>
      </c>
      <c r="D726" s="32">
        <v>63177</v>
      </c>
      <c r="E726" s="30" t="s">
        <v>20</v>
      </c>
      <c r="F726" s="30"/>
      <c r="G726" s="30"/>
      <c r="H726" s="30" t="s">
        <v>17</v>
      </c>
      <c r="I726" s="31" t="s">
        <v>29</v>
      </c>
    </row>
    <row r="727" spans="2:9" s="6" customFormat="1" ht="11.25" customHeight="1" x14ac:dyDescent="0.55000000000000004">
      <c r="B727" s="30" t="s">
        <v>1525</v>
      </c>
      <c r="C727" s="30" t="s">
        <v>1526</v>
      </c>
      <c r="D727" s="32">
        <v>92401</v>
      </c>
      <c r="E727" s="30" t="s">
        <v>15</v>
      </c>
      <c r="F727" s="30" t="s">
        <v>1022</v>
      </c>
      <c r="G727" s="30"/>
      <c r="H727" s="30" t="s">
        <v>30</v>
      </c>
      <c r="I727" s="31" t="s">
        <v>29</v>
      </c>
    </row>
    <row r="728" spans="2:9" s="6" customFormat="1" ht="11.25" customHeight="1" x14ac:dyDescent="0.55000000000000004">
      <c r="B728" s="30" t="s">
        <v>1527</v>
      </c>
      <c r="C728" s="30" t="s">
        <v>1528</v>
      </c>
      <c r="D728" s="32">
        <v>67695</v>
      </c>
      <c r="E728" s="30" t="s">
        <v>15</v>
      </c>
      <c r="F728" s="30" t="s">
        <v>451</v>
      </c>
      <c r="G728" s="30"/>
      <c r="H728" s="30" t="s">
        <v>26</v>
      </c>
      <c r="I728" s="31" t="s">
        <v>29</v>
      </c>
    </row>
    <row r="729" spans="2:9" s="6" customFormat="1" ht="11.25" customHeight="1" x14ac:dyDescent="0.55000000000000004">
      <c r="B729" s="30" t="s">
        <v>1529</v>
      </c>
      <c r="C729" s="30" t="s">
        <v>1530</v>
      </c>
      <c r="D729" s="32">
        <v>63223</v>
      </c>
      <c r="E729" s="30" t="s">
        <v>20</v>
      </c>
      <c r="F729" s="30"/>
      <c r="G729" s="30" t="s">
        <v>265</v>
      </c>
      <c r="H729" s="30" t="s">
        <v>22</v>
      </c>
      <c r="I729" s="31">
        <v>253395.951</v>
      </c>
    </row>
    <row r="730" spans="2:9" s="6" customFormat="1" ht="11.25" customHeight="1" x14ac:dyDescent="0.55000000000000004">
      <c r="B730" s="30" t="s">
        <v>1531</v>
      </c>
      <c r="C730" s="30" t="s">
        <v>1532</v>
      </c>
      <c r="D730" s="32">
        <v>63223</v>
      </c>
      <c r="E730" s="30" t="s">
        <v>20</v>
      </c>
      <c r="F730" s="30"/>
      <c r="G730" s="30"/>
      <c r="H730" s="30" t="s">
        <v>22</v>
      </c>
      <c r="I730" s="31" t="s">
        <v>29</v>
      </c>
    </row>
    <row r="731" spans="2:9" s="6" customFormat="1" ht="11.25" customHeight="1" x14ac:dyDescent="0.55000000000000004">
      <c r="B731" s="30" t="s">
        <v>1533</v>
      </c>
      <c r="C731" s="30" t="s">
        <v>1534</v>
      </c>
      <c r="D731" s="32">
        <v>63223</v>
      </c>
      <c r="E731" s="30" t="s">
        <v>20</v>
      </c>
      <c r="F731" s="30"/>
      <c r="G731" s="30"/>
      <c r="H731" s="30" t="s">
        <v>22</v>
      </c>
      <c r="I731" s="31" t="s">
        <v>29</v>
      </c>
    </row>
    <row r="732" spans="2:9" s="6" customFormat="1" ht="11.25" customHeight="1" x14ac:dyDescent="0.55000000000000004">
      <c r="B732" s="30" t="s">
        <v>1535</v>
      </c>
      <c r="C732" s="30" t="s">
        <v>1536</v>
      </c>
      <c r="D732" s="32">
        <v>63258</v>
      </c>
      <c r="E732" s="30" t="s">
        <v>20</v>
      </c>
      <c r="F732" s="30"/>
      <c r="G732" s="30" t="s">
        <v>35</v>
      </c>
      <c r="H732" s="30" t="s">
        <v>156</v>
      </c>
      <c r="I732" s="31">
        <v>2139616.0699999998</v>
      </c>
    </row>
    <row r="733" spans="2:9" s="6" customFormat="1" ht="11.25" customHeight="1" x14ac:dyDescent="0.55000000000000004">
      <c r="B733" s="30" t="s">
        <v>1537</v>
      </c>
      <c r="C733" s="30" t="s">
        <v>1538</v>
      </c>
      <c r="D733" s="32">
        <v>63258</v>
      </c>
      <c r="E733" s="30" t="s">
        <v>20</v>
      </c>
      <c r="F733" s="30"/>
      <c r="G733" s="30"/>
      <c r="H733" s="30" t="s">
        <v>156</v>
      </c>
      <c r="I733" s="31" t="s">
        <v>29</v>
      </c>
    </row>
    <row r="734" spans="2:9" s="6" customFormat="1" ht="11.25" customHeight="1" x14ac:dyDescent="0.55000000000000004">
      <c r="B734" s="30" t="s">
        <v>1539</v>
      </c>
      <c r="C734" s="30" t="s">
        <v>1540</v>
      </c>
      <c r="D734" s="32">
        <v>74080</v>
      </c>
      <c r="E734" s="30" t="s">
        <v>15</v>
      </c>
      <c r="F734" s="30" t="s">
        <v>451</v>
      </c>
      <c r="G734" s="30"/>
      <c r="H734" s="30" t="s">
        <v>26</v>
      </c>
      <c r="I734" s="31" t="s">
        <v>29</v>
      </c>
    </row>
    <row r="735" spans="2:9" s="6" customFormat="1" ht="11.25" customHeight="1" x14ac:dyDescent="0.55000000000000004">
      <c r="B735" s="30" t="s">
        <v>1541</v>
      </c>
      <c r="C735" s="30" t="s">
        <v>1542</v>
      </c>
      <c r="D735" s="32">
        <v>63274</v>
      </c>
      <c r="E735" s="30" t="s">
        <v>20</v>
      </c>
      <c r="F735" s="30" t="s">
        <v>532</v>
      </c>
      <c r="G735" s="30" t="s">
        <v>155</v>
      </c>
      <c r="H735" s="30" t="s">
        <v>52</v>
      </c>
      <c r="I735" s="31">
        <v>26975929.298</v>
      </c>
    </row>
    <row r="736" spans="2:9" s="6" customFormat="1" ht="11.25" customHeight="1" x14ac:dyDescent="0.55000000000000004">
      <c r="B736" s="30" t="s">
        <v>1543</v>
      </c>
      <c r="C736" s="30" t="s">
        <v>1544</v>
      </c>
      <c r="D736" s="32">
        <v>63274</v>
      </c>
      <c r="E736" s="30" t="s">
        <v>20</v>
      </c>
      <c r="F736" s="30"/>
      <c r="G736" s="30"/>
      <c r="H736" s="30" t="s">
        <v>52</v>
      </c>
      <c r="I736" s="31" t="s">
        <v>29</v>
      </c>
    </row>
    <row r="737" spans="2:9" s="6" customFormat="1" ht="11.25" customHeight="1" x14ac:dyDescent="0.55000000000000004">
      <c r="B737" s="30" t="s">
        <v>1545</v>
      </c>
      <c r="C737" s="30" t="s">
        <v>1546</v>
      </c>
      <c r="D737" s="32">
        <v>63274</v>
      </c>
      <c r="E737" s="30" t="s">
        <v>20</v>
      </c>
      <c r="F737" s="30"/>
      <c r="G737" s="30"/>
      <c r="H737" s="30" t="s">
        <v>52</v>
      </c>
      <c r="I737" s="31" t="s">
        <v>29</v>
      </c>
    </row>
    <row r="738" spans="2:9" s="6" customFormat="1" ht="11.25" customHeight="1" x14ac:dyDescent="0.55000000000000004">
      <c r="B738" s="30" t="s">
        <v>1547</v>
      </c>
      <c r="C738" s="30" t="s">
        <v>1548</v>
      </c>
      <c r="D738" s="32">
        <v>69434</v>
      </c>
      <c r="E738" s="30" t="s">
        <v>20</v>
      </c>
      <c r="F738" s="30" t="s">
        <v>532</v>
      </c>
      <c r="G738" s="30" t="s">
        <v>155</v>
      </c>
      <c r="H738" s="30" t="s">
        <v>124</v>
      </c>
      <c r="I738" s="31">
        <v>534595.86199999996</v>
      </c>
    </row>
    <row r="739" spans="2:9" s="6" customFormat="1" ht="11.25" customHeight="1" x14ac:dyDescent="0.55000000000000004">
      <c r="B739" s="30" t="s">
        <v>532</v>
      </c>
      <c r="C739" s="30" t="s">
        <v>1549</v>
      </c>
      <c r="D739" s="32" t="s">
        <v>29</v>
      </c>
      <c r="E739" s="30" t="s">
        <v>20</v>
      </c>
      <c r="F739" s="30" t="s">
        <v>532</v>
      </c>
      <c r="G739" s="30" t="s">
        <v>16</v>
      </c>
      <c r="H739" s="30" t="s">
        <v>429</v>
      </c>
      <c r="I739" s="31">
        <v>27415635.534000002</v>
      </c>
    </row>
    <row r="740" spans="2:9" s="6" customFormat="1" ht="11.25" customHeight="1" x14ac:dyDescent="0.55000000000000004">
      <c r="B740" s="30" t="s">
        <v>1550</v>
      </c>
      <c r="C740" s="30" t="s">
        <v>1551</v>
      </c>
      <c r="D740" s="32">
        <v>68900</v>
      </c>
      <c r="E740" s="30" t="s">
        <v>15</v>
      </c>
      <c r="F740" s="30"/>
      <c r="G740" s="30"/>
      <c r="H740" s="30" t="s">
        <v>66</v>
      </c>
      <c r="I740" s="31" t="s">
        <v>29</v>
      </c>
    </row>
    <row r="741" spans="2:9" s="6" customFormat="1" ht="11.25" customHeight="1" x14ac:dyDescent="0.55000000000000004">
      <c r="B741" s="30" t="s">
        <v>1404</v>
      </c>
      <c r="C741" s="30" t="s">
        <v>1552</v>
      </c>
      <c r="D741" s="32" t="s">
        <v>29</v>
      </c>
      <c r="E741" s="30" t="s">
        <v>20</v>
      </c>
      <c r="F741" s="30" t="s">
        <v>1404</v>
      </c>
      <c r="G741" s="30" t="s">
        <v>155</v>
      </c>
      <c r="H741" s="30" t="s">
        <v>556</v>
      </c>
      <c r="I741" s="31">
        <v>36116466.210000001</v>
      </c>
    </row>
    <row r="742" spans="2:9" s="6" customFormat="1" ht="11.25" customHeight="1" x14ac:dyDescent="0.55000000000000004">
      <c r="B742" s="30" t="s">
        <v>1553</v>
      </c>
      <c r="C742" s="30" t="s">
        <v>1554</v>
      </c>
      <c r="D742" s="32" t="s">
        <v>29</v>
      </c>
      <c r="E742" s="30" t="s">
        <v>20</v>
      </c>
      <c r="F742" s="30"/>
      <c r="G742" s="30"/>
      <c r="H742" s="30" t="s">
        <v>582</v>
      </c>
      <c r="I742" s="31" t="s">
        <v>29</v>
      </c>
    </row>
    <row r="743" spans="2:9" s="6" customFormat="1" ht="11.25" customHeight="1" x14ac:dyDescent="0.55000000000000004">
      <c r="B743" s="30" t="s">
        <v>1555</v>
      </c>
      <c r="C743" s="30" t="s">
        <v>1556</v>
      </c>
      <c r="D743" s="32">
        <v>93696</v>
      </c>
      <c r="E743" s="30" t="s">
        <v>20</v>
      </c>
      <c r="F743" s="30" t="s">
        <v>1404</v>
      </c>
      <c r="G743" s="30" t="s">
        <v>155</v>
      </c>
      <c r="H743" s="30" t="s">
        <v>556</v>
      </c>
      <c r="I743" s="31">
        <v>32999807.911000002</v>
      </c>
    </row>
    <row r="744" spans="2:9" s="6" customFormat="1" ht="11.25" customHeight="1" x14ac:dyDescent="0.55000000000000004">
      <c r="B744" s="30" t="s">
        <v>1557</v>
      </c>
      <c r="C744" s="30" t="s">
        <v>1558</v>
      </c>
      <c r="D744" s="32">
        <v>93696</v>
      </c>
      <c r="E744" s="30" t="s">
        <v>20</v>
      </c>
      <c r="F744" s="30"/>
      <c r="G744" s="30"/>
      <c r="H744" s="30" t="s">
        <v>556</v>
      </c>
      <c r="I744" s="31" t="s">
        <v>29</v>
      </c>
    </row>
    <row r="745" spans="2:9" s="6" customFormat="1" ht="11.25" customHeight="1" x14ac:dyDescent="0.55000000000000004">
      <c r="B745" s="30" t="s">
        <v>1559</v>
      </c>
      <c r="C745" s="30" t="s">
        <v>1560</v>
      </c>
      <c r="D745" s="32">
        <v>93696</v>
      </c>
      <c r="E745" s="30" t="s">
        <v>20</v>
      </c>
      <c r="F745" s="30"/>
      <c r="G745" s="30"/>
      <c r="H745" s="30" t="s">
        <v>556</v>
      </c>
      <c r="I745" s="31" t="s">
        <v>29</v>
      </c>
    </row>
    <row r="746" spans="2:9" s="6" customFormat="1" ht="11.25" customHeight="1" x14ac:dyDescent="0.55000000000000004">
      <c r="B746" s="30" t="s">
        <v>1561</v>
      </c>
      <c r="C746" s="30" t="s">
        <v>1562</v>
      </c>
      <c r="D746" s="32">
        <v>63290</v>
      </c>
      <c r="E746" s="30" t="s">
        <v>20</v>
      </c>
      <c r="F746" s="30"/>
      <c r="G746" s="30" t="s">
        <v>16</v>
      </c>
      <c r="H746" s="30" t="s">
        <v>22</v>
      </c>
      <c r="I746" s="31">
        <v>420515.36300000001</v>
      </c>
    </row>
    <row r="747" spans="2:9" s="6" customFormat="1" ht="11.25" customHeight="1" x14ac:dyDescent="0.55000000000000004">
      <c r="B747" s="30" t="s">
        <v>1563</v>
      </c>
      <c r="C747" s="30" t="s">
        <v>1564</v>
      </c>
      <c r="D747" s="32">
        <v>63304</v>
      </c>
      <c r="E747" s="30" t="s">
        <v>15</v>
      </c>
      <c r="F747" s="30"/>
      <c r="G747" s="30"/>
      <c r="H747" s="30" t="s">
        <v>75</v>
      </c>
      <c r="I747" s="31" t="s">
        <v>29</v>
      </c>
    </row>
    <row r="748" spans="2:9" s="6" customFormat="1" ht="11.25" customHeight="1" x14ac:dyDescent="0.55000000000000004">
      <c r="B748" s="30" t="s">
        <v>1565</v>
      </c>
      <c r="C748" s="30" t="s">
        <v>1566</v>
      </c>
      <c r="D748" s="32">
        <v>67288</v>
      </c>
      <c r="E748" s="30" t="s">
        <v>20</v>
      </c>
      <c r="F748" s="30" t="s">
        <v>1567</v>
      </c>
      <c r="G748" s="30" t="s">
        <v>21</v>
      </c>
      <c r="H748" s="30" t="s">
        <v>500</v>
      </c>
      <c r="I748" s="31">
        <v>40146.932000000001</v>
      </c>
    </row>
    <row r="749" spans="2:9" s="6" customFormat="1" ht="11.25" customHeight="1" x14ac:dyDescent="0.55000000000000004">
      <c r="B749" s="30" t="s">
        <v>1567</v>
      </c>
      <c r="C749" s="30" t="s">
        <v>1568</v>
      </c>
      <c r="D749" s="32" t="s">
        <v>29</v>
      </c>
      <c r="E749" s="30" t="s">
        <v>20</v>
      </c>
      <c r="F749" s="30" t="s">
        <v>1567</v>
      </c>
      <c r="G749" s="30" t="s">
        <v>21</v>
      </c>
      <c r="H749" s="30" t="s">
        <v>500</v>
      </c>
      <c r="I749" s="31">
        <v>980102.53599999996</v>
      </c>
    </row>
    <row r="750" spans="2:9" s="6" customFormat="1" ht="11.25" customHeight="1" x14ac:dyDescent="0.55000000000000004">
      <c r="B750" s="30" t="s">
        <v>1569</v>
      </c>
      <c r="C750" s="30" t="s">
        <v>1570</v>
      </c>
      <c r="D750" s="32">
        <v>71870</v>
      </c>
      <c r="E750" s="30" t="s">
        <v>20</v>
      </c>
      <c r="F750" s="30" t="s">
        <v>1567</v>
      </c>
      <c r="G750" s="30" t="s">
        <v>21</v>
      </c>
      <c r="H750" s="30" t="s">
        <v>500</v>
      </c>
      <c r="I750" s="31">
        <v>952285.67800000007</v>
      </c>
    </row>
    <row r="751" spans="2:9" s="6" customFormat="1" ht="11.25" customHeight="1" x14ac:dyDescent="0.55000000000000004">
      <c r="B751" s="30" t="s">
        <v>1571</v>
      </c>
      <c r="C751" s="30" t="s">
        <v>1572</v>
      </c>
      <c r="D751" s="32">
        <v>71870</v>
      </c>
      <c r="E751" s="30" t="s">
        <v>20</v>
      </c>
      <c r="F751" s="30"/>
      <c r="G751" s="30"/>
      <c r="H751" s="30" t="s">
        <v>500</v>
      </c>
      <c r="I751" s="31" t="s">
        <v>29</v>
      </c>
    </row>
    <row r="752" spans="2:9" s="6" customFormat="1" ht="11.25" customHeight="1" x14ac:dyDescent="0.55000000000000004">
      <c r="B752" s="30" t="s">
        <v>1573</v>
      </c>
      <c r="C752" s="30" t="s">
        <v>1574</v>
      </c>
      <c r="D752" s="32">
        <v>71870</v>
      </c>
      <c r="E752" s="30" t="s">
        <v>20</v>
      </c>
      <c r="F752" s="30"/>
      <c r="G752" s="30"/>
      <c r="H752" s="30" t="s">
        <v>500</v>
      </c>
      <c r="I752" s="31" t="s">
        <v>29</v>
      </c>
    </row>
    <row r="753" spans="2:9" s="6" customFormat="1" ht="11.25" customHeight="1" x14ac:dyDescent="0.55000000000000004">
      <c r="B753" s="30" t="s">
        <v>1575</v>
      </c>
      <c r="C753" s="30" t="s">
        <v>1576</v>
      </c>
      <c r="D753" s="32">
        <v>84018</v>
      </c>
      <c r="E753" s="30" t="s">
        <v>15</v>
      </c>
      <c r="F753" s="30" t="s">
        <v>920</v>
      </c>
      <c r="G753" s="30" t="s">
        <v>35</v>
      </c>
      <c r="H753" s="30" t="s">
        <v>735</v>
      </c>
      <c r="I753" s="31" t="s">
        <v>29</v>
      </c>
    </row>
    <row r="754" spans="2:9" s="6" customFormat="1" ht="11.25" customHeight="1" x14ac:dyDescent="0.55000000000000004">
      <c r="B754" s="30" t="s">
        <v>1577</v>
      </c>
      <c r="C754" s="30" t="s">
        <v>1578</v>
      </c>
      <c r="D754" s="32">
        <v>94790</v>
      </c>
      <c r="E754" s="30" t="s">
        <v>20</v>
      </c>
      <c r="F754" s="30" t="s">
        <v>920</v>
      </c>
      <c r="G754" s="30" t="s">
        <v>194</v>
      </c>
      <c r="H754" s="30" t="s">
        <v>735</v>
      </c>
      <c r="I754" s="31">
        <v>9720.7970000000005</v>
      </c>
    </row>
    <row r="755" spans="2:9" s="6" customFormat="1" ht="11.25" customHeight="1" x14ac:dyDescent="0.55000000000000004">
      <c r="B755" s="30" t="s">
        <v>1579</v>
      </c>
      <c r="C755" s="30" t="s">
        <v>1580</v>
      </c>
      <c r="D755" s="32">
        <v>79618</v>
      </c>
      <c r="E755" s="30" t="s">
        <v>15</v>
      </c>
      <c r="F755" s="30"/>
      <c r="G755" s="30"/>
      <c r="H755" s="30" t="s">
        <v>48</v>
      </c>
      <c r="I755" s="31" t="s">
        <v>29</v>
      </c>
    </row>
    <row r="756" spans="2:9" s="6" customFormat="1" ht="11.25" customHeight="1" x14ac:dyDescent="0.55000000000000004">
      <c r="B756" s="30" t="s">
        <v>1581</v>
      </c>
      <c r="C756" s="30" t="s">
        <v>1582</v>
      </c>
      <c r="D756" s="32">
        <v>71455</v>
      </c>
      <c r="E756" s="30" t="s">
        <v>20</v>
      </c>
      <c r="F756" s="30"/>
      <c r="G756" s="30" t="s">
        <v>16</v>
      </c>
      <c r="H756" s="30" t="s">
        <v>262</v>
      </c>
      <c r="I756" s="31">
        <v>9059.5149999999994</v>
      </c>
    </row>
    <row r="757" spans="2:9" s="6" customFormat="1" ht="11.25" customHeight="1" x14ac:dyDescent="0.55000000000000004">
      <c r="B757" s="30" t="s">
        <v>1583</v>
      </c>
      <c r="C757" s="30" t="s">
        <v>1584</v>
      </c>
      <c r="D757" s="32">
        <v>98213</v>
      </c>
      <c r="E757" s="30" t="s">
        <v>15</v>
      </c>
      <c r="F757" s="30" t="s">
        <v>273</v>
      </c>
      <c r="G757" s="30"/>
      <c r="H757" s="30" t="s">
        <v>86</v>
      </c>
      <c r="I757" s="31" t="s">
        <v>29</v>
      </c>
    </row>
    <row r="758" spans="2:9" s="6" customFormat="1" ht="11.25" customHeight="1" x14ac:dyDescent="0.55000000000000004">
      <c r="B758" s="30" t="s">
        <v>1585</v>
      </c>
      <c r="C758" s="30" t="s">
        <v>1586</v>
      </c>
      <c r="D758" s="32">
        <v>71846</v>
      </c>
      <c r="E758" s="30" t="s">
        <v>15</v>
      </c>
      <c r="F758" s="30"/>
      <c r="G758" s="30"/>
      <c r="H758" s="30" t="s">
        <v>239</v>
      </c>
      <c r="I758" s="31" t="s">
        <v>29</v>
      </c>
    </row>
    <row r="759" spans="2:9" s="6" customFormat="1" ht="11.25" customHeight="1" x14ac:dyDescent="0.55000000000000004">
      <c r="B759" s="30" t="s">
        <v>1587</v>
      </c>
      <c r="C759" s="30" t="s">
        <v>1588</v>
      </c>
      <c r="D759" s="32">
        <v>86096</v>
      </c>
      <c r="E759" s="30" t="s">
        <v>15</v>
      </c>
      <c r="F759" s="30"/>
      <c r="G759" s="30" t="s">
        <v>16</v>
      </c>
      <c r="H759" s="30" t="s">
        <v>108</v>
      </c>
      <c r="I759" s="31" t="s">
        <v>29</v>
      </c>
    </row>
    <row r="760" spans="2:9" s="6" customFormat="1" ht="11.25" customHeight="1" x14ac:dyDescent="0.55000000000000004">
      <c r="B760" s="30" t="s">
        <v>1589</v>
      </c>
      <c r="C760" s="30" t="s">
        <v>1590</v>
      </c>
      <c r="D760" s="32">
        <v>63363</v>
      </c>
      <c r="E760" s="30" t="s">
        <v>15</v>
      </c>
      <c r="F760" s="30" t="s">
        <v>182</v>
      </c>
      <c r="G760" s="30"/>
      <c r="H760" s="30" t="s">
        <v>105</v>
      </c>
      <c r="I760" s="31" t="s">
        <v>29</v>
      </c>
    </row>
    <row r="761" spans="2:9" s="6" customFormat="1" ht="11.25" customHeight="1" x14ac:dyDescent="0.55000000000000004">
      <c r="B761" s="30" t="s">
        <v>1591</v>
      </c>
      <c r="C761" s="30" t="s">
        <v>1592</v>
      </c>
      <c r="D761" s="32">
        <v>94161</v>
      </c>
      <c r="E761" s="30" t="s">
        <v>15</v>
      </c>
      <c r="F761" s="30"/>
      <c r="G761" s="30"/>
      <c r="H761" s="30" t="s">
        <v>66</v>
      </c>
      <c r="I761" s="31" t="s">
        <v>29</v>
      </c>
    </row>
    <row r="762" spans="2:9" s="6" customFormat="1" ht="11.25" customHeight="1" x14ac:dyDescent="0.55000000000000004">
      <c r="B762" s="30" t="s">
        <v>1593</v>
      </c>
      <c r="C762" s="30" t="s">
        <v>1594</v>
      </c>
      <c r="D762" s="32">
        <v>71501</v>
      </c>
      <c r="E762" s="30" t="s">
        <v>15</v>
      </c>
      <c r="F762" s="30"/>
      <c r="G762" s="30"/>
      <c r="H762" s="30" t="s">
        <v>22</v>
      </c>
      <c r="I762" s="31" t="s">
        <v>29</v>
      </c>
    </row>
    <row r="763" spans="2:9" s="6" customFormat="1" ht="11.25" customHeight="1" x14ac:dyDescent="0.55000000000000004">
      <c r="B763" s="30" t="s">
        <v>1595</v>
      </c>
      <c r="C763" s="30" t="s">
        <v>1596</v>
      </c>
      <c r="D763" s="32">
        <v>91464</v>
      </c>
      <c r="E763" s="30" t="s">
        <v>15</v>
      </c>
      <c r="F763" s="30"/>
      <c r="G763" s="30"/>
      <c r="H763" s="30" t="s">
        <v>105</v>
      </c>
      <c r="I763" s="31" t="s">
        <v>29</v>
      </c>
    </row>
    <row r="764" spans="2:9" s="6" customFormat="1" ht="11.25" customHeight="1" x14ac:dyDescent="0.55000000000000004">
      <c r="B764" s="30" t="s">
        <v>1597</v>
      </c>
      <c r="C764" s="30" t="s">
        <v>1598</v>
      </c>
      <c r="D764" s="32">
        <v>71510</v>
      </c>
      <c r="E764" s="30" t="s">
        <v>15</v>
      </c>
      <c r="F764" s="30" t="s">
        <v>137</v>
      </c>
      <c r="G764" s="30"/>
      <c r="H764" s="30" t="s">
        <v>124</v>
      </c>
      <c r="I764" s="31" t="s">
        <v>29</v>
      </c>
    </row>
    <row r="765" spans="2:9" s="6" customFormat="1" ht="11.25" customHeight="1" x14ac:dyDescent="0.55000000000000004">
      <c r="B765" s="30" t="s">
        <v>1599</v>
      </c>
      <c r="C765" s="30" t="s">
        <v>1600</v>
      </c>
      <c r="D765" s="32">
        <v>60057</v>
      </c>
      <c r="E765" s="30" t="s">
        <v>15</v>
      </c>
      <c r="F765" s="30" t="s">
        <v>1000</v>
      </c>
      <c r="G765" s="30"/>
      <c r="H765" s="30" t="s">
        <v>113</v>
      </c>
      <c r="I765" s="31" t="s">
        <v>29</v>
      </c>
    </row>
    <row r="766" spans="2:9" s="6" customFormat="1" ht="11.25" customHeight="1" x14ac:dyDescent="0.55000000000000004">
      <c r="B766" s="30" t="s">
        <v>1601</v>
      </c>
      <c r="C766" s="30" t="s">
        <v>1602</v>
      </c>
      <c r="D766" s="32">
        <v>69140</v>
      </c>
      <c r="E766" s="30" t="s">
        <v>20</v>
      </c>
      <c r="F766" s="30" t="s">
        <v>71</v>
      </c>
      <c r="G766" s="30" t="s">
        <v>25</v>
      </c>
      <c r="H766" s="30" t="s">
        <v>582</v>
      </c>
      <c r="I766" s="31">
        <v>3233830.9070000001</v>
      </c>
    </row>
    <row r="767" spans="2:9" s="6" customFormat="1" ht="11.25" customHeight="1" x14ac:dyDescent="0.55000000000000004">
      <c r="B767" s="30" t="s">
        <v>1603</v>
      </c>
      <c r="C767" s="30" t="s">
        <v>1604</v>
      </c>
      <c r="D767" s="32">
        <v>69140</v>
      </c>
      <c r="E767" s="30" t="s">
        <v>20</v>
      </c>
      <c r="F767" s="30"/>
      <c r="G767" s="30"/>
      <c r="H767" s="30" t="s">
        <v>582</v>
      </c>
      <c r="I767" s="31" t="s">
        <v>29</v>
      </c>
    </row>
    <row r="768" spans="2:9" s="6" customFormat="1" ht="11.25" customHeight="1" x14ac:dyDescent="0.55000000000000004">
      <c r="B768" s="30" t="s">
        <v>1605</v>
      </c>
      <c r="C768" s="30" t="s">
        <v>1606</v>
      </c>
      <c r="D768" s="32">
        <v>69140</v>
      </c>
      <c r="E768" s="30" t="s">
        <v>20</v>
      </c>
      <c r="F768" s="30"/>
      <c r="G768" s="30"/>
      <c r="H768" s="30" t="s">
        <v>582</v>
      </c>
      <c r="I768" s="31" t="s">
        <v>29</v>
      </c>
    </row>
    <row r="769" spans="2:9" s="6" customFormat="1" ht="11.25" customHeight="1" x14ac:dyDescent="0.55000000000000004">
      <c r="B769" s="30" t="s">
        <v>1607</v>
      </c>
      <c r="C769" s="30" t="s">
        <v>1608</v>
      </c>
      <c r="D769" s="32">
        <v>88382</v>
      </c>
      <c r="E769" s="30" t="s">
        <v>15</v>
      </c>
      <c r="F769" s="30"/>
      <c r="G769" s="30"/>
      <c r="H769" s="30" t="s">
        <v>113</v>
      </c>
      <c r="I769" s="31" t="s">
        <v>29</v>
      </c>
    </row>
    <row r="770" spans="2:9" s="6" customFormat="1" ht="11.25" customHeight="1" x14ac:dyDescent="0.55000000000000004">
      <c r="B770" s="30" t="s">
        <v>1609</v>
      </c>
      <c r="C770" s="30" t="s">
        <v>1610</v>
      </c>
      <c r="D770" s="32">
        <v>81930</v>
      </c>
      <c r="E770" s="30" t="s">
        <v>15</v>
      </c>
      <c r="F770" s="30"/>
      <c r="G770" s="30" t="s">
        <v>35</v>
      </c>
      <c r="H770" s="30" t="s">
        <v>113</v>
      </c>
      <c r="I770" s="31" t="s">
        <v>29</v>
      </c>
    </row>
    <row r="771" spans="2:9" s="6" customFormat="1" ht="11.25" customHeight="1" x14ac:dyDescent="0.55000000000000004">
      <c r="B771" s="30" t="s">
        <v>1611</v>
      </c>
      <c r="C771" s="30" t="s">
        <v>1612</v>
      </c>
      <c r="D771" s="32">
        <v>94579</v>
      </c>
      <c r="E771" s="30" t="s">
        <v>20</v>
      </c>
      <c r="F771" s="30" t="s">
        <v>1613</v>
      </c>
      <c r="G771" s="30" t="s">
        <v>80</v>
      </c>
      <c r="H771" s="30" t="s">
        <v>66</v>
      </c>
      <c r="I771" s="31">
        <v>41961.499000000003</v>
      </c>
    </row>
    <row r="772" spans="2:9" s="6" customFormat="1" ht="11.25" customHeight="1" x14ac:dyDescent="0.55000000000000004">
      <c r="B772" s="30" t="s">
        <v>1614</v>
      </c>
      <c r="C772" s="30" t="s">
        <v>1615</v>
      </c>
      <c r="D772" s="32">
        <v>74870</v>
      </c>
      <c r="E772" s="30" t="s">
        <v>15</v>
      </c>
      <c r="F772" s="30" t="s">
        <v>62</v>
      </c>
      <c r="G772" s="30"/>
      <c r="H772" s="30" t="s">
        <v>63</v>
      </c>
      <c r="I772" s="31" t="s">
        <v>29</v>
      </c>
    </row>
    <row r="773" spans="2:9" s="6" customFormat="1" ht="11.25" customHeight="1" x14ac:dyDescent="0.55000000000000004">
      <c r="B773" s="30" t="s">
        <v>1616</v>
      </c>
      <c r="C773" s="30" t="s">
        <v>1617</v>
      </c>
      <c r="D773" s="32">
        <v>60177</v>
      </c>
      <c r="E773" s="30" t="s">
        <v>15</v>
      </c>
      <c r="F773" s="30" t="s">
        <v>563</v>
      </c>
      <c r="G773" s="30"/>
      <c r="H773" s="30" t="s">
        <v>313</v>
      </c>
      <c r="I773" s="31" t="s">
        <v>29</v>
      </c>
    </row>
    <row r="774" spans="2:9" s="6" customFormat="1" ht="11.25" customHeight="1" x14ac:dyDescent="0.55000000000000004">
      <c r="B774" s="30" t="s">
        <v>1618</v>
      </c>
      <c r="C774" s="30" t="s">
        <v>1619</v>
      </c>
      <c r="D774" s="32">
        <v>11591</v>
      </c>
      <c r="E774" s="30" t="s">
        <v>20</v>
      </c>
      <c r="F774" s="30" t="s">
        <v>786</v>
      </c>
      <c r="G774" s="30" t="s">
        <v>155</v>
      </c>
      <c r="H774" s="30" t="s">
        <v>40</v>
      </c>
      <c r="I774" s="31">
        <v>221207.25400000002</v>
      </c>
    </row>
    <row r="775" spans="2:9" s="6" customFormat="1" ht="11.25" customHeight="1" x14ac:dyDescent="0.55000000000000004">
      <c r="B775" s="30" t="s">
        <v>1620</v>
      </c>
      <c r="C775" s="30" t="s">
        <v>1621</v>
      </c>
      <c r="D775" s="32">
        <v>74985</v>
      </c>
      <c r="E775" s="30" t="s">
        <v>15</v>
      </c>
      <c r="F775" s="30" t="s">
        <v>182</v>
      </c>
      <c r="G775" s="30"/>
      <c r="H775" s="30" t="s">
        <v>66</v>
      </c>
      <c r="I775" s="31" t="s">
        <v>29</v>
      </c>
    </row>
    <row r="776" spans="2:9" s="6" customFormat="1" ht="11.25" customHeight="1" x14ac:dyDescent="0.55000000000000004">
      <c r="B776" s="30" t="s">
        <v>1622</v>
      </c>
      <c r="C776" s="30" t="s">
        <v>1623</v>
      </c>
      <c r="D776" s="32">
        <v>60102</v>
      </c>
      <c r="E776" s="30" t="s">
        <v>15</v>
      </c>
      <c r="F776" s="30"/>
      <c r="G776" s="30"/>
      <c r="H776" s="30" t="s">
        <v>92</v>
      </c>
      <c r="I776" s="31" t="s">
        <v>29</v>
      </c>
    </row>
    <row r="777" spans="2:9" s="6" customFormat="1" ht="11.25" customHeight="1" x14ac:dyDescent="0.55000000000000004">
      <c r="B777" s="30" t="s">
        <v>1624</v>
      </c>
      <c r="C777" s="30" t="s">
        <v>1625</v>
      </c>
      <c r="D777" s="32">
        <v>92746</v>
      </c>
      <c r="E777" s="30" t="s">
        <v>15</v>
      </c>
      <c r="F777" s="30" t="s">
        <v>428</v>
      </c>
      <c r="G777" s="30"/>
      <c r="H777" s="30" t="s">
        <v>124</v>
      </c>
      <c r="I777" s="31" t="s">
        <v>29</v>
      </c>
    </row>
    <row r="778" spans="2:9" s="6" customFormat="1" ht="11.25" customHeight="1" x14ac:dyDescent="0.55000000000000004">
      <c r="B778" s="30" t="s">
        <v>1626</v>
      </c>
      <c r="C778" s="30" t="s">
        <v>1627</v>
      </c>
      <c r="D778" s="32">
        <v>92746</v>
      </c>
      <c r="E778" s="30" t="s">
        <v>15</v>
      </c>
      <c r="F778" s="30"/>
      <c r="G778" s="30"/>
      <c r="H778" s="30" t="s">
        <v>124</v>
      </c>
      <c r="I778" s="31" t="s">
        <v>29</v>
      </c>
    </row>
    <row r="779" spans="2:9" s="6" customFormat="1" ht="11.25" customHeight="1" x14ac:dyDescent="0.55000000000000004">
      <c r="B779" s="30" t="s">
        <v>1628</v>
      </c>
      <c r="C779" s="30" t="s">
        <v>1629</v>
      </c>
      <c r="D779" s="32">
        <v>84379</v>
      </c>
      <c r="E779" s="30" t="s">
        <v>15</v>
      </c>
      <c r="F779" s="30"/>
      <c r="G779" s="30"/>
      <c r="H779" s="30" t="s">
        <v>92</v>
      </c>
      <c r="I779" s="31" t="s">
        <v>29</v>
      </c>
    </row>
    <row r="780" spans="2:9" s="6" customFormat="1" ht="11.25" customHeight="1" x14ac:dyDescent="0.55000000000000004">
      <c r="B780" s="30" t="s">
        <v>1630</v>
      </c>
      <c r="C780" s="30" t="s">
        <v>1631</v>
      </c>
      <c r="D780" s="32">
        <v>81990</v>
      </c>
      <c r="E780" s="30" t="s">
        <v>15</v>
      </c>
      <c r="F780" s="30"/>
      <c r="G780" s="30"/>
      <c r="H780" s="30" t="s">
        <v>63</v>
      </c>
      <c r="I780" s="31" t="s">
        <v>29</v>
      </c>
    </row>
    <row r="781" spans="2:9" s="6" customFormat="1" ht="11.25" customHeight="1" x14ac:dyDescent="0.55000000000000004">
      <c r="B781" s="30" t="s">
        <v>1632</v>
      </c>
      <c r="C781" s="30" t="s">
        <v>1633</v>
      </c>
      <c r="D781" s="32">
        <v>84972</v>
      </c>
      <c r="E781" s="30" t="s">
        <v>15</v>
      </c>
      <c r="F781" s="30"/>
      <c r="G781" s="30"/>
      <c r="H781" s="30" t="s">
        <v>113</v>
      </c>
      <c r="I781" s="31" t="s">
        <v>29</v>
      </c>
    </row>
    <row r="782" spans="2:9" s="6" customFormat="1" ht="11.25" customHeight="1" x14ac:dyDescent="0.55000000000000004">
      <c r="B782" s="30" t="s">
        <v>1634</v>
      </c>
      <c r="C782" s="30" t="s">
        <v>1635</v>
      </c>
      <c r="D782" s="32">
        <v>64696</v>
      </c>
      <c r="E782" s="30" t="s">
        <v>20</v>
      </c>
      <c r="F782" s="30"/>
      <c r="G782" s="30" t="s">
        <v>21</v>
      </c>
      <c r="H782" s="30" t="s">
        <v>113</v>
      </c>
      <c r="I782" s="31">
        <v>4950.9179999999997</v>
      </c>
    </row>
    <row r="783" spans="2:9" s="6" customFormat="1" ht="11.25" customHeight="1" x14ac:dyDescent="0.55000000000000004">
      <c r="B783" s="30" t="s">
        <v>1636</v>
      </c>
      <c r="C783" s="30" t="s">
        <v>1637</v>
      </c>
      <c r="D783" s="32">
        <v>63401</v>
      </c>
      <c r="E783" s="30" t="s">
        <v>15</v>
      </c>
      <c r="F783" s="30" t="s">
        <v>451</v>
      </c>
      <c r="G783" s="30"/>
      <c r="H783" s="30" t="s">
        <v>26</v>
      </c>
      <c r="I783" s="31" t="s">
        <v>29</v>
      </c>
    </row>
    <row r="784" spans="2:9" s="6" customFormat="1" ht="11.25" customHeight="1" x14ac:dyDescent="0.55000000000000004">
      <c r="B784" s="30" t="s">
        <v>1638</v>
      </c>
      <c r="C784" s="30" t="s">
        <v>1639</v>
      </c>
      <c r="D784" s="32">
        <v>60249</v>
      </c>
      <c r="E784" s="30" t="s">
        <v>15</v>
      </c>
      <c r="F784" s="30" t="s">
        <v>1124</v>
      </c>
      <c r="G784" s="30"/>
      <c r="H784" s="30" t="s">
        <v>108</v>
      </c>
      <c r="I784" s="31" t="s">
        <v>29</v>
      </c>
    </row>
    <row r="785" spans="2:9" s="6" customFormat="1" ht="11.25" customHeight="1" x14ac:dyDescent="0.55000000000000004">
      <c r="B785" s="30" t="s">
        <v>1640</v>
      </c>
      <c r="C785" s="30" t="s">
        <v>1641</v>
      </c>
      <c r="D785" s="32">
        <v>82007</v>
      </c>
      <c r="E785" s="30" t="s">
        <v>20</v>
      </c>
      <c r="F785" s="30"/>
      <c r="G785" s="30" t="s">
        <v>35</v>
      </c>
      <c r="H785" s="30" t="s">
        <v>113</v>
      </c>
      <c r="I785" s="31">
        <v>43857.103000000003</v>
      </c>
    </row>
    <row r="786" spans="2:9" s="6" customFormat="1" ht="11.25" customHeight="1" x14ac:dyDescent="0.55000000000000004">
      <c r="B786" s="30" t="s">
        <v>1642</v>
      </c>
      <c r="C786" s="30" t="s">
        <v>1643</v>
      </c>
      <c r="D786" s="32">
        <v>60000</v>
      </c>
      <c r="E786" s="30" t="s">
        <v>15</v>
      </c>
      <c r="F786" s="30"/>
      <c r="G786" s="30" t="s">
        <v>16</v>
      </c>
      <c r="H786" s="30" t="s">
        <v>22</v>
      </c>
      <c r="I786" s="31" t="s">
        <v>29</v>
      </c>
    </row>
    <row r="787" spans="2:9" s="6" customFormat="1" ht="11.25" customHeight="1" x14ac:dyDescent="0.55000000000000004">
      <c r="B787" s="30" t="s">
        <v>1644</v>
      </c>
      <c r="C787" s="30" t="s">
        <v>1645</v>
      </c>
      <c r="D787" s="32">
        <v>89605</v>
      </c>
      <c r="E787" s="30" t="s">
        <v>15</v>
      </c>
      <c r="F787" s="30"/>
      <c r="G787" s="30"/>
      <c r="H787" s="30" t="s">
        <v>92</v>
      </c>
      <c r="I787" s="31" t="s">
        <v>29</v>
      </c>
    </row>
    <row r="788" spans="2:9" s="6" customFormat="1" ht="11.25" customHeight="1" x14ac:dyDescent="0.55000000000000004">
      <c r="B788" s="30" t="s">
        <v>1646</v>
      </c>
      <c r="C788" s="30" t="s">
        <v>1647</v>
      </c>
      <c r="D788" s="32">
        <v>82040</v>
      </c>
      <c r="E788" s="30" t="s">
        <v>15</v>
      </c>
      <c r="F788" s="30"/>
      <c r="G788" s="30"/>
      <c r="H788" s="30" t="s">
        <v>75</v>
      </c>
      <c r="I788" s="31" t="s">
        <v>29</v>
      </c>
    </row>
    <row r="789" spans="2:9" s="6" customFormat="1" ht="11.25" customHeight="1" x14ac:dyDescent="0.55000000000000004">
      <c r="B789" s="30" t="s">
        <v>1648</v>
      </c>
      <c r="C789" s="30" t="s">
        <v>1649</v>
      </c>
      <c r="D789" s="32">
        <v>89052</v>
      </c>
      <c r="E789" s="30" t="s">
        <v>15</v>
      </c>
      <c r="F789" s="30"/>
      <c r="G789" s="30"/>
      <c r="H789" s="30" t="s">
        <v>105</v>
      </c>
      <c r="I789" s="31" t="s">
        <v>29</v>
      </c>
    </row>
    <row r="790" spans="2:9" s="6" customFormat="1" ht="11.25" customHeight="1" x14ac:dyDescent="0.55000000000000004">
      <c r="B790" s="30" t="s">
        <v>1650</v>
      </c>
      <c r="C790" s="30" t="s">
        <v>1651</v>
      </c>
      <c r="D790" s="32">
        <v>93467</v>
      </c>
      <c r="E790" s="30" t="s">
        <v>15</v>
      </c>
      <c r="F790" s="30" t="s">
        <v>182</v>
      </c>
      <c r="G790" s="30"/>
      <c r="H790" s="30" t="s">
        <v>96</v>
      </c>
      <c r="I790" s="31" t="s">
        <v>29</v>
      </c>
    </row>
    <row r="791" spans="2:9" s="6" customFormat="1" ht="11.25" customHeight="1" x14ac:dyDescent="0.55000000000000004">
      <c r="B791" s="30" t="s">
        <v>1652</v>
      </c>
      <c r="C791" s="30" t="s">
        <v>1653</v>
      </c>
      <c r="D791" s="32">
        <v>83852</v>
      </c>
      <c r="E791" s="30" t="s">
        <v>15</v>
      </c>
      <c r="F791" s="30"/>
      <c r="G791" s="30" t="s">
        <v>16</v>
      </c>
      <c r="H791" s="30" t="s">
        <v>239</v>
      </c>
      <c r="I791" s="31" t="s">
        <v>29</v>
      </c>
    </row>
    <row r="792" spans="2:9" s="6" customFormat="1" ht="11.25" customHeight="1" x14ac:dyDescent="0.55000000000000004">
      <c r="B792" s="30" t="s">
        <v>1654</v>
      </c>
      <c r="C792" s="30" t="s">
        <v>1655</v>
      </c>
      <c r="D792" s="32">
        <v>90492</v>
      </c>
      <c r="E792" s="30" t="s">
        <v>20</v>
      </c>
      <c r="F792" s="30"/>
      <c r="G792" s="30" t="s">
        <v>155</v>
      </c>
      <c r="H792" s="30" t="s">
        <v>45</v>
      </c>
      <c r="I792" s="31">
        <v>3055.69</v>
      </c>
    </row>
    <row r="793" spans="2:9" s="6" customFormat="1" ht="11.25" customHeight="1" x14ac:dyDescent="0.55000000000000004">
      <c r="B793" s="30" t="s">
        <v>1656</v>
      </c>
      <c r="C793" s="30" t="s">
        <v>1657</v>
      </c>
      <c r="D793" s="32">
        <v>63266</v>
      </c>
      <c r="E793" s="30" t="s">
        <v>15</v>
      </c>
      <c r="F793" s="30"/>
      <c r="G793" s="30" t="s">
        <v>16</v>
      </c>
      <c r="H793" s="30" t="s">
        <v>75</v>
      </c>
      <c r="I793" s="31" t="s">
        <v>29</v>
      </c>
    </row>
    <row r="794" spans="2:9" s="6" customFormat="1" ht="11.25" customHeight="1" x14ac:dyDescent="0.55000000000000004">
      <c r="B794" s="30" t="s">
        <v>1658</v>
      </c>
      <c r="C794" s="30" t="s">
        <v>1659</v>
      </c>
      <c r="D794" s="32">
        <v>60035</v>
      </c>
      <c r="E794" s="30" t="s">
        <v>15</v>
      </c>
      <c r="F794" s="30"/>
      <c r="G794" s="30"/>
      <c r="H794" s="30" t="s">
        <v>735</v>
      </c>
      <c r="I794" s="31" t="s">
        <v>29</v>
      </c>
    </row>
    <row r="795" spans="2:9" s="6" customFormat="1" ht="11.25" customHeight="1" x14ac:dyDescent="0.55000000000000004">
      <c r="B795" s="30" t="s">
        <v>1660</v>
      </c>
      <c r="C795" s="30" t="s">
        <v>1661</v>
      </c>
      <c r="D795" s="32">
        <v>60144</v>
      </c>
      <c r="E795" s="30" t="s">
        <v>15</v>
      </c>
      <c r="F795" s="30" t="s">
        <v>1124</v>
      </c>
      <c r="G795" s="30"/>
      <c r="H795" s="30" t="s">
        <v>124</v>
      </c>
      <c r="I795" s="31" t="s">
        <v>29</v>
      </c>
    </row>
    <row r="796" spans="2:9" s="6" customFormat="1" ht="11.25" customHeight="1" x14ac:dyDescent="0.55000000000000004">
      <c r="B796" s="30" t="s">
        <v>1662</v>
      </c>
      <c r="C796" s="30" t="s">
        <v>1663</v>
      </c>
      <c r="D796" s="32">
        <v>60144</v>
      </c>
      <c r="E796" s="30" t="s">
        <v>15</v>
      </c>
      <c r="F796" s="30"/>
      <c r="G796" s="30"/>
      <c r="H796" s="30" t="s">
        <v>124</v>
      </c>
      <c r="I796" s="31" t="s">
        <v>29</v>
      </c>
    </row>
    <row r="797" spans="2:9" s="6" customFormat="1" ht="11.25" customHeight="1" x14ac:dyDescent="0.55000000000000004">
      <c r="B797" s="30" t="s">
        <v>1664</v>
      </c>
      <c r="C797" s="30" t="s">
        <v>1665</v>
      </c>
      <c r="D797" s="32">
        <v>60214</v>
      </c>
      <c r="E797" s="30" t="s">
        <v>15</v>
      </c>
      <c r="F797" s="30" t="s">
        <v>884</v>
      </c>
      <c r="G797" s="30"/>
      <c r="H797" s="30" t="s">
        <v>735</v>
      </c>
      <c r="I797" s="31" t="s">
        <v>29</v>
      </c>
    </row>
    <row r="798" spans="2:9" s="6" customFormat="1" ht="11.25" customHeight="1" x14ac:dyDescent="0.55000000000000004">
      <c r="B798" s="30" t="s">
        <v>1666</v>
      </c>
      <c r="C798" s="30" t="s">
        <v>1667</v>
      </c>
      <c r="D798" s="32">
        <v>60214</v>
      </c>
      <c r="E798" s="30" t="s">
        <v>15</v>
      </c>
      <c r="F798" s="30"/>
      <c r="G798" s="30"/>
      <c r="H798" s="30" t="s">
        <v>735</v>
      </c>
      <c r="I798" s="31" t="s">
        <v>29</v>
      </c>
    </row>
    <row r="799" spans="2:9" s="6" customFormat="1" ht="11.25" customHeight="1" x14ac:dyDescent="0.55000000000000004">
      <c r="B799" s="30" t="s">
        <v>1668</v>
      </c>
      <c r="C799" s="30" t="s">
        <v>1669</v>
      </c>
      <c r="D799" s="32">
        <v>84034</v>
      </c>
      <c r="E799" s="30" t="s">
        <v>20</v>
      </c>
      <c r="F799" s="30" t="s">
        <v>1670</v>
      </c>
      <c r="G799" s="30" t="s">
        <v>35</v>
      </c>
      <c r="H799" s="30" t="s">
        <v>89</v>
      </c>
      <c r="I799" s="31">
        <v>50904.035000000003</v>
      </c>
    </row>
    <row r="800" spans="2:9" s="6" customFormat="1" ht="11.25" customHeight="1" x14ac:dyDescent="0.55000000000000004">
      <c r="B800" s="30" t="s">
        <v>1671</v>
      </c>
      <c r="C800" s="30" t="s">
        <v>1672</v>
      </c>
      <c r="D800" s="32">
        <v>90328</v>
      </c>
      <c r="E800" s="30" t="s">
        <v>20</v>
      </c>
      <c r="F800" s="30" t="s">
        <v>95</v>
      </c>
      <c r="G800" s="30" t="s">
        <v>39</v>
      </c>
      <c r="H800" s="30" t="s">
        <v>22</v>
      </c>
      <c r="I800" s="31">
        <v>391686.12900000002</v>
      </c>
    </row>
    <row r="801" spans="2:9" s="6" customFormat="1" ht="11.25" customHeight="1" x14ac:dyDescent="0.55000000000000004">
      <c r="B801" s="30" t="s">
        <v>1673</v>
      </c>
      <c r="C801" s="30" t="s">
        <v>1674</v>
      </c>
      <c r="D801" s="32">
        <v>72010</v>
      </c>
      <c r="E801" s="30" t="s">
        <v>15</v>
      </c>
      <c r="F801" s="30"/>
      <c r="G801" s="30"/>
      <c r="H801" s="30" t="s">
        <v>105</v>
      </c>
      <c r="I801" s="31" t="s">
        <v>29</v>
      </c>
    </row>
    <row r="802" spans="2:9" s="6" customFormat="1" ht="11.25" customHeight="1" x14ac:dyDescent="0.55000000000000004">
      <c r="B802" s="30" t="s">
        <v>1675</v>
      </c>
      <c r="C802" s="30" t="s">
        <v>1676</v>
      </c>
      <c r="D802" s="32">
        <v>74888</v>
      </c>
      <c r="E802" s="30" t="s">
        <v>20</v>
      </c>
      <c r="F802" s="30"/>
      <c r="G802" s="30" t="s">
        <v>16</v>
      </c>
      <c r="H802" s="30" t="s">
        <v>429</v>
      </c>
      <c r="I802" s="31">
        <v>1983.38</v>
      </c>
    </row>
    <row r="803" spans="2:9" s="6" customFormat="1" ht="11.25" customHeight="1" x14ac:dyDescent="0.55000000000000004">
      <c r="B803" s="30" t="s">
        <v>1677</v>
      </c>
      <c r="C803" s="30" t="s">
        <v>1678</v>
      </c>
      <c r="D803" s="32">
        <v>63117</v>
      </c>
      <c r="E803" s="30" t="s">
        <v>15</v>
      </c>
      <c r="F803" s="30"/>
      <c r="G803" s="30" t="s">
        <v>16</v>
      </c>
      <c r="H803" s="30" t="s">
        <v>179</v>
      </c>
      <c r="I803" s="31" t="s">
        <v>29</v>
      </c>
    </row>
    <row r="804" spans="2:9" s="6" customFormat="1" ht="11.25" customHeight="1" x14ac:dyDescent="0.55000000000000004">
      <c r="B804" s="30" t="s">
        <v>1679</v>
      </c>
      <c r="C804" s="30" t="s">
        <v>1680</v>
      </c>
      <c r="D804" s="32">
        <v>92690</v>
      </c>
      <c r="E804" s="30" t="s">
        <v>15</v>
      </c>
      <c r="F804" s="30"/>
      <c r="G804" s="30"/>
      <c r="H804" s="30" t="s">
        <v>105</v>
      </c>
      <c r="I804" s="31" t="s">
        <v>29</v>
      </c>
    </row>
    <row r="805" spans="2:9" s="6" customFormat="1" ht="11.25" customHeight="1" x14ac:dyDescent="0.55000000000000004">
      <c r="B805" s="30" t="s">
        <v>1681</v>
      </c>
      <c r="C805" s="30" t="s">
        <v>1682</v>
      </c>
      <c r="D805" s="32">
        <v>74233</v>
      </c>
      <c r="E805" s="30" t="s">
        <v>20</v>
      </c>
      <c r="F805" s="30"/>
      <c r="G805" s="30" t="s">
        <v>25</v>
      </c>
      <c r="H805" s="30" t="s">
        <v>40</v>
      </c>
      <c r="I805" s="31">
        <v>6621.4750000000004</v>
      </c>
    </row>
    <row r="806" spans="2:9" s="6" customFormat="1" ht="11.25" customHeight="1" x14ac:dyDescent="0.55000000000000004">
      <c r="B806" s="30" t="s">
        <v>1683</v>
      </c>
      <c r="C806" s="30" t="s">
        <v>1684</v>
      </c>
      <c r="D806" s="32">
        <v>99481</v>
      </c>
      <c r="E806" s="30" t="s">
        <v>15</v>
      </c>
      <c r="F806" s="30"/>
      <c r="G806" s="30" t="s">
        <v>35</v>
      </c>
      <c r="H806" s="30" t="s">
        <v>113</v>
      </c>
      <c r="I806" s="31" t="s">
        <v>29</v>
      </c>
    </row>
    <row r="807" spans="2:9" s="6" customFormat="1" ht="11.25" customHeight="1" x14ac:dyDescent="0.55000000000000004">
      <c r="B807" s="30" t="s">
        <v>1685</v>
      </c>
      <c r="C807" s="30" t="s">
        <v>1686</v>
      </c>
      <c r="D807" s="32">
        <v>63517</v>
      </c>
      <c r="E807" s="30" t="s">
        <v>15</v>
      </c>
      <c r="F807" s="30"/>
      <c r="G807" s="30"/>
      <c r="H807" s="30" t="s">
        <v>48</v>
      </c>
      <c r="I807" s="31" t="s">
        <v>29</v>
      </c>
    </row>
    <row r="808" spans="2:9" s="6" customFormat="1" ht="11.25" customHeight="1" x14ac:dyDescent="0.55000000000000004">
      <c r="B808" s="30" t="s">
        <v>1687</v>
      </c>
      <c r="C808" s="30" t="s">
        <v>1688</v>
      </c>
      <c r="D808" s="32">
        <v>63525</v>
      </c>
      <c r="E808" s="30" t="s">
        <v>15</v>
      </c>
      <c r="F808" s="30"/>
      <c r="G808" s="30"/>
      <c r="H808" s="30" t="s">
        <v>48</v>
      </c>
      <c r="I808" s="31" t="s">
        <v>29</v>
      </c>
    </row>
    <row r="809" spans="2:9" s="6" customFormat="1" ht="11.25" customHeight="1" x14ac:dyDescent="0.55000000000000004">
      <c r="B809" s="30" t="s">
        <v>1689</v>
      </c>
      <c r="C809" s="30" t="s">
        <v>1690</v>
      </c>
      <c r="D809" s="32">
        <v>64300</v>
      </c>
      <c r="E809" s="30" t="s">
        <v>15</v>
      </c>
      <c r="F809" s="30" t="s">
        <v>465</v>
      </c>
      <c r="G809" s="30"/>
      <c r="H809" s="30" t="s">
        <v>45</v>
      </c>
      <c r="I809" s="31" t="s">
        <v>29</v>
      </c>
    </row>
    <row r="810" spans="2:9" s="6" customFormat="1" ht="11.25" customHeight="1" x14ac:dyDescent="0.55000000000000004">
      <c r="B810" s="30" t="s">
        <v>1691</v>
      </c>
      <c r="C810" s="30" t="s">
        <v>1692</v>
      </c>
      <c r="D810" s="32">
        <v>67652</v>
      </c>
      <c r="E810" s="30" t="s">
        <v>20</v>
      </c>
      <c r="F810" s="30" t="s">
        <v>137</v>
      </c>
      <c r="G810" s="30" t="s">
        <v>35</v>
      </c>
      <c r="H810" s="30" t="s">
        <v>150</v>
      </c>
      <c r="I810" s="31">
        <v>1360657.1910000001</v>
      </c>
    </row>
    <row r="811" spans="2:9" s="6" customFormat="1" ht="11.25" customHeight="1" x14ac:dyDescent="0.55000000000000004">
      <c r="B811" s="30" t="s">
        <v>1693</v>
      </c>
      <c r="C811" s="30" t="s">
        <v>1694</v>
      </c>
      <c r="D811" s="32">
        <v>78808</v>
      </c>
      <c r="E811" s="30" t="s">
        <v>15</v>
      </c>
      <c r="F811" s="30" t="s">
        <v>62</v>
      </c>
      <c r="G811" s="30"/>
      <c r="H811" s="30" t="s">
        <v>124</v>
      </c>
      <c r="I811" s="31" t="s">
        <v>29</v>
      </c>
    </row>
    <row r="812" spans="2:9" s="6" customFormat="1" ht="11.25" customHeight="1" x14ac:dyDescent="0.55000000000000004">
      <c r="B812" s="30" t="s">
        <v>1695</v>
      </c>
      <c r="C812" s="30" t="s">
        <v>1696</v>
      </c>
      <c r="D812" s="32">
        <v>78808</v>
      </c>
      <c r="E812" s="30" t="s">
        <v>15</v>
      </c>
      <c r="F812" s="30"/>
      <c r="G812" s="30"/>
      <c r="H812" s="30" t="s">
        <v>124</v>
      </c>
      <c r="I812" s="31" t="s">
        <v>29</v>
      </c>
    </row>
    <row r="813" spans="2:9" s="6" customFormat="1" ht="11.25" customHeight="1" x14ac:dyDescent="0.55000000000000004">
      <c r="B813" s="30" t="s">
        <v>1697</v>
      </c>
      <c r="C813" s="30" t="s">
        <v>1698</v>
      </c>
      <c r="D813" s="32">
        <v>71005</v>
      </c>
      <c r="E813" s="30" t="s">
        <v>20</v>
      </c>
      <c r="F813" s="30" t="s">
        <v>1699</v>
      </c>
      <c r="G813" s="30" t="s">
        <v>21</v>
      </c>
      <c r="H813" s="30" t="s">
        <v>124</v>
      </c>
      <c r="I813" s="31">
        <v>227288.49900000001</v>
      </c>
    </row>
    <row r="814" spans="2:9" s="6" customFormat="1" ht="11.25" customHeight="1" x14ac:dyDescent="0.55000000000000004">
      <c r="B814" s="30" t="s">
        <v>1700</v>
      </c>
      <c r="C814" s="30" t="s">
        <v>1701</v>
      </c>
      <c r="D814" s="32">
        <v>60084</v>
      </c>
      <c r="E814" s="30" t="s">
        <v>20</v>
      </c>
      <c r="F814" s="30" t="s">
        <v>1702</v>
      </c>
      <c r="G814" s="30" t="s">
        <v>155</v>
      </c>
      <c r="H814" s="30" t="s">
        <v>124</v>
      </c>
      <c r="I814" s="31">
        <v>494412.87800000003</v>
      </c>
    </row>
    <row r="815" spans="2:9" s="6" customFormat="1" ht="11.25" customHeight="1" x14ac:dyDescent="0.55000000000000004">
      <c r="B815" s="30" t="s">
        <v>1703</v>
      </c>
      <c r="C815" s="30" t="s">
        <v>1704</v>
      </c>
      <c r="D815" s="32">
        <v>60084</v>
      </c>
      <c r="E815" s="30" t="s">
        <v>20</v>
      </c>
      <c r="F815" s="30"/>
      <c r="G815" s="30"/>
      <c r="H815" s="30" t="s">
        <v>124</v>
      </c>
      <c r="I815" s="31" t="s">
        <v>29</v>
      </c>
    </row>
    <row r="816" spans="2:9" s="6" customFormat="1" ht="11.25" customHeight="1" x14ac:dyDescent="0.55000000000000004">
      <c r="B816" s="30" t="s">
        <v>1705</v>
      </c>
      <c r="C816" s="30" t="s">
        <v>1706</v>
      </c>
      <c r="D816" s="32">
        <v>60084</v>
      </c>
      <c r="E816" s="30" t="s">
        <v>20</v>
      </c>
      <c r="F816" s="30"/>
      <c r="G816" s="30"/>
      <c r="H816" s="30" t="s">
        <v>124</v>
      </c>
      <c r="I816" s="31" t="s">
        <v>29</v>
      </c>
    </row>
    <row r="817" spans="2:9" s="6" customFormat="1" ht="11.25" customHeight="1" x14ac:dyDescent="0.55000000000000004">
      <c r="B817" s="30" t="s">
        <v>1707</v>
      </c>
      <c r="C817" s="30" t="s">
        <v>1708</v>
      </c>
      <c r="D817" s="32">
        <v>74241</v>
      </c>
      <c r="E817" s="30" t="s">
        <v>15</v>
      </c>
      <c r="F817" s="30"/>
      <c r="G817" s="30"/>
      <c r="H817" s="30" t="s">
        <v>89</v>
      </c>
      <c r="I817" s="31" t="s">
        <v>29</v>
      </c>
    </row>
    <row r="818" spans="2:9" s="6" customFormat="1" ht="11.25" customHeight="1" x14ac:dyDescent="0.55000000000000004">
      <c r="B818" s="30" t="s">
        <v>1709</v>
      </c>
      <c r="C818" s="30" t="s">
        <v>1710</v>
      </c>
      <c r="D818" s="32">
        <v>92495</v>
      </c>
      <c r="E818" s="30" t="s">
        <v>15</v>
      </c>
      <c r="F818" s="30" t="s">
        <v>116</v>
      </c>
      <c r="G818" s="30" t="s">
        <v>155</v>
      </c>
      <c r="H818" s="30" t="s">
        <v>124</v>
      </c>
      <c r="I818" s="31" t="s">
        <v>29</v>
      </c>
    </row>
    <row r="819" spans="2:9" s="6" customFormat="1" ht="11.25" customHeight="1" x14ac:dyDescent="0.55000000000000004">
      <c r="B819" s="30" t="s">
        <v>1711</v>
      </c>
      <c r="C819" s="30" t="s">
        <v>1712</v>
      </c>
      <c r="D819" s="32">
        <v>92495</v>
      </c>
      <c r="E819" s="30" t="s">
        <v>15</v>
      </c>
      <c r="F819" s="30"/>
      <c r="G819" s="30"/>
      <c r="H819" s="30" t="s">
        <v>124</v>
      </c>
      <c r="I819" s="31" t="s">
        <v>29</v>
      </c>
    </row>
    <row r="820" spans="2:9" s="6" customFormat="1" ht="11.25" customHeight="1" x14ac:dyDescent="0.55000000000000004">
      <c r="B820" s="30" t="s">
        <v>1713</v>
      </c>
      <c r="C820" s="30" t="s">
        <v>1714</v>
      </c>
      <c r="D820" s="32">
        <v>78417</v>
      </c>
      <c r="E820" s="30" t="s">
        <v>20</v>
      </c>
      <c r="F820" s="30" t="s">
        <v>503</v>
      </c>
      <c r="G820" s="30" t="s">
        <v>155</v>
      </c>
      <c r="H820" s="30" t="s">
        <v>124</v>
      </c>
      <c r="I820" s="31">
        <v>2707568.5320000001</v>
      </c>
    </row>
    <row r="821" spans="2:9" s="6" customFormat="1" ht="11.25" customHeight="1" x14ac:dyDescent="0.55000000000000004">
      <c r="B821" s="30" t="s">
        <v>1715</v>
      </c>
      <c r="C821" s="30" t="s">
        <v>1716</v>
      </c>
      <c r="D821" s="32">
        <v>78417</v>
      </c>
      <c r="E821" s="30" t="s">
        <v>20</v>
      </c>
      <c r="F821" s="30"/>
      <c r="G821" s="30"/>
      <c r="H821" s="30" t="s">
        <v>124</v>
      </c>
      <c r="I821" s="31" t="s">
        <v>29</v>
      </c>
    </row>
    <row r="822" spans="2:9" s="6" customFormat="1" ht="11.25" customHeight="1" x14ac:dyDescent="0.55000000000000004">
      <c r="B822" s="30" t="s">
        <v>1717</v>
      </c>
      <c r="C822" s="30" t="s">
        <v>1718</v>
      </c>
      <c r="D822" s="32">
        <v>78417</v>
      </c>
      <c r="E822" s="30" t="s">
        <v>20</v>
      </c>
      <c r="F822" s="30"/>
      <c r="G822" s="30"/>
      <c r="H822" s="30" t="s">
        <v>124</v>
      </c>
      <c r="I822" s="31" t="s">
        <v>29</v>
      </c>
    </row>
    <row r="823" spans="2:9" s="6" customFormat="1" ht="11.25" customHeight="1" x14ac:dyDescent="0.55000000000000004">
      <c r="B823" s="30" t="s">
        <v>5544</v>
      </c>
      <c r="C823" s="30" t="s">
        <v>1719</v>
      </c>
      <c r="D823" s="32" t="s">
        <v>29</v>
      </c>
      <c r="E823" s="30" t="s">
        <v>20</v>
      </c>
      <c r="F823" s="30" t="s">
        <v>5544</v>
      </c>
      <c r="G823" s="30" t="s">
        <v>155</v>
      </c>
      <c r="H823" s="30" t="s">
        <v>45</v>
      </c>
      <c r="I823" s="31">
        <v>552059.63800000004</v>
      </c>
    </row>
    <row r="824" spans="2:9" s="6" customFormat="1" ht="11.25" customHeight="1" x14ac:dyDescent="0.55000000000000004">
      <c r="B824" s="30" t="s">
        <v>1720</v>
      </c>
      <c r="C824" s="30" t="s">
        <v>1721</v>
      </c>
      <c r="D824" s="32">
        <v>64297</v>
      </c>
      <c r="E824" s="30" t="s">
        <v>20</v>
      </c>
      <c r="F824" s="30" t="s">
        <v>1099</v>
      </c>
      <c r="G824" s="30" t="s">
        <v>21</v>
      </c>
      <c r="H824" s="30" t="s">
        <v>124</v>
      </c>
      <c r="I824" s="31">
        <v>4068529.855</v>
      </c>
    </row>
    <row r="825" spans="2:9" s="6" customFormat="1" ht="11.25" customHeight="1" x14ac:dyDescent="0.55000000000000004">
      <c r="B825" s="30" t="s">
        <v>1722</v>
      </c>
      <c r="C825" s="30" t="s">
        <v>1723</v>
      </c>
      <c r="D825" s="32">
        <v>64297</v>
      </c>
      <c r="E825" s="30" t="s">
        <v>20</v>
      </c>
      <c r="F825" s="30"/>
      <c r="G825" s="30"/>
      <c r="H825" s="30" t="s">
        <v>124</v>
      </c>
      <c r="I825" s="31" t="s">
        <v>29</v>
      </c>
    </row>
    <row r="826" spans="2:9" s="6" customFormat="1" ht="11.25" customHeight="1" x14ac:dyDescent="0.55000000000000004">
      <c r="B826" s="30" t="s">
        <v>1724</v>
      </c>
      <c r="C826" s="30" t="s">
        <v>1725</v>
      </c>
      <c r="D826" s="32">
        <v>64297</v>
      </c>
      <c r="E826" s="30" t="s">
        <v>20</v>
      </c>
      <c r="F826" s="30"/>
      <c r="G826" s="30"/>
      <c r="H826" s="30" t="s">
        <v>124</v>
      </c>
      <c r="I826" s="31" t="s">
        <v>29</v>
      </c>
    </row>
    <row r="827" spans="2:9" s="6" customFormat="1" ht="11.25" customHeight="1" x14ac:dyDescent="0.55000000000000004">
      <c r="B827" s="30" t="s">
        <v>1726</v>
      </c>
      <c r="C827" s="30" t="s">
        <v>1727</v>
      </c>
      <c r="D827" s="32">
        <v>77984</v>
      </c>
      <c r="E827" s="30" t="s">
        <v>15</v>
      </c>
      <c r="F827" s="30" t="s">
        <v>970</v>
      </c>
      <c r="G827" s="30"/>
      <c r="H827" s="30" t="s">
        <v>48</v>
      </c>
      <c r="I827" s="31" t="s">
        <v>29</v>
      </c>
    </row>
    <row r="828" spans="2:9" s="6" customFormat="1" ht="11.25" customHeight="1" x14ac:dyDescent="0.55000000000000004">
      <c r="B828" s="30" t="s">
        <v>1728</v>
      </c>
      <c r="C828" s="30" t="s">
        <v>1729</v>
      </c>
      <c r="D828" s="32">
        <v>77984</v>
      </c>
      <c r="E828" s="30" t="s">
        <v>15</v>
      </c>
      <c r="F828" s="30"/>
      <c r="G828" s="30"/>
      <c r="H828" s="30" t="s">
        <v>48</v>
      </c>
      <c r="I828" s="31" t="s">
        <v>29</v>
      </c>
    </row>
    <row r="829" spans="2:9" s="6" customFormat="1" ht="11.25" customHeight="1" x14ac:dyDescent="0.55000000000000004">
      <c r="B829" s="30" t="s">
        <v>1730</v>
      </c>
      <c r="C829" s="30" t="s">
        <v>1731</v>
      </c>
      <c r="D829" s="32">
        <v>63568</v>
      </c>
      <c r="E829" s="30" t="s">
        <v>15</v>
      </c>
      <c r="F829" s="30"/>
      <c r="G829" s="30" t="s">
        <v>16</v>
      </c>
      <c r="H829" s="30" t="s">
        <v>686</v>
      </c>
      <c r="I829" s="31" t="s">
        <v>29</v>
      </c>
    </row>
    <row r="830" spans="2:9" s="6" customFormat="1" ht="11.25" customHeight="1" x14ac:dyDescent="0.55000000000000004">
      <c r="B830" s="30" t="s">
        <v>1732</v>
      </c>
      <c r="C830" s="30" t="s">
        <v>1733</v>
      </c>
      <c r="D830" s="32">
        <v>14086</v>
      </c>
      <c r="E830" s="30" t="s">
        <v>15</v>
      </c>
      <c r="F830" s="30"/>
      <c r="G830" s="30" t="s">
        <v>265</v>
      </c>
      <c r="H830" s="30" t="s">
        <v>40</v>
      </c>
      <c r="I830" s="31" t="s">
        <v>29</v>
      </c>
    </row>
    <row r="831" spans="2:9" s="6" customFormat="1" ht="11.25" customHeight="1" x14ac:dyDescent="0.55000000000000004">
      <c r="B831" s="30" t="s">
        <v>1734</v>
      </c>
      <c r="C831" s="30" t="s">
        <v>1735</v>
      </c>
      <c r="D831" s="32">
        <v>60148</v>
      </c>
      <c r="E831" s="30" t="s">
        <v>15</v>
      </c>
      <c r="F831" s="30"/>
      <c r="G831" s="30" t="s">
        <v>16</v>
      </c>
      <c r="H831" s="30" t="s">
        <v>686</v>
      </c>
      <c r="I831" s="31" t="s">
        <v>29</v>
      </c>
    </row>
    <row r="832" spans="2:9" s="6" customFormat="1" ht="11.25" customHeight="1" x14ac:dyDescent="0.55000000000000004">
      <c r="B832" s="30" t="s">
        <v>1736</v>
      </c>
      <c r="C832" s="30" t="s">
        <v>1737</v>
      </c>
      <c r="D832" s="32">
        <v>76031</v>
      </c>
      <c r="E832" s="30" t="s">
        <v>20</v>
      </c>
      <c r="F832" s="30"/>
      <c r="G832" s="30" t="s">
        <v>16</v>
      </c>
      <c r="H832" s="30" t="s">
        <v>262</v>
      </c>
      <c r="I832" s="31">
        <v>30272.915000000001</v>
      </c>
    </row>
    <row r="833" spans="2:9" s="6" customFormat="1" ht="11.25" customHeight="1" x14ac:dyDescent="0.55000000000000004">
      <c r="B833" s="30" t="s">
        <v>1738</v>
      </c>
      <c r="C833" s="30" t="s">
        <v>1739</v>
      </c>
      <c r="D833" s="32">
        <v>90034</v>
      </c>
      <c r="E833" s="30" t="s">
        <v>15</v>
      </c>
      <c r="F833" s="30"/>
      <c r="G833" s="30"/>
      <c r="H833" s="30" t="s">
        <v>105</v>
      </c>
      <c r="I833" s="31" t="s">
        <v>29</v>
      </c>
    </row>
    <row r="834" spans="2:9" s="6" customFormat="1" ht="11.25" customHeight="1" x14ac:dyDescent="0.55000000000000004">
      <c r="B834" s="30" t="s">
        <v>1740</v>
      </c>
      <c r="C834" s="30" t="s">
        <v>1741</v>
      </c>
      <c r="D834" s="32">
        <v>85227</v>
      </c>
      <c r="E834" s="30" t="s">
        <v>15</v>
      </c>
      <c r="F834" s="30"/>
      <c r="G834" s="30"/>
      <c r="H834" s="30" t="s">
        <v>22</v>
      </c>
      <c r="I834" s="31" t="s">
        <v>29</v>
      </c>
    </row>
    <row r="835" spans="2:9" s="6" customFormat="1" ht="11.25" customHeight="1" x14ac:dyDescent="0.55000000000000004">
      <c r="B835" s="30" t="s">
        <v>1742</v>
      </c>
      <c r="C835" s="30" t="s">
        <v>1743</v>
      </c>
      <c r="D835" s="32">
        <v>60105</v>
      </c>
      <c r="E835" s="30" t="s">
        <v>15</v>
      </c>
      <c r="F835" s="30"/>
      <c r="G835" s="30"/>
      <c r="H835" s="30" t="s">
        <v>22</v>
      </c>
      <c r="I835" s="31" t="s">
        <v>29</v>
      </c>
    </row>
    <row r="836" spans="2:9" s="6" customFormat="1" ht="11.25" customHeight="1" x14ac:dyDescent="0.55000000000000004">
      <c r="B836" s="30" t="s">
        <v>1744</v>
      </c>
      <c r="C836" s="30" t="s">
        <v>1745</v>
      </c>
      <c r="D836" s="32">
        <v>63495</v>
      </c>
      <c r="E836" s="30" t="s">
        <v>20</v>
      </c>
      <c r="F836" s="30"/>
      <c r="G836" s="30" t="s">
        <v>265</v>
      </c>
      <c r="H836" s="30" t="s">
        <v>124</v>
      </c>
      <c r="I836" s="31">
        <v>2725013.92</v>
      </c>
    </row>
    <row r="837" spans="2:9" s="6" customFormat="1" ht="11.25" customHeight="1" x14ac:dyDescent="0.55000000000000004">
      <c r="B837" s="30" t="s">
        <v>1746</v>
      </c>
      <c r="C837" s="30" t="s">
        <v>1747</v>
      </c>
      <c r="D837" s="32">
        <v>63495</v>
      </c>
      <c r="E837" s="30" t="s">
        <v>20</v>
      </c>
      <c r="F837" s="30"/>
      <c r="G837" s="30"/>
      <c r="H837" s="30" t="s">
        <v>124</v>
      </c>
      <c r="I837" s="31" t="s">
        <v>29</v>
      </c>
    </row>
    <row r="838" spans="2:9" s="6" customFormat="1" ht="11.25" customHeight="1" x14ac:dyDescent="0.55000000000000004">
      <c r="B838" s="30" t="s">
        <v>1748</v>
      </c>
      <c r="C838" s="30" t="s">
        <v>1749</v>
      </c>
      <c r="D838" s="32">
        <v>63495</v>
      </c>
      <c r="E838" s="30" t="s">
        <v>20</v>
      </c>
      <c r="F838" s="30"/>
      <c r="G838" s="30"/>
      <c r="H838" s="30" t="s">
        <v>124</v>
      </c>
      <c r="I838" s="31" t="s">
        <v>29</v>
      </c>
    </row>
    <row r="839" spans="2:9" s="6" customFormat="1" ht="11.25" customHeight="1" x14ac:dyDescent="0.55000000000000004">
      <c r="B839" s="30" t="s">
        <v>1750</v>
      </c>
      <c r="C839" s="30" t="s">
        <v>1751</v>
      </c>
      <c r="D839" s="32">
        <v>79677</v>
      </c>
      <c r="E839" s="30" t="s">
        <v>15</v>
      </c>
      <c r="F839" s="30" t="s">
        <v>71</v>
      </c>
      <c r="G839" s="30" t="s">
        <v>25</v>
      </c>
      <c r="H839" s="30" t="s">
        <v>150</v>
      </c>
      <c r="I839" s="31" t="s">
        <v>29</v>
      </c>
    </row>
    <row r="840" spans="2:9" s="6" customFormat="1" ht="11.25" customHeight="1" x14ac:dyDescent="0.55000000000000004">
      <c r="B840" s="30" t="s">
        <v>1752</v>
      </c>
      <c r="C840" s="30" t="s">
        <v>1753</v>
      </c>
      <c r="D840" s="32">
        <v>91642</v>
      </c>
      <c r="E840" s="30" t="s">
        <v>20</v>
      </c>
      <c r="F840" s="30" t="s">
        <v>71</v>
      </c>
      <c r="G840" s="30" t="s">
        <v>155</v>
      </c>
      <c r="H840" s="30" t="s">
        <v>150</v>
      </c>
      <c r="I840" s="31">
        <v>36338345.792999998</v>
      </c>
    </row>
    <row r="841" spans="2:9" s="6" customFormat="1" ht="11.25" customHeight="1" x14ac:dyDescent="0.55000000000000004">
      <c r="B841" s="30" t="s">
        <v>1754</v>
      </c>
      <c r="C841" s="30" t="s">
        <v>1755</v>
      </c>
      <c r="D841" s="32">
        <v>91642</v>
      </c>
      <c r="E841" s="30" t="s">
        <v>20</v>
      </c>
      <c r="F841" s="30"/>
      <c r="G841" s="30"/>
      <c r="H841" s="30" t="s">
        <v>150</v>
      </c>
      <c r="I841" s="31" t="s">
        <v>29</v>
      </c>
    </row>
    <row r="842" spans="2:9" s="6" customFormat="1" ht="11.25" customHeight="1" x14ac:dyDescent="0.55000000000000004">
      <c r="B842" s="30" t="s">
        <v>1756</v>
      </c>
      <c r="C842" s="30" t="s">
        <v>1757</v>
      </c>
      <c r="D842" s="32">
        <v>91642</v>
      </c>
      <c r="E842" s="30" t="s">
        <v>20</v>
      </c>
      <c r="F842" s="30"/>
      <c r="G842" s="30"/>
      <c r="H842" s="30" t="s">
        <v>150</v>
      </c>
      <c r="I842" s="31" t="s">
        <v>29</v>
      </c>
    </row>
    <row r="843" spans="2:9" s="6" customFormat="1" ht="11.25" customHeight="1" x14ac:dyDescent="0.55000000000000004">
      <c r="B843" s="30" t="s">
        <v>1758</v>
      </c>
      <c r="C843" s="30" t="s">
        <v>1759</v>
      </c>
      <c r="D843" s="32">
        <v>77127</v>
      </c>
      <c r="E843" s="30" t="s">
        <v>15</v>
      </c>
      <c r="F843" s="30" t="s">
        <v>71</v>
      </c>
      <c r="G843" s="30" t="s">
        <v>35</v>
      </c>
      <c r="H843" s="30" t="s">
        <v>150</v>
      </c>
      <c r="I843" s="31" t="s">
        <v>29</v>
      </c>
    </row>
    <row r="844" spans="2:9" s="6" customFormat="1" ht="11.25" customHeight="1" x14ac:dyDescent="0.55000000000000004">
      <c r="B844" s="30" t="s">
        <v>1760</v>
      </c>
      <c r="C844" s="30" t="s">
        <v>1761</v>
      </c>
      <c r="D844" s="32">
        <v>79189</v>
      </c>
      <c r="E844" s="30" t="s">
        <v>15</v>
      </c>
      <c r="F844" s="30"/>
      <c r="G844" s="30"/>
      <c r="H844" s="30" t="s">
        <v>262</v>
      </c>
      <c r="I844" s="31" t="s">
        <v>29</v>
      </c>
    </row>
    <row r="845" spans="2:9" s="6" customFormat="1" ht="11.25" customHeight="1" x14ac:dyDescent="0.55000000000000004">
      <c r="B845" s="30" t="s">
        <v>1762</v>
      </c>
      <c r="C845" s="30" t="s">
        <v>1763</v>
      </c>
      <c r="D845" s="32">
        <v>64785</v>
      </c>
      <c r="E845" s="30" t="s">
        <v>15</v>
      </c>
      <c r="F845" s="30" t="s">
        <v>290</v>
      </c>
      <c r="G845" s="30"/>
      <c r="H845" s="30" t="s">
        <v>735</v>
      </c>
      <c r="I845" s="31" t="s">
        <v>29</v>
      </c>
    </row>
    <row r="846" spans="2:9" s="6" customFormat="1" ht="11.25" customHeight="1" x14ac:dyDescent="0.55000000000000004">
      <c r="B846" s="30" t="s">
        <v>1764</v>
      </c>
      <c r="C846" s="30" t="s">
        <v>1765</v>
      </c>
      <c r="D846" s="32">
        <v>83992</v>
      </c>
      <c r="E846" s="30" t="s">
        <v>20</v>
      </c>
      <c r="F846" s="30"/>
      <c r="G846" s="30" t="s">
        <v>25</v>
      </c>
      <c r="H846" s="30" t="s">
        <v>266</v>
      </c>
      <c r="I846" s="31">
        <v>5314.05</v>
      </c>
    </row>
    <row r="847" spans="2:9" s="6" customFormat="1" ht="11.25" customHeight="1" x14ac:dyDescent="0.55000000000000004">
      <c r="B847" s="30" t="s">
        <v>1766</v>
      </c>
      <c r="C847" s="30" t="s">
        <v>1767</v>
      </c>
      <c r="D847" s="32">
        <v>98914</v>
      </c>
      <c r="E847" s="30" t="s">
        <v>15</v>
      </c>
      <c r="F847" s="30"/>
      <c r="G847" s="30"/>
      <c r="H847" s="30" t="s">
        <v>266</v>
      </c>
      <c r="I847" s="31" t="s">
        <v>29</v>
      </c>
    </row>
    <row r="848" spans="2:9" s="6" customFormat="1" ht="11.25" customHeight="1" x14ac:dyDescent="0.55000000000000004">
      <c r="B848" s="30" t="s">
        <v>1768</v>
      </c>
      <c r="C848" s="30" t="s">
        <v>1769</v>
      </c>
      <c r="D848" s="32">
        <v>78409</v>
      </c>
      <c r="E848" s="30" t="s">
        <v>15</v>
      </c>
      <c r="F848" s="30"/>
      <c r="G848" s="30" t="s">
        <v>16</v>
      </c>
      <c r="H848" s="30" t="s">
        <v>239</v>
      </c>
      <c r="I848" s="31" t="s">
        <v>29</v>
      </c>
    </row>
    <row r="849" spans="2:9" s="6" customFormat="1" ht="11.25" customHeight="1" x14ac:dyDescent="0.55000000000000004">
      <c r="B849" s="30" t="s">
        <v>1770</v>
      </c>
      <c r="C849" s="30" t="s">
        <v>1771</v>
      </c>
      <c r="D849" s="32">
        <v>89079</v>
      </c>
      <c r="E849" s="30" t="s">
        <v>20</v>
      </c>
      <c r="F849" s="30"/>
      <c r="G849" s="30" t="s">
        <v>80</v>
      </c>
      <c r="H849" s="30" t="s">
        <v>108</v>
      </c>
      <c r="I849" s="31">
        <v>106454.23</v>
      </c>
    </row>
    <row r="850" spans="2:9" s="6" customFormat="1" ht="11.25" customHeight="1" x14ac:dyDescent="0.55000000000000004">
      <c r="B850" s="30" t="s">
        <v>1772</v>
      </c>
      <c r="C850" s="30" t="s">
        <v>1773</v>
      </c>
      <c r="D850" s="32">
        <v>68489</v>
      </c>
      <c r="E850" s="30" t="s">
        <v>15</v>
      </c>
      <c r="F850" s="30"/>
      <c r="G850" s="30"/>
      <c r="H850" s="30" t="s">
        <v>92</v>
      </c>
      <c r="I850" s="31" t="s">
        <v>29</v>
      </c>
    </row>
    <row r="851" spans="2:9" s="6" customFormat="1" ht="11.25" customHeight="1" x14ac:dyDescent="0.55000000000000004">
      <c r="B851" s="30" t="s">
        <v>1774</v>
      </c>
      <c r="C851" s="30" t="s">
        <v>1775</v>
      </c>
      <c r="D851" s="32">
        <v>63622</v>
      </c>
      <c r="E851" s="30" t="s">
        <v>15</v>
      </c>
      <c r="F851" s="30" t="s">
        <v>116</v>
      </c>
      <c r="G851" s="30"/>
      <c r="H851" s="30" t="s">
        <v>22</v>
      </c>
      <c r="I851" s="31" t="s">
        <v>29</v>
      </c>
    </row>
    <row r="852" spans="2:9" s="6" customFormat="1" ht="11.25" customHeight="1" x14ac:dyDescent="0.55000000000000004">
      <c r="B852" s="30" t="s">
        <v>1776</v>
      </c>
      <c r="C852" s="30" t="s">
        <v>1777</v>
      </c>
      <c r="D852" s="32">
        <v>63622</v>
      </c>
      <c r="E852" s="30" t="s">
        <v>15</v>
      </c>
      <c r="F852" s="30"/>
      <c r="G852" s="30"/>
      <c r="H852" s="30" t="s">
        <v>22</v>
      </c>
      <c r="I852" s="31" t="s">
        <v>29</v>
      </c>
    </row>
    <row r="853" spans="2:9" s="6" customFormat="1" ht="11.25" customHeight="1" x14ac:dyDescent="0.55000000000000004">
      <c r="B853" s="30" t="s">
        <v>1778</v>
      </c>
      <c r="C853" s="30" t="s">
        <v>1779</v>
      </c>
      <c r="D853" s="32">
        <v>98655</v>
      </c>
      <c r="E853" s="30" t="s">
        <v>15</v>
      </c>
      <c r="F853" s="30"/>
      <c r="G853" s="30"/>
      <c r="H853" s="30" t="s">
        <v>179</v>
      </c>
      <c r="I853" s="31" t="s">
        <v>29</v>
      </c>
    </row>
    <row r="854" spans="2:9" s="6" customFormat="1" ht="11.25" customHeight="1" x14ac:dyDescent="0.55000000000000004">
      <c r="B854" s="30" t="s">
        <v>1780</v>
      </c>
      <c r="C854" s="30" t="s">
        <v>1781</v>
      </c>
      <c r="D854" s="32">
        <v>62324</v>
      </c>
      <c r="E854" s="30" t="s">
        <v>20</v>
      </c>
      <c r="F854" s="30" t="s">
        <v>149</v>
      </c>
      <c r="G854" s="30" t="s">
        <v>21</v>
      </c>
      <c r="H854" s="30" t="s">
        <v>113</v>
      </c>
      <c r="I854" s="31">
        <v>321149.33400000003</v>
      </c>
    </row>
    <row r="855" spans="2:9" s="6" customFormat="1" ht="11.25" customHeight="1" x14ac:dyDescent="0.55000000000000004">
      <c r="B855" s="30" t="s">
        <v>1782</v>
      </c>
      <c r="C855" s="30" t="s">
        <v>1783</v>
      </c>
      <c r="D855" s="32">
        <v>62154</v>
      </c>
      <c r="E855" s="30" t="s">
        <v>15</v>
      </c>
      <c r="F855" s="30"/>
      <c r="G855" s="30" t="s">
        <v>35</v>
      </c>
      <c r="H855" s="30" t="s">
        <v>239</v>
      </c>
      <c r="I855" s="31" t="s">
        <v>29</v>
      </c>
    </row>
    <row r="856" spans="2:9" s="6" customFormat="1" ht="11.25" customHeight="1" x14ac:dyDescent="0.55000000000000004">
      <c r="B856" s="30" t="s">
        <v>1784</v>
      </c>
      <c r="C856" s="30" t="s">
        <v>1785</v>
      </c>
      <c r="D856" s="32">
        <v>99457</v>
      </c>
      <c r="E856" s="30" t="s">
        <v>15</v>
      </c>
      <c r="F856" s="30"/>
      <c r="G856" s="30" t="s">
        <v>16</v>
      </c>
      <c r="H856" s="30" t="s">
        <v>113</v>
      </c>
      <c r="I856" s="31" t="s">
        <v>29</v>
      </c>
    </row>
    <row r="857" spans="2:9" s="6" customFormat="1" ht="11.25" customHeight="1" x14ac:dyDescent="0.55000000000000004">
      <c r="B857" s="30" t="s">
        <v>1786</v>
      </c>
      <c r="C857" s="30" t="s">
        <v>1787</v>
      </c>
      <c r="D857" s="32">
        <v>90360</v>
      </c>
      <c r="E857" s="30" t="s">
        <v>15</v>
      </c>
      <c r="F857" s="30" t="s">
        <v>1788</v>
      </c>
      <c r="G857" s="30"/>
      <c r="H857" s="30" t="s">
        <v>113</v>
      </c>
      <c r="I857" s="31" t="s">
        <v>29</v>
      </c>
    </row>
    <row r="858" spans="2:9" s="6" customFormat="1" ht="11.25" customHeight="1" x14ac:dyDescent="0.55000000000000004">
      <c r="B858" s="30" t="s">
        <v>1789</v>
      </c>
      <c r="C858" s="30" t="s">
        <v>1790</v>
      </c>
      <c r="D858" s="32">
        <v>99260</v>
      </c>
      <c r="E858" s="30" t="s">
        <v>15</v>
      </c>
      <c r="F858" s="30" t="s">
        <v>709</v>
      </c>
      <c r="G858" s="30"/>
      <c r="H858" s="30" t="s">
        <v>150</v>
      </c>
      <c r="I858" s="31" t="s">
        <v>29</v>
      </c>
    </row>
    <row r="859" spans="2:9" s="6" customFormat="1" ht="11.25" customHeight="1" x14ac:dyDescent="0.55000000000000004">
      <c r="B859" s="30" t="s">
        <v>1791</v>
      </c>
      <c r="C859" s="30" t="s">
        <v>1792</v>
      </c>
      <c r="D859" s="32" t="s">
        <v>29</v>
      </c>
      <c r="E859" s="30" t="s">
        <v>20</v>
      </c>
      <c r="F859" s="30" t="s">
        <v>1791</v>
      </c>
      <c r="G859" s="30" t="s">
        <v>265</v>
      </c>
      <c r="H859" s="30" t="s">
        <v>113</v>
      </c>
      <c r="I859" s="31">
        <v>1532396.8810000001</v>
      </c>
    </row>
    <row r="860" spans="2:9" s="6" customFormat="1" ht="11.25" customHeight="1" x14ac:dyDescent="0.55000000000000004">
      <c r="B860" s="30" t="s">
        <v>1793</v>
      </c>
      <c r="C860" s="30" t="s">
        <v>1794</v>
      </c>
      <c r="D860" s="32">
        <v>16617</v>
      </c>
      <c r="E860" s="30" t="s">
        <v>20</v>
      </c>
      <c r="F860" s="30" t="s">
        <v>1791</v>
      </c>
      <c r="G860" s="30" t="s">
        <v>35</v>
      </c>
      <c r="H860" s="30" t="s">
        <v>113</v>
      </c>
      <c r="I860" s="31">
        <v>6590.5630000000001</v>
      </c>
    </row>
    <row r="861" spans="2:9" s="6" customFormat="1" ht="11.25" customHeight="1" x14ac:dyDescent="0.55000000000000004">
      <c r="B861" s="30" t="s">
        <v>1795</v>
      </c>
      <c r="C861" s="30" t="s">
        <v>1796</v>
      </c>
      <c r="D861" s="32">
        <v>99775</v>
      </c>
      <c r="E861" s="30" t="s">
        <v>20</v>
      </c>
      <c r="F861" s="30" t="s">
        <v>1791</v>
      </c>
      <c r="G861" s="30" t="s">
        <v>265</v>
      </c>
      <c r="H861" s="30" t="s">
        <v>113</v>
      </c>
      <c r="I861" s="31">
        <v>1512467.443</v>
      </c>
    </row>
    <row r="862" spans="2:9" s="6" customFormat="1" ht="11.25" customHeight="1" x14ac:dyDescent="0.55000000000000004">
      <c r="B862" s="30" t="s">
        <v>1797</v>
      </c>
      <c r="C862" s="30" t="s">
        <v>1798</v>
      </c>
      <c r="D862" s="32">
        <v>78549</v>
      </c>
      <c r="E862" s="30" t="s">
        <v>15</v>
      </c>
      <c r="F862" s="30"/>
      <c r="G862" s="30" t="s">
        <v>80</v>
      </c>
      <c r="H862" s="30" t="s">
        <v>105</v>
      </c>
      <c r="I862" s="31" t="s">
        <v>29</v>
      </c>
    </row>
    <row r="863" spans="2:9" s="6" customFormat="1" ht="11.25" customHeight="1" x14ac:dyDescent="0.55000000000000004">
      <c r="B863" s="30" t="s">
        <v>1799</v>
      </c>
      <c r="C863" s="30" t="s">
        <v>1800</v>
      </c>
      <c r="D863" s="32">
        <v>63657</v>
      </c>
      <c r="E863" s="30" t="s">
        <v>20</v>
      </c>
      <c r="F863" s="30" t="s">
        <v>283</v>
      </c>
      <c r="G863" s="30" t="s">
        <v>35</v>
      </c>
      <c r="H863" s="30" t="s">
        <v>113</v>
      </c>
      <c r="I863" s="31">
        <v>145220.753</v>
      </c>
    </row>
    <row r="864" spans="2:9" s="6" customFormat="1" ht="11.25" customHeight="1" x14ac:dyDescent="0.55000000000000004">
      <c r="B864" s="30" t="s">
        <v>1801</v>
      </c>
      <c r="C864" s="30" t="s">
        <v>1802</v>
      </c>
      <c r="D864" s="32">
        <v>81698</v>
      </c>
      <c r="E864" s="30" t="s">
        <v>15</v>
      </c>
      <c r="F864" s="30" t="s">
        <v>428</v>
      </c>
      <c r="G864" s="30"/>
      <c r="H864" s="30" t="s">
        <v>239</v>
      </c>
      <c r="I864" s="31" t="s">
        <v>29</v>
      </c>
    </row>
    <row r="865" spans="2:9" s="6" customFormat="1" ht="11.25" customHeight="1" x14ac:dyDescent="0.55000000000000004">
      <c r="B865" s="30" t="s">
        <v>1803</v>
      </c>
      <c r="C865" s="30" t="s">
        <v>1804</v>
      </c>
      <c r="D865" s="32">
        <v>80497</v>
      </c>
      <c r="E865" s="30" t="s">
        <v>15</v>
      </c>
      <c r="F865" s="30"/>
      <c r="G865" s="30"/>
      <c r="H865" s="30" t="s">
        <v>22</v>
      </c>
      <c r="I865" s="31" t="s">
        <v>29</v>
      </c>
    </row>
    <row r="866" spans="2:9" s="6" customFormat="1" ht="11.25" customHeight="1" x14ac:dyDescent="0.55000000000000004">
      <c r="B866" s="30" t="s">
        <v>1805</v>
      </c>
      <c r="C866" s="30" t="s">
        <v>1806</v>
      </c>
      <c r="D866" s="32">
        <v>63665</v>
      </c>
      <c r="E866" s="30" t="s">
        <v>15</v>
      </c>
      <c r="F866" s="30" t="s">
        <v>428</v>
      </c>
      <c r="G866" s="30" t="s">
        <v>25</v>
      </c>
      <c r="H866" s="30" t="s">
        <v>500</v>
      </c>
      <c r="I866" s="31" t="s">
        <v>29</v>
      </c>
    </row>
    <row r="867" spans="2:9" s="6" customFormat="1" ht="11.25" customHeight="1" x14ac:dyDescent="0.55000000000000004">
      <c r="B867" s="30" t="s">
        <v>1807</v>
      </c>
      <c r="C867" s="30" t="s">
        <v>1808</v>
      </c>
      <c r="D867" s="32">
        <v>63665</v>
      </c>
      <c r="E867" s="30" t="s">
        <v>15</v>
      </c>
      <c r="F867" s="30"/>
      <c r="G867" s="30"/>
      <c r="H867" s="30" t="s">
        <v>500</v>
      </c>
      <c r="I867" s="31" t="s">
        <v>29</v>
      </c>
    </row>
    <row r="868" spans="2:9" s="6" customFormat="1" ht="11.25" customHeight="1" x14ac:dyDescent="0.55000000000000004">
      <c r="B868" s="30" t="s">
        <v>1809</v>
      </c>
      <c r="C868" s="30" t="s">
        <v>1810</v>
      </c>
      <c r="D868" s="32">
        <v>63665</v>
      </c>
      <c r="E868" s="30" t="s">
        <v>15</v>
      </c>
      <c r="F868" s="30"/>
      <c r="G868" s="30"/>
      <c r="H868" s="30" t="s">
        <v>500</v>
      </c>
      <c r="I868" s="31" t="s">
        <v>29</v>
      </c>
    </row>
    <row r="869" spans="2:9" s="6" customFormat="1" ht="11.25" customHeight="1" x14ac:dyDescent="0.55000000000000004">
      <c r="B869" s="30" t="s">
        <v>1424</v>
      </c>
      <c r="C869" s="30" t="s">
        <v>1811</v>
      </c>
      <c r="D869" s="32" t="s">
        <v>29</v>
      </c>
      <c r="E869" s="30" t="s">
        <v>20</v>
      </c>
      <c r="F869" s="30" t="s">
        <v>1424</v>
      </c>
      <c r="G869" s="30" t="s">
        <v>194</v>
      </c>
      <c r="H869" s="30" t="s">
        <v>86</v>
      </c>
      <c r="I869" s="31">
        <v>37525933.616999999</v>
      </c>
    </row>
    <row r="870" spans="2:9" s="6" customFormat="1" ht="11.25" customHeight="1" x14ac:dyDescent="0.55000000000000004">
      <c r="B870" s="30" t="s">
        <v>1812</v>
      </c>
      <c r="C870" s="30" t="s">
        <v>1813</v>
      </c>
      <c r="D870" s="32">
        <v>93521</v>
      </c>
      <c r="E870" s="30" t="s">
        <v>20</v>
      </c>
      <c r="F870" s="30"/>
      <c r="G870" s="30" t="s">
        <v>80</v>
      </c>
      <c r="H870" s="30" t="s">
        <v>239</v>
      </c>
      <c r="I870" s="31">
        <v>8064.6390000000001</v>
      </c>
    </row>
    <row r="871" spans="2:9" s="6" customFormat="1" ht="11.25" customHeight="1" x14ac:dyDescent="0.55000000000000004">
      <c r="B871" s="30" t="s">
        <v>1814</v>
      </c>
      <c r="C871" s="30" t="s">
        <v>1815</v>
      </c>
      <c r="D871" s="32">
        <v>64305</v>
      </c>
      <c r="E871" s="30" t="s">
        <v>15</v>
      </c>
      <c r="F871" s="30"/>
      <c r="G871" s="30"/>
      <c r="H871" s="30" t="s">
        <v>22</v>
      </c>
      <c r="I871" s="31" t="s">
        <v>29</v>
      </c>
    </row>
    <row r="872" spans="2:9" s="6" customFormat="1" ht="11.25" customHeight="1" x14ac:dyDescent="0.55000000000000004">
      <c r="B872" s="30" t="s">
        <v>1816</v>
      </c>
      <c r="C872" s="30" t="s">
        <v>1817</v>
      </c>
      <c r="D872" s="32">
        <v>86045</v>
      </c>
      <c r="E872" s="30" t="s">
        <v>15</v>
      </c>
      <c r="F872" s="30"/>
      <c r="G872" s="30"/>
      <c r="H872" s="30" t="s">
        <v>500</v>
      </c>
      <c r="I872" s="31" t="s">
        <v>29</v>
      </c>
    </row>
    <row r="873" spans="2:9" s="6" customFormat="1" ht="11.25" customHeight="1" x14ac:dyDescent="0.55000000000000004">
      <c r="B873" s="30" t="s">
        <v>1818</v>
      </c>
      <c r="C873" s="30" t="s">
        <v>1819</v>
      </c>
      <c r="D873" s="32">
        <v>86258</v>
      </c>
      <c r="E873" s="30" t="s">
        <v>20</v>
      </c>
      <c r="F873" s="30" t="s">
        <v>786</v>
      </c>
      <c r="G873" s="30" t="s">
        <v>194</v>
      </c>
      <c r="H873" s="30" t="s">
        <v>96</v>
      </c>
      <c r="I873" s="31">
        <v>4593286.7520000003</v>
      </c>
    </row>
    <row r="874" spans="2:9" s="6" customFormat="1" ht="11.25" customHeight="1" x14ac:dyDescent="0.55000000000000004">
      <c r="B874" s="30" t="s">
        <v>1820</v>
      </c>
      <c r="C874" s="30" t="s">
        <v>1821</v>
      </c>
      <c r="D874" s="32">
        <v>80039</v>
      </c>
      <c r="E874" s="30" t="s">
        <v>15</v>
      </c>
      <c r="F874" s="30"/>
      <c r="G874" s="30" t="s">
        <v>16</v>
      </c>
      <c r="H874" s="30" t="s">
        <v>150</v>
      </c>
      <c r="I874" s="31" t="s">
        <v>29</v>
      </c>
    </row>
    <row r="875" spans="2:9" s="6" customFormat="1" ht="11.25" customHeight="1" x14ac:dyDescent="0.55000000000000004">
      <c r="B875" s="30" t="s">
        <v>1822</v>
      </c>
      <c r="C875" s="30" t="s">
        <v>1823</v>
      </c>
      <c r="D875" s="32" t="s">
        <v>29</v>
      </c>
      <c r="E875" s="30" t="s">
        <v>20</v>
      </c>
      <c r="F875" s="30" t="s">
        <v>1822</v>
      </c>
      <c r="G875" s="30" t="s">
        <v>21</v>
      </c>
      <c r="H875" s="30" t="s">
        <v>146</v>
      </c>
      <c r="I875" s="31">
        <v>385236.29</v>
      </c>
    </row>
    <row r="876" spans="2:9" s="6" customFormat="1" ht="11.25" customHeight="1" x14ac:dyDescent="0.55000000000000004">
      <c r="B876" s="30" t="s">
        <v>451</v>
      </c>
      <c r="C876" s="30" t="s">
        <v>1824</v>
      </c>
      <c r="D876" s="32" t="s">
        <v>29</v>
      </c>
      <c r="E876" s="30" t="s">
        <v>20</v>
      </c>
      <c r="F876" s="30" t="s">
        <v>451</v>
      </c>
      <c r="G876" s="30" t="s">
        <v>39</v>
      </c>
      <c r="H876" s="30" t="s">
        <v>26</v>
      </c>
      <c r="I876" s="31">
        <v>68522018.291999996</v>
      </c>
    </row>
    <row r="877" spans="2:9" s="6" customFormat="1" ht="11.25" customHeight="1" x14ac:dyDescent="0.55000000000000004">
      <c r="B877" s="30" t="s">
        <v>1825</v>
      </c>
      <c r="C877" s="30" t="s">
        <v>1826</v>
      </c>
      <c r="D877" s="32" t="s">
        <v>29</v>
      </c>
      <c r="E877" s="30" t="s">
        <v>20</v>
      </c>
      <c r="F877" s="30"/>
      <c r="G877" s="30"/>
      <c r="H877" s="30" t="s">
        <v>26</v>
      </c>
      <c r="I877" s="31" t="s">
        <v>29</v>
      </c>
    </row>
    <row r="878" spans="2:9" s="6" customFormat="1" ht="11.25" customHeight="1" x14ac:dyDescent="0.55000000000000004">
      <c r="B878" s="30" t="s">
        <v>1827</v>
      </c>
      <c r="C878" s="30" t="s">
        <v>1828</v>
      </c>
      <c r="D878" s="32">
        <v>94072</v>
      </c>
      <c r="E878" s="30" t="s">
        <v>20</v>
      </c>
      <c r="F878" s="30" t="s">
        <v>451</v>
      </c>
      <c r="G878" s="30" t="s">
        <v>16</v>
      </c>
      <c r="H878" s="30" t="s">
        <v>26</v>
      </c>
      <c r="I878" s="31">
        <v>8974.1219999999994</v>
      </c>
    </row>
    <row r="879" spans="2:9" s="6" customFormat="1" ht="11.25" customHeight="1" x14ac:dyDescent="0.55000000000000004">
      <c r="B879" s="30" t="s">
        <v>1829</v>
      </c>
      <c r="C879" s="30" t="s">
        <v>1830</v>
      </c>
      <c r="D879" s="32">
        <v>65536</v>
      </c>
      <c r="E879" s="30" t="s">
        <v>20</v>
      </c>
      <c r="F879" s="30" t="s">
        <v>451</v>
      </c>
      <c r="G879" s="30" t="s">
        <v>16</v>
      </c>
      <c r="H879" s="30" t="s">
        <v>26</v>
      </c>
      <c r="I879" s="31">
        <v>21575086.854000002</v>
      </c>
    </row>
    <row r="880" spans="2:9" s="6" customFormat="1" ht="11.25" customHeight="1" x14ac:dyDescent="0.55000000000000004">
      <c r="B880" s="30" t="s">
        <v>1831</v>
      </c>
      <c r="C880" s="30" t="s">
        <v>1832</v>
      </c>
      <c r="D880" s="32">
        <v>65536</v>
      </c>
      <c r="E880" s="30" t="s">
        <v>20</v>
      </c>
      <c r="F880" s="30"/>
      <c r="G880" s="30"/>
      <c r="H880" s="30" t="s">
        <v>26</v>
      </c>
      <c r="I880" s="31" t="s">
        <v>29</v>
      </c>
    </row>
    <row r="881" spans="2:9" s="6" customFormat="1" ht="11.25" customHeight="1" x14ac:dyDescent="0.55000000000000004">
      <c r="B881" s="30" t="s">
        <v>1833</v>
      </c>
      <c r="C881" s="30" t="s">
        <v>1834</v>
      </c>
      <c r="D881" s="32">
        <v>65536</v>
      </c>
      <c r="E881" s="30" t="s">
        <v>20</v>
      </c>
      <c r="F881" s="30"/>
      <c r="G881" s="30"/>
      <c r="H881" s="30" t="s">
        <v>26</v>
      </c>
      <c r="I881" s="31" t="s">
        <v>29</v>
      </c>
    </row>
    <row r="882" spans="2:9" s="6" customFormat="1" ht="11.25" customHeight="1" x14ac:dyDescent="0.55000000000000004">
      <c r="B882" s="30" t="s">
        <v>1835</v>
      </c>
      <c r="C882" s="30" t="s">
        <v>1836</v>
      </c>
      <c r="D882" s="32">
        <v>72990</v>
      </c>
      <c r="E882" s="30" t="s">
        <v>20</v>
      </c>
      <c r="F882" s="30" t="s">
        <v>451</v>
      </c>
      <c r="G882" s="30" t="s">
        <v>39</v>
      </c>
      <c r="H882" s="30" t="s">
        <v>124</v>
      </c>
      <c r="I882" s="31">
        <v>7604753.0669999998</v>
      </c>
    </row>
    <row r="883" spans="2:9" s="6" customFormat="1" ht="11.25" customHeight="1" x14ac:dyDescent="0.55000000000000004">
      <c r="B883" s="30" t="s">
        <v>1837</v>
      </c>
      <c r="C883" s="30" t="s">
        <v>1838</v>
      </c>
      <c r="D883" s="32">
        <v>72990</v>
      </c>
      <c r="E883" s="30" t="s">
        <v>20</v>
      </c>
      <c r="F883" s="30"/>
      <c r="G883" s="30"/>
      <c r="H883" s="30" t="s">
        <v>124</v>
      </c>
      <c r="I883" s="31" t="s">
        <v>29</v>
      </c>
    </row>
    <row r="884" spans="2:9" s="6" customFormat="1" ht="11.25" customHeight="1" x14ac:dyDescent="0.55000000000000004">
      <c r="B884" s="30" t="s">
        <v>1839</v>
      </c>
      <c r="C884" s="30" t="s">
        <v>1840</v>
      </c>
      <c r="D884" s="32">
        <v>72990</v>
      </c>
      <c r="E884" s="30" t="s">
        <v>20</v>
      </c>
      <c r="F884" s="30"/>
      <c r="G884" s="30"/>
      <c r="H884" s="30" t="s">
        <v>124</v>
      </c>
      <c r="I884" s="31" t="s">
        <v>29</v>
      </c>
    </row>
    <row r="885" spans="2:9" s="6" customFormat="1" ht="11.25" customHeight="1" x14ac:dyDescent="0.55000000000000004">
      <c r="B885" s="30" t="s">
        <v>1841</v>
      </c>
      <c r="C885" s="30" t="s">
        <v>1842</v>
      </c>
      <c r="D885" s="32">
        <v>70025</v>
      </c>
      <c r="E885" s="30" t="s">
        <v>20</v>
      </c>
      <c r="F885" s="30" t="s">
        <v>451</v>
      </c>
      <c r="G885" s="30" t="s">
        <v>39</v>
      </c>
      <c r="H885" s="30" t="s">
        <v>26</v>
      </c>
      <c r="I885" s="31">
        <v>40635138.417000003</v>
      </c>
    </row>
    <row r="886" spans="2:9" s="6" customFormat="1" ht="11.25" customHeight="1" x14ac:dyDescent="0.55000000000000004">
      <c r="B886" s="30" t="s">
        <v>1843</v>
      </c>
      <c r="C886" s="30" t="s">
        <v>1844</v>
      </c>
      <c r="D886" s="32">
        <v>70025</v>
      </c>
      <c r="E886" s="30" t="s">
        <v>20</v>
      </c>
      <c r="F886" s="30"/>
      <c r="G886" s="30"/>
      <c r="H886" s="30" t="s">
        <v>26</v>
      </c>
      <c r="I886" s="31" t="s">
        <v>29</v>
      </c>
    </row>
    <row r="887" spans="2:9" s="6" customFormat="1" ht="11.25" customHeight="1" x14ac:dyDescent="0.55000000000000004">
      <c r="B887" s="30" t="s">
        <v>1845</v>
      </c>
      <c r="C887" s="30" t="s">
        <v>1846</v>
      </c>
      <c r="D887" s="32">
        <v>70025</v>
      </c>
      <c r="E887" s="30" t="s">
        <v>20</v>
      </c>
      <c r="F887" s="30"/>
      <c r="G887" s="30"/>
      <c r="H887" s="30" t="s">
        <v>26</v>
      </c>
      <c r="I887" s="31" t="s">
        <v>29</v>
      </c>
    </row>
    <row r="888" spans="2:9" s="6" customFormat="1" ht="11.25" customHeight="1" x14ac:dyDescent="0.55000000000000004">
      <c r="B888" s="30" t="s">
        <v>1847</v>
      </c>
      <c r="C888" s="30" t="s">
        <v>1848</v>
      </c>
      <c r="D888" s="32">
        <v>63797</v>
      </c>
      <c r="E888" s="30" t="s">
        <v>15</v>
      </c>
      <c r="F888" s="30" t="s">
        <v>182</v>
      </c>
      <c r="G888" s="30"/>
      <c r="H888" s="30" t="s">
        <v>113</v>
      </c>
      <c r="I888" s="31" t="s">
        <v>29</v>
      </c>
    </row>
    <row r="889" spans="2:9" s="6" customFormat="1" ht="11.25" customHeight="1" x14ac:dyDescent="0.55000000000000004">
      <c r="B889" s="30" t="s">
        <v>1849</v>
      </c>
      <c r="C889" s="30" t="s">
        <v>1850</v>
      </c>
      <c r="D889" s="32">
        <v>87289</v>
      </c>
      <c r="E889" s="30" t="s">
        <v>15</v>
      </c>
      <c r="F889" s="30"/>
      <c r="G889" s="30"/>
      <c r="H889" s="30" t="s">
        <v>105</v>
      </c>
      <c r="I889" s="31" t="s">
        <v>29</v>
      </c>
    </row>
    <row r="890" spans="2:9" s="6" customFormat="1" ht="11.25" customHeight="1" x14ac:dyDescent="0.55000000000000004">
      <c r="B890" s="30" t="s">
        <v>1851</v>
      </c>
      <c r="C890" s="30" t="s">
        <v>1852</v>
      </c>
      <c r="D890" s="32">
        <v>70939</v>
      </c>
      <c r="E890" s="30" t="s">
        <v>20</v>
      </c>
      <c r="F890" s="30" t="s">
        <v>1127</v>
      </c>
      <c r="G890" s="30" t="s">
        <v>194</v>
      </c>
      <c r="H890" s="30" t="s">
        <v>124</v>
      </c>
      <c r="I890" s="31">
        <v>4508999.3049999997</v>
      </c>
    </row>
    <row r="891" spans="2:9" s="6" customFormat="1" ht="11.25" customHeight="1" x14ac:dyDescent="0.55000000000000004">
      <c r="B891" s="30" t="s">
        <v>1853</v>
      </c>
      <c r="C891" s="30" t="s">
        <v>1854</v>
      </c>
      <c r="D891" s="32">
        <v>67920</v>
      </c>
      <c r="E891" s="30" t="s">
        <v>20</v>
      </c>
      <c r="F891" s="30"/>
      <c r="G891" s="30" t="s">
        <v>35</v>
      </c>
      <c r="H891" s="30" t="s">
        <v>113</v>
      </c>
      <c r="I891" s="31">
        <v>99562.038</v>
      </c>
    </row>
    <row r="892" spans="2:9" s="6" customFormat="1" ht="11.25" customHeight="1" x14ac:dyDescent="0.55000000000000004">
      <c r="B892" s="30" t="s">
        <v>1855</v>
      </c>
      <c r="C892" s="30" t="s">
        <v>1856</v>
      </c>
      <c r="D892" s="32">
        <v>74373</v>
      </c>
      <c r="E892" s="30" t="s">
        <v>15</v>
      </c>
      <c r="F892" s="30"/>
      <c r="G892" s="30"/>
      <c r="H892" s="30" t="s">
        <v>66</v>
      </c>
      <c r="I892" s="31" t="s">
        <v>29</v>
      </c>
    </row>
    <row r="893" spans="2:9" s="6" customFormat="1" ht="11.25" customHeight="1" x14ac:dyDescent="0.55000000000000004">
      <c r="B893" s="30" t="s">
        <v>1857</v>
      </c>
      <c r="C893" s="30" t="s">
        <v>1858</v>
      </c>
      <c r="D893" s="32">
        <v>83046</v>
      </c>
      <c r="E893" s="30" t="s">
        <v>15</v>
      </c>
      <c r="F893" s="30"/>
      <c r="G893" s="30"/>
      <c r="H893" s="30" t="s">
        <v>113</v>
      </c>
      <c r="I893" s="31" t="s">
        <v>29</v>
      </c>
    </row>
    <row r="894" spans="2:9" s="6" customFormat="1" ht="11.25" customHeight="1" x14ac:dyDescent="0.55000000000000004">
      <c r="B894" s="30" t="s">
        <v>1859</v>
      </c>
      <c r="C894" s="30" t="s">
        <v>1860</v>
      </c>
      <c r="D894" s="32">
        <v>70092</v>
      </c>
      <c r="E894" s="30" t="s">
        <v>15</v>
      </c>
      <c r="F894" s="30" t="s">
        <v>188</v>
      </c>
      <c r="G894" s="30"/>
      <c r="H894" s="30" t="s">
        <v>22</v>
      </c>
      <c r="I894" s="31" t="s">
        <v>29</v>
      </c>
    </row>
    <row r="895" spans="2:9" s="6" customFormat="1" ht="11.25" customHeight="1" x14ac:dyDescent="0.55000000000000004">
      <c r="B895" s="30" t="s">
        <v>1861</v>
      </c>
      <c r="C895" s="30" t="s">
        <v>1862</v>
      </c>
      <c r="D895" s="32">
        <v>70092</v>
      </c>
      <c r="E895" s="30" t="s">
        <v>15</v>
      </c>
      <c r="F895" s="30"/>
      <c r="G895" s="30"/>
      <c r="H895" s="30" t="s">
        <v>22</v>
      </c>
      <c r="I895" s="31" t="s">
        <v>29</v>
      </c>
    </row>
    <row r="896" spans="2:9" s="6" customFormat="1" ht="11.25" customHeight="1" x14ac:dyDescent="0.55000000000000004">
      <c r="B896" s="30" t="s">
        <v>71</v>
      </c>
      <c r="C896" s="30" t="s">
        <v>1863</v>
      </c>
      <c r="D896" s="32" t="s">
        <v>29</v>
      </c>
      <c r="E896" s="30" t="s">
        <v>20</v>
      </c>
      <c r="F896" s="30" t="s">
        <v>71</v>
      </c>
      <c r="G896" s="30" t="s">
        <v>155</v>
      </c>
      <c r="H896" s="30" t="s">
        <v>582</v>
      </c>
      <c r="I896" s="31">
        <v>69923563.108999997</v>
      </c>
    </row>
    <row r="897" spans="2:9" s="6" customFormat="1" ht="11.25" customHeight="1" x14ac:dyDescent="0.55000000000000004">
      <c r="B897" s="30" t="s">
        <v>1864</v>
      </c>
      <c r="C897" s="30" t="s">
        <v>1865</v>
      </c>
      <c r="D897" s="32" t="s">
        <v>29</v>
      </c>
      <c r="E897" s="30" t="s">
        <v>20</v>
      </c>
      <c r="F897" s="30"/>
      <c r="G897" s="30"/>
      <c r="H897" s="30"/>
      <c r="I897" s="31" t="s">
        <v>29</v>
      </c>
    </row>
    <row r="898" spans="2:9" s="6" customFormat="1" ht="11.25" customHeight="1" x14ac:dyDescent="0.55000000000000004">
      <c r="B898" s="30" t="s">
        <v>1866</v>
      </c>
      <c r="C898" s="30" t="s">
        <v>1867</v>
      </c>
      <c r="D898" s="32">
        <v>91472</v>
      </c>
      <c r="E898" s="30" t="s">
        <v>20</v>
      </c>
      <c r="F898" s="30" t="s">
        <v>396</v>
      </c>
      <c r="G898" s="30" t="s">
        <v>25</v>
      </c>
      <c r="H898" s="30" t="s">
        <v>113</v>
      </c>
      <c r="I898" s="31">
        <v>4831902.0729999999</v>
      </c>
    </row>
    <row r="899" spans="2:9" s="6" customFormat="1" ht="11.25" customHeight="1" x14ac:dyDescent="0.55000000000000004">
      <c r="B899" s="30" t="s">
        <v>396</v>
      </c>
      <c r="C899" s="30" t="s">
        <v>1868</v>
      </c>
      <c r="D899" s="32" t="s">
        <v>29</v>
      </c>
      <c r="E899" s="30" t="s">
        <v>20</v>
      </c>
      <c r="F899" s="30" t="s">
        <v>396</v>
      </c>
      <c r="G899" s="30" t="s">
        <v>35</v>
      </c>
      <c r="H899" s="30" t="s">
        <v>113</v>
      </c>
      <c r="I899" s="31">
        <v>19565466.202</v>
      </c>
    </row>
    <row r="900" spans="2:9" s="6" customFormat="1" ht="11.25" customHeight="1" x14ac:dyDescent="0.55000000000000004">
      <c r="B900" s="30" t="s">
        <v>1869</v>
      </c>
      <c r="C900" s="30" t="s">
        <v>1870</v>
      </c>
      <c r="D900" s="32">
        <v>74101</v>
      </c>
      <c r="E900" s="30" t="s">
        <v>20</v>
      </c>
      <c r="F900" s="30" t="s">
        <v>396</v>
      </c>
      <c r="G900" s="30" t="s">
        <v>39</v>
      </c>
      <c r="H900" s="30" t="s">
        <v>124</v>
      </c>
      <c r="I900" s="31">
        <v>250153.58199999999</v>
      </c>
    </row>
    <row r="901" spans="2:9" s="6" customFormat="1" ht="11.25" customHeight="1" x14ac:dyDescent="0.55000000000000004">
      <c r="B901" s="30" t="s">
        <v>1871</v>
      </c>
      <c r="C901" s="30" t="s">
        <v>1872</v>
      </c>
      <c r="D901" s="32">
        <v>88560</v>
      </c>
      <c r="E901" s="30" t="s">
        <v>20</v>
      </c>
      <c r="F901" s="30"/>
      <c r="G901" s="30" t="s">
        <v>16</v>
      </c>
      <c r="H901" s="30" t="s">
        <v>1873</v>
      </c>
      <c r="I901" s="31" t="s">
        <v>29</v>
      </c>
    </row>
    <row r="902" spans="2:9" s="6" customFormat="1" ht="11.25" customHeight="1" x14ac:dyDescent="0.55000000000000004">
      <c r="B902" s="30" t="s">
        <v>1874</v>
      </c>
      <c r="C902" s="30" t="s">
        <v>1875</v>
      </c>
      <c r="D902" s="32">
        <v>99651</v>
      </c>
      <c r="E902" s="30" t="s">
        <v>15</v>
      </c>
      <c r="F902" s="30"/>
      <c r="G902" s="30"/>
      <c r="H902" s="30" t="s">
        <v>113</v>
      </c>
      <c r="I902" s="31" t="s">
        <v>29</v>
      </c>
    </row>
    <row r="903" spans="2:9" s="6" customFormat="1" ht="11.25" customHeight="1" x14ac:dyDescent="0.55000000000000004">
      <c r="B903" s="30" t="s">
        <v>1876</v>
      </c>
      <c r="C903" s="30" t="s">
        <v>1877</v>
      </c>
      <c r="D903" s="32">
        <v>74446</v>
      </c>
      <c r="E903" s="30" t="s">
        <v>15</v>
      </c>
      <c r="F903" s="30"/>
      <c r="G903" s="30"/>
      <c r="H903" s="30" t="s">
        <v>92</v>
      </c>
      <c r="I903" s="31" t="s">
        <v>29</v>
      </c>
    </row>
    <row r="904" spans="2:9" s="6" customFormat="1" ht="11.25" customHeight="1" x14ac:dyDescent="0.55000000000000004">
      <c r="B904" s="30" t="s">
        <v>1878</v>
      </c>
      <c r="C904" s="30" t="s">
        <v>1879</v>
      </c>
      <c r="D904" s="32">
        <v>60234</v>
      </c>
      <c r="E904" s="30" t="s">
        <v>15</v>
      </c>
      <c r="F904" s="30" t="s">
        <v>970</v>
      </c>
      <c r="G904" s="30"/>
      <c r="H904" s="30" t="s">
        <v>655</v>
      </c>
      <c r="I904" s="31" t="s">
        <v>29</v>
      </c>
    </row>
    <row r="905" spans="2:9" s="6" customFormat="1" ht="11.25" customHeight="1" x14ac:dyDescent="0.55000000000000004">
      <c r="B905" s="30" t="s">
        <v>1880</v>
      </c>
      <c r="C905" s="30" t="s">
        <v>1881</v>
      </c>
      <c r="D905" s="32">
        <v>60141</v>
      </c>
      <c r="E905" s="30" t="s">
        <v>15</v>
      </c>
      <c r="F905" s="30" t="s">
        <v>970</v>
      </c>
      <c r="G905" s="30"/>
      <c r="H905" s="30" t="s">
        <v>655</v>
      </c>
      <c r="I905" s="31" t="s">
        <v>29</v>
      </c>
    </row>
    <row r="906" spans="2:9" s="6" customFormat="1" ht="11.25" customHeight="1" x14ac:dyDescent="0.55000000000000004">
      <c r="B906" s="30" t="s">
        <v>1882</v>
      </c>
      <c r="C906" s="30" t="s">
        <v>1883</v>
      </c>
      <c r="D906" s="32">
        <v>62286</v>
      </c>
      <c r="E906" s="30" t="s">
        <v>20</v>
      </c>
      <c r="F906" s="30" t="s">
        <v>149</v>
      </c>
      <c r="G906" s="30" t="s">
        <v>21</v>
      </c>
      <c r="H906" s="30" t="s">
        <v>150</v>
      </c>
      <c r="I906" s="31">
        <v>594316.34900000005</v>
      </c>
    </row>
    <row r="907" spans="2:9" s="6" customFormat="1" ht="11.25" customHeight="1" x14ac:dyDescent="0.55000000000000004">
      <c r="B907" s="30" t="s">
        <v>1884</v>
      </c>
      <c r="C907" s="30" t="s">
        <v>1885</v>
      </c>
      <c r="D907" s="32">
        <v>63924</v>
      </c>
      <c r="E907" s="30" t="s">
        <v>15</v>
      </c>
      <c r="F907" s="30"/>
      <c r="G907" s="30" t="s">
        <v>35</v>
      </c>
      <c r="H907" s="30" t="s">
        <v>239</v>
      </c>
      <c r="I907" s="31" t="s">
        <v>29</v>
      </c>
    </row>
    <row r="908" spans="2:9" s="6" customFormat="1" ht="11.25" customHeight="1" x14ac:dyDescent="0.55000000000000004">
      <c r="B908" s="30" t="s">
        <v>1886</v>
      </c>
      <c r="C908" s="30" t="s">
        <v>1887</v>
      </c>
      <c r="D908" s="32">
        <v>85898</v>
      </c>
      <c r="E908" s="30" t="s">
        <v>15</v>
      </c>
      <c r="F908" s="30"/>
      <c r="G908" s="30"/>
      <c r="H908" s="30" t="s">
        <v>113</v>
      </c>
      <c r="I908" s="31" t="s">
        <v>29</v>
      </c>
    </row>
    <row r="909" spans="2:9" s="6" customFormat="1" ht="11.25" customHeight="1" x14ac:dyDescent="0.55000000000000004">
      <c r="B909" s="30" t="s">
        <v>1888</v>
      </c>
      <c r="C909" s="30" t="s">
        <v>1889</v>
      </c>
      <c r="D909" s="32">
        <v>67059</v>
      </c>
      <c r="E909" s="30" t="s">
        <v>20</v>
      </c>
      <c r="F909" s="30" t="s">
        <v>1788</v>
      </c>
      <c r="G909" s="30" t="s">
        <v>39</v>
      </c>
      <c r="H909" s="30" t="s">
        <v>113</v>
      </c>
      <c r="I909" s="31">
        <v>146995.522</v>
      </c>
    </row>
    <row r="910" spans="2:9" s="6" customFormat="1" ht="11.25" customHeight="1" x14ac:dyDescent="0.55000000000000004">
      <c r="B910" s="30" t="s">
        <v>1788</v>
      </c>
      <c r="C910" s="30" t="s">
        <v>1890</v>
      </c>
      <c r="D910" s="32" t="s">
        <v>29</v>
      </c>
      <c r="E910" s="30" t="s">
        <v>20</v>
      </c>
      <c r="F910" s="30" t="s">
        <v>1788</v>
      </c>
      <c r="G910" s="30" t="s">
        <v>35</v>
      </c>
      <c r="H910" s="30" t="s">
        <v>113</v>
      </c>
      <c r="I910" s="31">
        <v>937249.76800000004</v>
      </c>
    </row>
    <row r="911" spans="2:9" s="6" customFormat="1" ht="11.25" customHeight="1" x14ac:dyDescent="0.55000000000000004">
      <c r="B911" s="30" t="s">
        <v>1891</v>
      </c>
      <c r="C911" s="30" t="s">
        <v>1892</v>
      </c>
      <c r="D911" s="32">
        <v>63975</v>
      </c>
      <c r="E911" s="30" t="s">
        <v>15</v>
      </c>
      <c r="F911" s="30" t="s">
        <v>1436</v>
      </c>
      <c r="G911" s="30"/>
      <c r="H911" s="30" t="s">
        <v>865</v>
      </c>
      <c r="I911" s="31" t="s">
        <v>29</v>
      </c>
    </row>
    <row r="912" spans="2:9" s="6" customFormat="1" ht="11.25" customHeight="1" x14ac:dyDescent="0.55000000000000004">
      <c r="B912" s="30" t="s">
        <v>1893</v>
      </c>
      <c r="C912" s="30" t="s">
        <v>1894</v>
      </c>
      <c r="D912" s="32">
        <v>84611</v>
      </c>
      <c r="E912" s="30" t="s">
        <v>15</v>
      </c>
      <c r="F912" s="30"/>
      <c r="G912" s="30"/>
      <c r="H912" s="30" t="s">
        <v>22</v>
      </c>
      <c r="I912" s="31" t="s">
        <v>29</v>
      </c>
    </row>
    <row r="913" spans="2:9" s="6" customFormat="1" ht="11.25" customHeight="1" x14ac:dyDescent="0.55000000000000004">
      <c r="B913" s="30" t="s">
        <v>1895</v>
      </c>
      <c r="C913" s="30" t="s">
        <v>1896</v>
      </c>
      <c r="D913" s="32">
        <v>71218</v>
      </c>
      <c r="E913" s="30" t="s">
        <v>20</v>
      </c>
      <c r="F913" s="30" t="s">
        <v>1897</v>
      </c>
      <c r="G913" s="30" t="s">
        <v>35</v>
      </c>
      <c r="H913" s="30" t="s">
        <v>313</v>
      </c>
      <c r="I913" s="31">
        <v>443460.09500000003</v>
      </c>
    </row>
    <row r="914" spans="2:9" s="6" customFormat="1" ht="11.25" customHeight="1" x14ac:dyDescent="0.55000000000000004">
      <c r="B914" s="30" t="s">
        <v>1898</v>
      </c>
      <c r="C914" s="30" t="s">
        <v>1899</v>
      </c>
      <c r="D914" s="32">
        <v>83216</v>
      </c>
      <c r="E914" s="30" t="s">
        <v>15</v>
      </c>
      <c r="F914" s="30"/>
      <c r="G914" s="30"/>
      <c r="H914" s="30" t="s">
        <v>150</v>
      </c>
      <c r="I914" s="31" t="s">
        <v>29</v>
      </c>
    </row>
    <row r="915" spans="2:9" s="6" customFormat="1" ht="11.25" customHeight="1" x14ac:dyDescent="0.55000000000000004">
      <c r="B915" s="30" t="s">
        <v>563</v>
      </c>
      <c r="C915" s="30" t="s">
        <v>1900</v>
      </c>
      <c r="D915" s="32" t="s">
        <v>29</v>
      </c>
      <c r="E915" s="30" t="s">
        <v>20</v>
      </c>
      <c r="F915" s="30" t="s">
        <v>563</v>
      </c>
      <c r="G915" s="30" t="s">
        <v>155</v>
      </c>
      <c r="H915" s="30" t="s">
        <v>313</v>
      </c>
      <c r="I915" s="31">
        <v>43017330.524000004</v>
      </c>
    </row>
    <row r="916" spans="2:9" s="6" customFormat="1" ht="11.25" customHeight="1" x14ac:dyDescent="0.55000000000000004">
      <c r="B916" s="30" t="s">
        <v>1901</v>
      </c>
      <c r="C916" s="30" t="s">
        <v>1902</v>
      </c>
      <c r="D916" s="32">
        <v>63312</v>
      </c>
      <c r="E916" s="30" t="s">
        <v>20</v>
      </c>
      <c r="F916" s="30" t="s">
        <v>563</v>
      </c>
      <c r="G916" s="30" t="s">
        <v>155</v>
      </c>
      <c r="H916" s="30" t="s">
        <v>313</v>
      </c>
      <c r="I916" s="31">
        <v>40018795.515000001</v>
      </c>
    </row>
    <row r="917" spans="2:9" s="6" customFormat="1" ht="11.25" customHeight="1" x14ac:dyDescent="0.55000000000000004">
      <c r="B917" s="30" t="s">
        <v>1903</v>
      </c>
      <c r="C917" s="30" t="s">
        <v>1904</v>
      </c>
      <c r="D917" s="32">
        <v>63312</v>
      </c>
      <c r="E917" s="30" t="s">
        <v>20</v>
      </c>
      <c r="F917" s="30"/>
      <c r="G917" s="30"/>
      <c r="H917" s="30" t="s">
        <v>313</v>
      </c>
      <c r="I917" s="31" t="s">
        <v>29</v>
      </c>
    </row>
    <row r="918" spans="2:9" s="6" customFormat="1" ht="11.25" customHeight="1" x14ac:dyDescent="0.55000000000000004">
      <c r="B918" s="30" t="s">
        <v>1905</v>
      </c>
      <c r="C918" s="30" t="s">
        <v>1906</v>
      </c>
      <c r="D918" s="32">
        <v>63312</v>
      </c>
      <c r="E918" s="30" t="s">
        <v>20</v>
      </c>
      <c r="F918" s="30"/>
      <c r="G918" s="30"/>
      <c r="H918" s="30" t="s">
        <v>313</v>
      </c>
      <c r="I918" s="31" t="s">
        <v>29</v>
      </c>
    </row>
    <row r="919" spans="2:9" s="6" customFormat="1" ht="11.25" customHeight="1" x14ac:dyDescent="0.55000000000000004">
      <c r="B919" s="30" t="s">
        <v>1907</v>
      </c>
      <c r="C919" s="30" t="s">
        <v>1908</v>
      </c>
      <c r="D919" s="32">
        <v>64025</v>
      </c>
      <c r="E919" s="30" t="s">
        <v>15</v>
      </c>
      <c r="F919" s="30"/>
      <c r="G919" s="30" t="s">
        <v>16</v>
      </c>
      <c r="H919" s="30" t="s">
        <v>262</v>
      </c>
      <c r="I919" s="31" t="s">
        <v>29</v>
      </c>
    </row>
    <row r="920" spans="2:9" s="6" customFormat="1" ht="11.25" customHeight="1" x14ac:dyDescent="0.55000000000000004">
      <c r="B920" s="30" t="s">
        <v>1909</v>
      </c>
      <c r="C920" s="30" t="s">
        <v>1910</v>
      </c>
      <c r="D920" s="32">
        <v>64076</v>
      </c>
      <c r="E920" s="30" t="s">
        <v>15</v>
      </c>
      <c r="F920" s="30" t="s">
        <v>298</v>
      </c>
      <c r="G920" s="30" t="s">
        <v>21</v>
      </c>
      <c r="H920" s="30" t="s">
        <v>86</v>
      </c>
      <c r="I920" s="31" t="s">
        <v>29</v>
      </c>
    </row>
    <row r="921" spans="2:9" s="6" customFormat="1" ht="11.25" customHeight="1" x14ac:dyDescent="0.55000000000000004">
      <c r="B921" s="30" t="s">
        <v>1911</v>
      </c>
      <c r="C921" s="30" t="s">
        <v>1912</v>
      </c>
      <c r="D921" s="32">
        <v>97896</v>
      </c>
      <c r="E921" s="30" t="s">
        <v>15</v>
      </c>
      <c r="F921" s="30"/>
      <c r="G921" s="30"/>
      <c r="H921" s="30" t="s">
        <v>262</v>
      </c>
      <c r="I921" s="31" t="s">
        <v>29</v>
      </c>
    </row>
    <row r="922" spans="2:9" s="6" customFormat="1" ht="11.25" customHeight="1" x14ac:dyDescent="0.55000000000000004">
      <c r="B922" s="30" t="s">
        <v>1913</v>
      </c>
      <c r="C922" s="30" t="s">
        <v>1914</v>
      </c>
      <c r="D922" s="32">
        <v>87637</v>
      </c>
      <c r="E922" s="30" t="s">
        <v>15</v>
      </c>
      <c r="F922" s="30"/>
      <c r="G922" s="30"/>
      <c r="H922" s="30" t="s">
        <v>45</v>
      </c>
      <c r="I922" s="31" t="s">
        <v>29</v>
      </c>
    </row>
    <row r="923" spans="2:9" s="6" customFormat="1" ht="11.25" customHeight="1" x14ac:dyDescent="0.55000000000000004">
      <c r="B923" s="30" t="s">
        <v>1915</v>
      </c>
      <c r="C923" s="30" t="s">
        <v>1916</v>
      </c>
      <c r="D923" s="32">
        <v>94366</v>
      </c>
      <c r="E923" s="30" t="s">
        <v>15</v>
      </c>
      <c r="F923" s="30" t="s">
        <v>451</v>
      </c>
      <c r="G923" s="30"/>
      <c r="H923" s="30" t="s">
        <v>26</v>
      </c>
      <c r="I923" s="31" t="s">
        <v>29</v>
      </c>
    </row>
    <row r="924" spans="2:9" s="6" customFormat="1" ht="11.25" customHeight="1" x14ac:dyDescent="0.55000000000000004">
      <c r="B924" s="30" t="s">
        <v>1917</v>
      </c>
      <c r="C924" s="30" t="s">
        <v>1918</v>
      </c>
      <c r="D924" s="32">
        <v>94366</v>
      </c>
      <c r="E924" s="30" t="s">
        <v>15</v>
      </c>
      <c r="F924" s="30"/>
      <c r="G924" s="30"/>
      <c r="H924" s="30" t="s">
        <v>26</v>
      </c>
      <c r="I924" s="31" t="s">
        <v>29</v>
      </c>
    </row>
    <row r="925" spans="2:9" s="6" customFormat="1" ht="11.25" customHeight="1" x14ac:dyDescent="0.55000000000000004">
      <c r="B925" s="30" t="s">
        <v>1919</v>
      </c>
      <c r="C925" s="30" t="s">
        <v>1920</v>
      </c>
      <c r="D925" s="32">
        <v>13561</v>
      </c>
      <c r="E925" s="30" t="s">
        <v>15</v>
      </c>
      <c r="F925" s="30"/>
      <c r="G925" s="30" t="s">
        <v>265</v>
      </c>
      <c r="H925" s="30" t="s">
        <v>40</v>
      </c>
      <c r="I925" s="31" t="s">
        <v>29</v>
      </c>
    </row>
    <row r="926" spans="2:9" s="6" customFormat="1" ht="11.25" customHeight="1" x14ac:dyDescent="0.55000000000000004">
      <c r="B926" s="30" t="s">
        <v>1921</v>
      </c>
      <c r="C926" s="30" t="s">
        <v>1922</v>
      </c>
      <c r="D926" s="32">
        <v>67482</v>
      </c>
      <c r="E926" s="30" t="s">
        <v>15</v>
      </c>
      <c r="F926" s="30"/>
      <c r="G926" s="30" t="s">
        <v>39</v>
      </c>
      <c r="H926" s="30" t="s">
        <v>17</v>
      </c>
      <c r="I926" s="31" t="s">
        <v>29</v>
      </c>
    </row>
    <row r="927" spans="2:9" s="6" customFormat="1" ht="11.25" customHeight="1" x14ac:dyDescent="0.55000000000000004">
      <c r="B927" s="30" t="s">
        <v>1923</v>
      </c>
      <c r="C927" s="30" t="s">
        <v>1924</v>
      </c>
      <c r="D927" s="32">
        <v>84395</v>
      </c>
      <c r="E927" s="30" t="s">
        <v>15</v>
      </c>
      <c r="F927" s="30"/>
      <c r="G927" s="30"/>
      <c r="H927" s="30" t="s">
        <v>262</v>
      </c>
      <c r="I927" s="31" t="s">
        <v>29</v>
      </c>
    </row>
    <row r="928" spans="2:9" s="6" customFormat="1" ht="11.25" customHeight="1" x14ac:dyDescent="0.55000000000000004">
      <c r="B928" s="30" t="s">
        <v>1925</v>
      </c>
      <c r="C928" s="30" t="s">
        <v>1926</v>
      </c>
      <c r="D928" s="32">
        <v>90212</v>
      </c>
      <c r="E928" s="30" t="s">
        <v>20</v>
      </c>
      <c r="F928" s="30" t="s">
        <v>526</v>
      </c>
      <c r="G928" s="30" t="s">
        <v>39</v>
      </c>
      <c r="H928" s="30" t="s">
        <v>500</v>
      </c>
      <c r="I928" s="31">
        <v>207201.30100000001</v>
      </c>
    </row>
    <row r="929" spans="2:9" s="6" customFormat="1" ht="11.25" customHeight="1" x14ac:dyDescent="0.55000000000000004">
      <c r="B929" s="30" t="s">
        <v>1927</v>
      </c>
      <c r="C929" s="30" t="s">
        <v>1928</v>
      </c>
      <c r="D929" s="32">
        <v>71480</v>
      </c>
      <c r="E929" s="30" t="s">
        <v>20</v>
      </c>
      <c r="F929" s="30" t="s">
        <v>331</v>
      </c>
      <c r="G929" s="30" t="s">
        <v>16</v>
      </c>
      <c r="H929" s="30" t="s">
        <v>63</v>
      </c>
      <c r="I929" s="31">
        <v>1369597.1159999999</v>
      </c>
    </row>
    <row r="930" spans="2:9" s="6" customFormat="1" ht="11.25" customHeight="1" x14ac:dyDescent="0.55000000000000004">
      <c r="B930" s="30" t="s">
        <v>1929</v>
      </c>
      <c r="C930" s="30" t="s">
        <v>1930</v>
      </c>
      <c r="D930" s="32">
        <v>97217</v>
      </c>
      <c r="E930" s="30" t="s">
        <v>20</v>
      </c>
      <c r="F930" s="30" t="s">
        <v>568</v>
      </c>
      <c r="G930" s="30" t="s">
        <v>129</v>
      </c>
      <c r="H930" s="30" t="s">
        <v>108</v>
      </c>
      <c r="I930" s="31">
        <v>71407.248999999996</v>
      </c>
    </row>
    <row r="931" spans="2:9" s="6" customFormat="1" ht="11.25" customHeight="1" x14ac:dyDescent="0.55000000000000004">
      <c r="B931" s="30" t="s">
        <v>1931</v>
      </c>
      <c r="C931" s="30" t="s">
        <v>1932</v>
      </c>
      <c r="D931" s="32">
        <v>87670</v>
      </c>
      <c r="E931" s="30" t="s">
        <v>15</v>
      </c>
      <c r="F931" s="30"/>
      <c r="G931" s="30"/>
      <c r="H931" s="30" t="s">
        <v>105</v>
      </c>
      <c r="I931" s="31" t="s">
        <v>29</v>
      </c>
    </row>
    <row r="932" spans="2:9" s="6" customFormat="1" ht="11.25" customHeight="1" x14ac:dyDescent="0.55000000000000004">
      <c r="B932" s="30" t="s">
        <v>884</v>
      </c>
      <c r="C932" s="30" t="s">
        <v>1933</v>
      </c>
      <c r="D932" s="32" t="s">
        <v>29</v>
      </c>
      <c r="E932" s="30" t="s">
        <v>20</v>
      </c>
      <c r="F932" s="30" t="s">
        <v>884</v>
      </c>
      <c r="G932" s="30" t="s">
        <v>35</v>
      </c>
      <c r="H932" s="30" t="s">
        <v>735</v>
      </c>
      <c r="I932" s="31">
        <v>54628460.298</v>
      </c>
    </row>
    <row r="933" spans="2:9" s="6" customFormat="1" ht="11.25" customHeight="1" x14ac:dyDescent="0.55000000000000004">
      <c r="B933" s="30" t="s">
        <v>1934</v>
      </c>
      <c r="C933" s="30" t="s">
        <v>1935</v>
      </c>
      <c r="D933" s="32" t="s">
        <v>29</v>
      </c>
      <c r="E933" s="30" t="s">
        <v>20</v>
      </c>
      <c r="F933" s="30"/>
      <c r="G933" s="30"/>
      <c r="H933" s="30"/>
      <c r="I933" s="31" t="s">
        <v>29</v>
      </c>
    </row>
    <row r="934" spans="2:9" s="6" customFormat="1" ht="11.25" customHeight="1" x14ac:dyDescent="0.55000000000000004">
      <c r="B934" s="30" t="s">
        <v>1936</v>
      </c>
      <c r="C934" s="30" t="s">
        <v>1937</v>
      </c>
      <c r="D934" s="32">
        <v>79359</v>
      </c>
      <c r="E934" s="30" t="s">
        <v>20</v>
      </c>
      <c r="F934" s="30" t="s">
        <v>884</v>
      </c>
      <c r="G934" s="30" t="s">
        <v>16</v>
      </c>
      <c r="H934" s="30" t="s">
        <v>735</v>
      </c>
      <c r="I934" s="31">
        <v>1635398.4350000001</v>
      </c>
    </row>
    <row r="935" spans="2:9" s="6" customFormat="1" ht="11.25" customHeight="1" x14ac:dyDescent="0.55000000000000004">
      <c r="B935" s="30" t="s">
        <v>1938</v>
      </c>
      <c r="C935" s="30" t="s">
        <v>1939</v>
      </c>
      <c r="D935" s="32">
        <v>79359</v>
      </c>
      <c r="E935" s="30" t="s">
        <v>20</v>
      </c>
      <c r="F935" s="30"/>
      <c r="G935" s="30"/>
      <c r="H935" s="30" t="s">
        <v>735</v>
      </c>
      <c r="I935" s="31" t="s">
        <v>29</v>
      </c>
    </row>
    <row r="936" spans="2:9" s="6" customFormat="1" ht="11.25" customHeight="1" x14ac:dyDescent="0.55000000000000004">
      <c r="B936" s="30" t="s">
        <v>1940</v>
      </c>
      <c r="C936" s="30" t="s">
        <v>1941</v>
      </c>
      <c r="D936" s="32">
        <v>79359</v>
      </c>
      <c r="E936" s="30" t="s">
        <v>20</v>
      </c>
      <c r="F936" s="30"/>
      <c r="G936" s="30"/>
      <c r="H936" s="30" t="s">
        <v>735</v>
      </c>
      <c r="I936" s="31" t="s">
        <v>29</v>
      </c>
    </row>
    <row r="937" spans="2:9" s="6" customFormat="1" ht="11.25" customHeight="1" x14ac:dyDescent="0.55000000000000004">
      <c r="B937" s="30" t="s">
        <v>1942</v>
      </c>
      <c r="C937" s="30" t="s">
        <v>1943</v>
      </c>
      <c r="D937" s="32">
        <v>68322</v>
      </c>
      <c r="E937" s="30" t="s">
        <v>20</v>
      </c>
      <c r="F937" s="30" t="s">
        <v>884</v>
      </c>
      <c r="G937" s="30" t="s">
        <v>16</v>
      </c>
      <c r="H937" s="30" t="s">
        <v>735</v>
      </c>
      <c r="I937" s="31">
        <v>48781351.092</v>
      </c>
    </row>
    <row r="938" spans="2:9" s="6" customFormat="1" ht="11.25" customHeight="1" x14ac:dyDescent="0.55000000000000004">
      <c r="B938" s="30" t="s">
        <v>1944</v>
      </c>
      <c r="C938" s="30" t="s">
        <v>1945</v>
      </c>
      <c r="D938" s="32">
        <v>68322</v>
      </c>
      <c r="E938" s="30" t="s">
        <v>20</v>
      </c>
      <c r="F938" s="30"/>
      <c r="G938" s="30"/>
      <c r="H938" s="30" t="s">
        <v>735</v>
      </c>
      <c r="I938" s="31" t="s">
        <v>29</v>
      </c>
    </row>
    <row r="939" spans="2:9" s="6" customFormat="1" ht="11.25" customHeight="1" x14ac:dyDescent="0.55000000000000004">
      <c r="B939" s="30" t="s">
        <v>1946</v>
      </c>
      <c r="C939" s="30" t="s">
        <v>1947</v>
      </c>
      <c r="D939" s="32">
        <v>68322</v>
      </c>
      <c r="E939" s="30" t="s">
        <v>20</v>
      </c>
      <c r="F939" s="30"/>
      <c r="G939" s="30"/>
      <c r="H939" s="30" t="s">
        <v>735</v>
      </c>
      <c r="I939" s="31" t="s">
        <v>29</v>
      </c>
    </row>
    <row r="940" spans="2:9" s="6" customFormat="1" ht="11.25" customHeight="1" x14ac:dyDescent="0.55000000000000004">
      <c r="B940" s="30" t="s">
        <v>1948</v>
      </c>
      <c r="C940" s="30" t="s">
        <v>1949</v>
      </c>
      <c r="D940" s="32">
        <v>68322</v>
      </c>
      <c r="E940" s="30" t="s">
        <v>20</v>
      </c>
      <c r="F940" s="30"/>
      <c r="G940" s="30"/>
      <c r="H940" s="30" t="s">
        <v>735</v>
      </c>
      <c r="I940" s="31" t="s">
        <v>29</v>
      </c>
    </row>
    <row r="941" spans="2:9" s="6" customFormat="1" ht="11.25" customHeight="1" x14ac:dyDescent="0.55000000000000004">
      <c r="B941" s="30" t="s">
        <v>1950</v>
      </c>
      <c r="C941" s="30" t="s">
        <v>1951</v>
      </c>
      <c r="D941" s="32">
        <v>80705</v>
      </c>
      <c r="E941" s="30" t="s">
        <v>20</v>
      </c>
      <c r="F941" s="30" t="s">
        <v>884</v>
      </c>
      <c r="G941" s="30" t="s">
        <v>16</v>
      </c>
      <c r="H941" s="30" t="s">
        <v>735</v>
      </c>
      <c r="I941" s="31">
        <v>38382.777999999998</v>
      </c>
    </row>
    <row r="942" spans="2:9" s="6" customFormat="1" ht="11.25" customHeight="1" x14ac:dyDescent="0.55000000000000004">
      <c r="B942" s="30" t="s">
        <v>1952</v>
      </c>
      <c r="C942" s="30" t="s">
        <v>1953</v>
      </c>
      <c r="D942" s="32">
        <v>14908</v>
      </c>
      <c r="E942" s="30" t="s">
        <v>20</v>
      </c>
      <c r="F942" s="30" t="s">
        <v>1508</v>
      </c>
      <c r="G942" s="30" t="s">
        <v>16</v>
      </c>
      <c r="H942" s="30" t="s">
        <v>63</v>
      </c>
      <c r="I942" s="31">
        <v>9223.7340000000004</v>
      </c>
    </row>
    <row r="943" spans="2:9" s="6" customFormat="1" ht="11.25" customHeight="1" x14ac:dyDescent="0.55000000000000004">
      <c r="B943" s="30" t="s">
        <v>1954</v>
      </c>
      <c r="C943" s="30" t="s">
        <v>1955</v>
      </c>
      <c r="D943" s="32">
        <v>80055</v>
      </c>
      <c r="E943" s="30" t="s">
        <v>20</v>
      </c>
      <c r="F943" s="30" t="s">
        <v>660</v>
      </c>
      <c r="G943" s="30" t="s">
        <v>16</v>
      </c>
      <c r="H943" s="30" t="s">
        <v>500</v>
      </c>
      <c r="I943" s="31">
        <v>9917.8379999999997</v>
      </c>
    </row>
    <row r="944" spans="2:9" s="6" customFormat="1" ht="11.25" customHeight="1" x14ac:dyDescent="0.55000000000000004">
      <c r="B944" s="30" t="s">
        <v>1956</v>
      </c>
      <c r="C944" s="30" t="s">
        <v>1957</v>
      </c>
      <c r="D944" s="32">
        <v>84026</v>
      </c>
      <c r="E944" s="30" t="s">
        <v>15</v>
      </c>
      <c r="F944" s="30"/>
      <c r="G944" s="30" t="s">
        <v>16</v>
      </c>
      <c r="H944" s="30" t="s">
        <v>266</v>
      </c>
      <c r="I944" s="31" t="s">
        <v>29</v>
      </c>
    </row>
    <row r="945" spans="2:9" s="6" customFormat="1" ht="11.25" customHeight="1" x14ac:dyDescent="0.55000000000000004">
      <c r="B945" s="30" t="s">
        <v>1958</v>
      </c>
      <c r="C945" s="30" t="s">
        <v>1959</v>
      </c>
      <c r="D945" s="32">
        <v>84107</v>
      </c>
      <c r="E945" s="30" t="s">
        <v>20</v>
      </c>
      <c r="F945" s="30"/>
      <c r="G945" s="30" t="s">
        <v>35</v>
      </c>
      <c r="H945" s="30" t="s">
        <v>66</v>
      </c>
      <c r="I945" s="31">
        <v>122.31400000000001</v>
      </c>
    </row>
    <row r="946" spans="2:9" s="6" customFormat="1" ht="11.25" customHeight="1" x14ac:dyDescent="0.55000000000000004">
      <c r="B946" s="30" t="s">
        <v>1960</v>
      </c>
      <c r="C946" s="30" t="s">
        <v>1961</v>
      </c>
      <c r="D946" s="32">
        <v>64165</v>
      </c>
      <c r="E946" s="30" t="s">
        <v>15</v>
      </c>
      <c r="F946" s="30" t="s">
        <v>526</v>
      </c>
      <c r="G946" s="30"/>
      <c r="H946" s="30" t="s">
        <v>63</v>
      </c>
      <c r="I946" s="31" t="s">
        <v>29</v>
      </c>
    </row>
    <row r="947" spans="2:9" s="6" customFormat="1" ht="11.25" customHeight="1" x14ac:dyDescent="0.55000000000000004">
      <c r="B947" s="30" t="s">
        <v>1962</v>
      </c>
      <c r="C947" s="30" t="s">
        <v>1963</v>
      </c>
      <c r="D947" s="32">
        <v>90751</v>
      </c>
      <c r="E947" s="30" t="s">
        <v>15</v>
      </c>
      <c r="F947" s="30"/>
      <c r="G947" s="30"/>
      <c r="H947" s="30" t="s">
        <v>239</v>
      </c>
      <c r="I947" s="31" t="s">
        <v>29</v>
      </c>
    </row>
    <row r="948" spans="2:9" s="6" customFormat="1" ht="11.25" customHeight="1" x14ac:dyDescent="0.55000000000000004">
      <c r="B948" s="30" t="s">
        <v>1964</v>
      </c>
      <c r="C948" s="30" t="s">
        <v>1965</v>
      </c>
      <c r="D948" s="32">
        <v>64173</v>
      </c>
      <c r="E948" s="30" t="s">
        <v>15</v>
      </c>
      <c r="F948" s="30" t="s">
        <v>759</v>
      </c>
      <c r="G948" s="30"/>
      <c r="H948" s="30" t="s">
        <v>113</v>
      </c>
      <c r="I948" s="31" t="s">
        <v>29</v>
      </c>
    </row>
    <row r="949" spans="2:9" s="6" customFormat="1" ht="11.25" customHeight="1" x14ac:dyDescent="0.55000000000000004">
      <c r="B949" s="30" t="s">
        <v>1966</v>
      </c>
      <c r="C949" s="30" t="s">
        <v>1967</v>
      </c>
      <c r="D949" s="32">
        <v>64181</v>
      </c>
      <c r="E949" s="30" t="s">
        <v>15</v>
      </c>
      <c r="F949" s="30" t="s">
        <v>137</v>
      </c>
      <c r="G949" s="30"/>
      <c r="H949" s="30" t="s">
        <v>40</v>
      </c>
      <c r="I949" s="31" t="s">
        <v>29</v>
      </c>
    </row>
    <row r="950" spans="2:9" s="6" customFormat="1" ht="11.25" customHeight="1" x14ac:dyDescent="0.55000000000000004">
      <c r="B950" s="30" t="s">
        <v>1968</v>
      </c>
      <c r="C950" s="30" t="s">
        <v>1969</v>
      </c>
      <c r="D950" s="32">
        <v>66184</v>
      </c>
      <c r="E950" s="30" t="s">
        <v>15</v>
      </c>
      <c r="F950" s="30" t="s">
        <v>137</v>
      </c>
      <c r="G950" s="30"/>
      <c r="H950" s="30" t="s">
        <v>40</v>
      </c>
      <c r="I950" s="31" t="s">
        <v>29</v>
      </c>
    </row>
    <row r="951" spans="2:9" s="6" customFormat="1" ht="11.25" customHeight="1" x14ac:dyDescent="0.55000000000000004">
      <c r="B951" s="30" t="s">
        <v>1970</v>
      </c>
      <c r="C951" s="30" t="s">
        <v>1971</v>
      </c>
      <c r="D951" s="32">
        <v>64203</v>
      </c>
      <c r="E951" s="30" t="s">
        <v>15</v>
      </c>
      <c r="F951" s="30" t="s">
        <v>182</v>
      </c>
      <c r="G951" s="30"/>
      <c r="H951" s="30" t="s">
        <v>22</v>
      </c>
      <c r="I951" s="31" t="s">
        <v>29</v>
      </c>
    </row>
    <row r="952" spans="2:9" s="6" customFormat="1" ht="11.25" customHeight="1" x14ac:dyDescent="0.55000000000000004">
      <c r="B952" s="30" t="s">
        <v>1972</v>
      </c>
      <c r="C952" s="30" t="s">
        <v>1973</v>
      </c>
      <c r="D952" s="32">
        <v>64211</v>
      </c>
      <c r="E952" s="30" t="s">
        <v>20</v>
      </c>
      <c r="F952" s="30"/>
      <c r="G952" s="30" t="s">
        <v>39</v>
      </c>
      <c r="H952" s="30" t="s">
        <v>22</v>
      </c>
      <c r="I952" s="31">
        <v>679861.65300000005</v>
      </c>
    </row>
    <row r="953" spans="2:9" s="6" customFormat="1" ht="11.25" customHeight="1" x14ac:dyDescent="0.55000000000000004">
      <c r="B953" s="30" t="s">
        <v>1974</v>
      </c>
      <c r="C953" s="30" t="s">
        <v>1975</v>
      </c>
      <c r="D953" s="32">
        <v>64238</v>
      </c>
      <c r="E953" s="30" t="s">
        <v>20</v>
      </c>
      <c r="F953" s="30" t="s">
        <v>1976</v>
      </c>
      <c r="G953" s="30" t="s">
        <v>155</v>
      </c>
      <c r="H953" s="30" t="s">
        <v>66</v>
      </c>
      <c r="I953" s="31">
        <v>1790698.5109999999</v>
      </c>
    </row>
    <row r="954" spans="2:9" s="6" customFormat="1" ht="11.25" customHeight="1" x14ac:dyDescent="0.55000000000000004">
      <c r="B954" s="30" t="s">
        <v>1977</v>
      </c>
      <c r="C954" s="30" t="s">
        <v>1978</v>
      </c>
      <c r="D954" s="32">
        <v>77496</v>
      </c>
      <c r="E954" s="30" t="s">
        <v>15</v>
      </c>
      <c r="F954" s="30"/>
      <c r="G954" s="30"/>
      <c r="H954" s="30" t="s">
        <v>113</v>
      </c>
      <c r="I954" s="31" t="s">
        <v>29</v>
      </c>
    </row>
    <row r="955" spans="2:9" s="6" customFormat="1" ht="11.25" customHeight="1" x14ac:dyDescent="0.55000000000000004">
      <c r="B955" s="30" t="s">
        <v>1979</v>
      </c>
      <c r="C955" s="30" t="s">
        <v>1980</v>
      </c>
      <c r="D955" s="32">
        <v>75817</v>
      </c>
      <c r="E955" s="30" t="s">
        <v>15</v>
      </c>
      <c r="F955" s="30" t="s">
        <v>182</v>
      </c>
      <c r="G955" s="30"/>
      <c r="H955" s="30" t="s">
        <v>105</v>
      </c>
      <c r="I955" s="31" t="s">
        <v>29</v>
      </c>
    </row>
    <row r="956" spans="2:9" s="6" customFormat="1" ht="11.25" customHeight="1" x14ac:dyDescent="0.55000000000000004">
      <c r="B956" s="30" t="s">
        <v>1981</v>
      </c>
      <c r="C956" s="30" t="s">
        <v>1982</v>
      </c>
      <c r="D956" s="32">
        <v>65098</v>
      </c>
      <c r="E956" s="30" t="s">
        <v>15</v>
      </c>
      <c r="F956" s="30"/>
      <c r="G956" s="30"/>
      <c r="H956" s="30" t="s">
        <v>262</v>
      </c>
      <c r="I956" s="31" t="s">
        <v>29</v>
      </c>
    </row>
    <row r="957" spans="2:9" s="6" customFormat="1" ht="11.25" customHeight="1" x14ac:dyDescent="0.55000000000000004">
      <c r="B957" s="30" t="s">
        <v>792</v>
      </c>
      <c r="C957" s="30" t="s">
        <v>1983</v>
      </c>
      <c r="D957" s="32" t="s">
        <v>29</v>
      </c>
      <c r="E957" s="30" t="s">
        <v>20</v>
      </c>
      <c r="F957" s="30" t="s">
        <v>792</v>
      </c>
      <c r="G957" s="30" t="s">
        <v>194</v>
      </c>
      <c r="H957" s="30" t="s">
        <v>124</v>
      </c>
      <c r="I957" s="31">
        <v>80162193.018000007</v>
      </c>
    </row>
    <row r="958" spans="2:9" s="6" customFormat="1" ht="11.25" customHeight="1" x14ac:dyDescent="0.55000000000000004">
      <c r="B958" s="30" t="s">
        <v>1984</v>
      </c>
      <c r="C958" s="30" t="s">
        <v>1985</v>
      </c>
      <c r="D958" s="32" t="s">
        <v>29</v>
      </c>
      <c r="E958" s="30" t="s">
        <v>20</v>
      </c>
      <c r="F958" s="30"/>
      <c r="G958" s="30" t="s">
        <v>194</v>
      </c>
      <c r="H958" s="30" t="s">
        <v>124</v>
      </c>
      <c r="I958" s="31" t="s">
        <v>29</v>
      </c>
    </row>
    <row r="959" spans="2:9" s="6" customFormat="1" ht="11.25" customHeight="1" x14ac:dyDescent="0.55000000000000004">
      <c r="B959" s="30" t="s">
        <v>1986</v>
      </c>
      <c r="C959" s="30" t="s">
        <v>1987</v>
      </c>
      <c r="D959" s="32">
        <v>78778</v>
      </c>
      <c r="E959" s="30" t="s">
        <v>20</v>
      </c>
      <c r="F959" s="30" t="s">
        <v>792</v>
      </c>
      <c r="G959" s="30" t="s">
        <v>155</v>
      </c>
      <c r="H959" s="30" t="s">
        <v>124</v>
      </c>
      <c r="I959" s="31">
        <v>14070085.584000001</v>
      </c>
    </row>
    <row r="960" spans="2:9" s="6" customFormat="1" ht="11.25" customHeight="1" x14ac:dyDescent="0.55000000000000004">
      <c r="B960" s="30" t="s">
        <v>1988</v>
      </c>
      <c r="C960" s="30" t="s">
        <v>1989</v>
      </c>
      <c r="D960" s="32">
        <v>78778</v>
      </c>
      <c r="E960" s="30" t="s">
        <v>20</v>
      </c>
      <c r="F960" s="30"/>
      <c r="G960" s="30"/>
      <c r="H960" s="30" t="s">
        <v>124</v>
      </c>
      <c r="I960" s="31" t="s">
        <v>29</v>
      </c>
    </row>
    <row r="961" spans="2:9" s="6" customFormat="1" ht="11.25" customHeight="1" x14ac:dyDescent="0.55000000000000004">
      <c r="B961" s="30" t="s">
        <v>1990</v>
      </c>
      <c r="C961" s="30" t="s">
        <v>1991</v>
      </c>
      <c r="D961" s="32">
        <v>78778</v>
      </c>
      <c r="E961" s="30" t="s">
        <v>20</v>
      </c>
      <c r="F961" s="30"/>
      <c r="G961" s="30"/>
      <c r="H961" s="30" t="s">
        <v>124</v>
      </c>
      <c r="I961" s="31" t="s">
        <v>29</v>
      </c>
    </row>
    <row r="962" spans="2:9" s="6" customFormat="1" ht="11.25" customHeight="1" x14ac:dyDescent="0.55000000000000004">
      <c r="B962" s="30" t="s">
        <v>1992</v>
      </c>
      <c r="C962" s="30" t="s">
        <v>1993</v>
      </c>
      <c r="D962" s="32">
        <v>64246</v>
      </c>
      <c r="E962" s="30" t="s">
        <v>20</v>
      </c>
      <c r="F962" s="30" t="s">
        <v>792</v>
      </c>
      <c r="G962" s="30" t="s">
        <v>194</v>
      </c>
      <c r="H962" s="30" t="s">
        <v>124</v>
      </c>
      <c r="I962" s="31">
        <v>62203964.011</v>
      </c>
    </row>
    <row r="963" spans="2:9" s="6" customFormat="1" ht="11.25" customHeight="1" x14ac:dyDescent="0.55000000000000004">
      <c r="B963" s="30" t="s">
        <v>1994</v>
      </c>
      <c r="C963" s="30" t="s">
        <v>1995</v>
      </c>
      <c r="D963" s="32">
        <v>97950</v>
      </c>
      <c r="E963" s="30" t="s">
        <v>15</v>
      </c>
      <c r="F963" s="30"/>
      <c r="G963" s="30"/>
      <c r="H963" s="30" t="s">
        <v>113</v>
      </c>
      <c r="I963" s="31" t="s">
        <v>29</v>
      </c>
    </row>
    <row r="964" spans="2:9" s="6" customFormat="1" ht="11.25" customHeight="1" x14ac:dyDescent="0.55000000000000004">
      <c r="B964" s="30" t="s">
        <v>1062</v>
      </c>
      <c r="C964" s="30" t="s">
        <v>1996</v>
      </c>
      <c r="D964" s="32" t="s">
        <v>29</v>
      </c>
      <c r="E964" s="30" t="s">
        <v>20</v>
      </c>
      <c r="F964" s="30" t="s">
        <v>1062</v>
      </c>
      <c r="G964" s="30" t="s">
        <v>155</v>
      </c>
      <c r="H964" s="30" t="s">
        <v>150</v>
      </c>
      <c r="I964" s="31">
        <v>14050761.793</v>
      </c>
    </row>
    <row r="965" spans="2:9" s="6" customFormat="1" ht="11.25" customHeight="1" x14ac:dyDescent="0.55000000000000004">
      <c r="B965" s="30" t="s">
        <v>1997</v>
      </c>
      <c r="C965" s="30" t="s">
        <v>1998</v>
      </c>
      <c r="D965" s="32">
        <v>83607</v>
      </c>
      <c r="E965" s="30" t="s">
        <v>20</v>
      </c>
      <c r="F965" s="30" t="s">
        <v>1062</v>
      </c>
      <c r="G965" s="30" t="s">
        <v>155</v>
      </c>
      <c r="H965" s="30" t="s">
        <v>150</v>
      </c>
      <c r="I965" s="31">
        <v>13885268.447000001</v>
      </c>
    </row>
    <row r="966" spans="2:9" s="6" customFormat="1" ht="11.25" customHeight="1" x14ac:dyDescent="0.55000000000000004">
      <c r="B966" s="30" t="s">
        <v>1999</v>
      </c>
      <c r="C966" s="30" t="s">
        <v>2000</v>
      </c>
      <c r="D966" s="32">
        <v>83607</v>
      </c>
      <c r="E966" s="30" t="s">
        <v>20</v>
      </c>
      <c r="F966" s="30"/>
      <c r="G966" s="30"/>
      <c r="H966" s="30" t="s">
        <v>150</v>
      </c>
      <c r="I966" s="31" t="s">
        <v>29</v>
      </c>
    </row>
    <row r="967" spans="2:9" s="6" customFormat="1" ht="11.25" customHeight="1" x14ac:dyDescent="0.55000000000000004">
      <c r="B967" s="30" t="s">
        <v>2001</v>
      </c>
      <c r="C967" s="30" t="s">
        <v>2002</v>
      </c>
      <c r="D967" s="32">
        <v>83607</v>
      </c>
      <c r="E967" s="30" t="s">
        <v>20</v>
      </c>
      <c r="F967" s="30"/>
      <c r="G967" s="30"/>
      <c r="H967" s="30" t="s">
        <v>150</v>
      </c>
      <c r="I967" s="31" t="s">
        <v>29</v>
      </c>
    </row>
    <row r="968" spans="2:9" s="6" customFormat="1" ht="11.25" customHeight="1" x14ac:dyDescent="0.55000000000000004">
      <c r="B968" s="30" t="s">
        <v>2003</v>
      </c>
      <c r="C968" s="30" t="s">
        <v>2004</v>
      </c>
      <c r="D968" s="32">
        <v>93220</v>
      </c>
      <c r="E968" s="30" t="s">
        <v>15</v>
      </c>
      <c r="F968" s="30" t="s">
        <v>1897</v>
      </c>
      <c r="G968" s="30"/>
      <c r="H968" s="30" t="s">
        <v>63</v>
      </c>
      <c r="I968" s="31" t="s">
        <v>29</v>
      </c>
    </row>
    <row r="969" spans="2:9" s="6" customFormat="1" ht="11.25" customHeight="1" x14ac:dyDescent="0.55000000000000004">
      <c r="B969" s="30" t="s">
        <v>2005</v>
      </c>
      <c r="C969" s="30" t="s">
        <v>2006</v>
      </c>
      <c r="D969" s="32">
        <v>68004</v>
      </c>
      <c r="E969" s="30" t="s">
        <v>15</v>
      </c>
      <c r="F969" s="30" t="s">
        <v>1897</v>
      </c>
      <c r="G969" s="30"/>
      <c r="H969" s="30" t="s">
        <v>500</v>
      </c>
      <c r="I969" s="31" t="s">
        <v>29</v>
      </c>
    </row>
    <row r="970" spans="2:9" s="6" customFormat="1" ht="11.25" customHeight="1" x14ac:dyDescent="0.55000000000000004">
      <c r="B970" s="30" t="s">
        <v>2007</v>
      </c>
      <c r="C970" s="30" t="s">
        <v>2008</v>
      </c>
      <c r="D970" s="32">
        <v>64262</v>
      </c>
      <c r="E970" s="30" t="s">
        <v>15</v>
      </c>
      <c r="F970" s="30"/>
      <c r="G970" s="30"/>
      <c r="H970" s="30" t="s">
        <v>113</v>
      </c>
      <c r="I970" s="31" t="s">
        <v>29</v>
      </c>
    </row>
    <row r="971" spans="2:9" s="6" customFormat="1" ht="11.25" customHeight="1" x14ac:dyDescent="0.55000000000000004">
      <c r="B971" s="30" t="s">
        <v>2009</v>
      </c>
      <c r="C971" s="30" t="s">
        <v>2010</v>
      </c>
      <c r="D971" s="32">
        <v>77976</v>
      </c>
      <c r="E971" s="30" t="s">
        <v>20</v>
      </c>
      <c r="F971" s="30"/>
      <c r="G971" s="30" t="s">
        <v>21</v>
      </c>
      <c r="H971" s="30" t="s">
        <v>179</v>
      </c>
      <c r="I971" s="31">
        <v>23873.471000000001</v>
      </c>
    </row>
    <row r="972" spans="2:9" s="6" customFormat="1" ht="11.25" customHeight="1" x14ac:dyDescent="0.55000000000000004">
      <c r="B972" s="30" t="s">
        <v>2011</v>
      </c>
      <c r="C972" s="30" t="s">
        <v>2012</v>
      </c>
      <c r="D972" s="32">
        <v>60020</v>
      </c>
      <c r="E972" s="30" t="s">
        <v>15</v>
      </c>
      <c r="F972" s="30"/>
      <c r="G972" s="30"/>
      <c r="H972" s="30" t="s">
        <v>179</v>
      </c>
      <c r="I972" s="31" t="s">
        <v>29</v>
      </c>
    </row>
    <row r="973" spans="2:9" s="6" customFormat="1" ht="11.25" customHeight="1" x14ac:dyDescent="0.55000000000000004">
      <c r="B973" s="30" t="s">
        <v>2013</v>
      </c>
      <c r="C973" s="30" t="s">
        <v>2014</v>
      </c>
      <c r="D973" s="32">
        <v>75612</v>
      </c>
      <c r="E973" s="30" t="s">
        <v>15</v>
      </c>
      <c r="F973" s="30"/>
      <c r="G973" s="30" t="s">
        <v>16</v>
      </c>
      <c r="H973" s="30" t="s">
        <v>66</v>
      </c>
      <c r="I973" s="31" t="s">
        <v>29</v>
      </c>
    </row>
    <row r="974" spans="2:9" s="6" customFormat="1" ht="11.25" customHeight="1" x14ac:dyDescent="0.55000000000000004">
      <c r="B974" s="30" t="s">
        <v>2015</v>
      </c>
      <c r="C974" s="30" t="s">
        <v>2016</v>
      </c>
      <c r="D974" s="32">
        <v>74640</v>
      </c>
      <c r="E974" s="30" t="s">
        <v>15</v>
      </c>
      <c r="F974" s="30" t="s">
        <v>728</v>
      </c>
      <c r="G974" s="30" t="s">
        <v>39</v>
      </c>
      <c r="H974" s="30" t="s">
        <v>66</v>
      </c>
      <c r="I974" s="31" t="s">
        <v>29</v>
      </c>
    </row>
    <row r="975" spans="2:9" s="6" customFormat="1" ht="11.25" customHeight="1" x14ac:dyDescent="0.55000000000000004">
      <c r="B975" s="30" t="s">
        <v>2017</v>
      </c>
      <c r="C975" s="30" t="s">
        <v>2018</v>
      </c>
      <c r="D975" s="32">
        <v>63967</v>
      </c>
      <c r="E975" s="30" t="s">
        <v>20</v>
      </c>
      <c r="F975" s="30" t="s">
        <v>1788</v>
      </c>
      <c r="G975" s="30" t="s">
        <v>35</v>
      </c>
      <c r="H975" s="30" t="s">
        <v>113</v>
      </c>
      <c r="I975" s="31">
        <v>812131.68299999996</v>
      </c>
    </row>
    <row r="976" spans="2:9" s="6" customFormat="1" ht="11.25" customHeight="1" x14ac:dyDescent="0.55000000000000004">
      <c r="B976" s="30" t="s">
        <v>2019</v>
      </c>
      <c r="C976" s="30" t="s">
        <v>2020</v>
      </c>
      <c r="D976" s="32">
        <v>88340</v>
      </c>
      <c r="E976" s="30" t="s">
        <v>20</v>
      </c>
      <c r="F976" s="30"/>
      <c r="G976" s="30" t="s">
        <v>21</v>
      </c>
      <c r="H976" s="30" t="s">
        <v>262</v>
      </c>
      <c r="I976" s="31">
        <v>17527200.243999999</v>
      </c>
    </row>
    <row r="977" spans="2:9" s="6" customFormat="1" ht="11.25" customHeight="1" x14ac:dyDescent="0.55000000000000004">
      <c r="B977" s="30" t="s">
        <v>2021</v>
      </c>
      <c r="C977" s="30" t="s">
        <v>2022</v>
      </c>
      <c r="D977" s="32">
        <v>60248</v>
      </c>
      <c r="E977" s="30" t="s">
        <v>15</v>
      </c>
      <c r="F977" s="30"/>
      <c r="G977" s="30"/>
      <c r="H977" s="30" t="s">
        <v>92</v>
      </c>
      <c r="I977" s="31" t="s">
        <v>29</v>
      </c>
    </row>
    <row r="978" spans="2:9" s="6" customFormat="1" ht="11.25" customHeight="1" x14ac:dyDescent="0.55000000000000004">
      <c r="B978" s="30" t="s">
        <v>2023</v>
      </c>
      <c r="C978" s="30" t="s">
        <v>2024</v>
      </c>
      <c r="D978" s="32">
        <v>64327</v>
      </c>
      <c r="E978" s="30" t="s">
        <v>20</v>
      </c>
      <c r="F978" s="30" t="s">
        <v>1415</v>
      </c>
      <c r="G978" s="30" t="s">
        <v>35</v>
      </c>
      <c r="H978" s="30" t="s">
        <v>75</v>
      </c>
      <c r="I978" s="31">
        <v>405227.473</v>
      </c>
    </row>
    <row r="979" spans="2:9" s="6" customFormat="1" ht="11.25" customHeight="1" x14ac:dyDescent="0.55000000000000004">
      <c r="B979" s="30" t="s">
        <v>2025</v>
      </c>
      <c r="C979" s="30" t="s">
        <v>2026</v>
      </c>
      <c r="D979" s="32">
        <v>99848</v>
      </c>
      <c r="E979" s="30" t="s">
        <v>15</v>
      </c>
      <c r="F979" s="30" t="s">
        <v>149</v>
      </c>
      <c r="G979" s="30"/>
      <c r="H979" s="30" t="s">
        <v>239</v>
      </c>
      <c r="I979" s="31" t="s">
        <v>29</v>
      </c>
    </row>
    <row r="980" spans="2:9" s="6" customFormat="1" ht="11.25" customHeight="1" x14ac:dyDescent="0.55000000000000004">
      <c r="B980" s="30" t="s">
        <v>2027</v>
      </c>
      <c r="C980" s="30" t="s">
        <v>2028</v>
      </c>
      <c r="D980" s="32">
        <v>75280</v>
      </c>
      <c r="E980" s="30" t="s">
        <v>15</v>
      </c>
      <c r="F980" s="30"/>
      <c r="G980" s="30"/>
      <c r="H980" s="30" t="s">
        <v>66</v>
      </c>
      <c r="I980" s="31" t="s">
        <v>29</v>
      </c>
    </row>
    <row r="981" spans="2:9" s="6" customFormat="1" ht="11.25" customHeight="1" x14ac:dyDescent="0.55000000000000004">
      <c r="B981" s="30" t="s">
        <v>2029</v>
      </c>
      <c r="C981" s="30" t="s">
        <v>2030</v>
      </c>
      <c r="D981" s="32">
        <v>70815</v>
      </c>
      <c r="E981" s="30" t="s">
        <v>20</v>
      </c>
      <c r="F981" s="30"/>
      <c r="G981" s="30" t="s">
        <v>21</v>
      </c>
      <c r="H981" s="30" t="s">
        <v>96</v>
      </c>
      <c r="I981" s="31">
        <v>12877681.450999999</v>
      </c>
    </row>
    <row r="982" spans="2:9" s="6" customFormat="1" ht="11.25" customHeight="1" x14ac:dyDescent="0.55000000000000004">
      <c r="B982" s="30" t="s">
        <v>2031</v>
      </c>
      <c r="C982" s="30" t="s">
        <v>2032</v>
      </c>
      <c r="D982" s="32">
        <v>70815</v>
      </c>
      <c r="E982" s="30" t="s">
        <v>20</v>
      </c>
      <c r="F982" s="30"/>
      <c r="G982" s="30"/>
      <c r="H982" s="30" t="s">
        <v>96</v>
      </c>
      <c r="I982" s="31" t="s">
        <v>29</v>
      </c>
    </row>
    <row r="983" spans="2:9" s="6" customFormat="1" ht="11.25" customHeight="1" x14ac:dyDescent="0.55000000000000004">
      <c r="B983" s="30" t="s">
        <v>2033</v>
      </c>
      <c r="C983" s="30" t="s">
        <v>2034</v>
      </c>
      <c r="D983" s="32">
        <v>11080</v>
      </c>
      <c r="E983" s="30" t="s">
        <v>15</v>
      </c>
      <c r="F983" s="30"/>
      <c r="G983" s="30"/>
      <c r="H983" s="30" t="s">
        <v>22</v>
      </c>
      <c r="I983" s="31" t="s">
        <v>29</v>
      </c>
    </row>
    <row r="984" spans="2:9" s="6" customFormat="1" ht="11.25" customHeight="1" x14ac:dyDescent="0.55000000000000004">
      <c r="B984" s="30" t="s">
        <v>2035</v>
      </c>
      <c r="C984" s="30" t="s">
        <v>2036</v>
      </c>
      <c r="D984" s="32">
        <v>74268</v>
      </c>
      <c r="E984" s="30" t="s">
        <v>15</v>
      </c>
      <c r="F984" s="30"/>
      <c r="G984" s="30"/>
      <c r="H984" s="30" t="s">
        <v>96</v>
      </c>
      <c r="I984" s="31" t="s">
        <v>29</v>
      </c>
    </row>
    <row r="985" spans="2:9" s="6" customFormat="1" ht="11.25" customHeight="1" x14ac:dyDescent="0.55000000000000004">
      <c r="B985" s="30" t="s">
        <v>2037</v>
      </c>
      <c r="C985" s="30" t="s">
        <v>2038</v>
      </c>
      <c r="D985" s="32">
        <v>79421</v>
      </c>
      <c r="E985" s="30" t="s">
        <v>15</v>
      </c>
      <c r="F985" s="30" t="s">
        <v>451</v>
      </c>
      <c r="G985" s="30"/>
      <c r="H985" s="30" t="s">
        <v>26</v>
      </c>
      <c r="I985" s="31" t="s">
        <v>29</v>
      </c>
    </row>
    <row r="986" spans="2:9" s="6" customFormat="1" ht="11.25" customHeight="1" x14ac:dyDescent="0.55000000000000004">
      <c r="B986" s="30" t="s">
        <v>2039</v>
      </c>
      <c r="C986" s="30" t="s">
        <v>2040</v>
      </c>
      <c r="D986" s="32">
        <v>88277</v>
      </c>
      <c r="E986" s="30" t="s">
        <v>15</v>
      </c>
      <c r="F986" s="30"/>
      <c r="G986" s="30"/>
      <c r="H986" s="30" t="s">
        <v>179</v>
      </c>
      <c r="I986" s="31" t="s">
        <v>29</v>
      </c>
    </row>
    <row r="987" spans="2:9" s="6" customFormat="1" ht="11.25" customHeight="1" x14ac:dyDescent="0.55000000000000004">
      <c r="B987" s="30" t="s">
        <v>2041</v>
      </c>
      <c r="C987" s="30" t="s">
        <v>2042</v>
      </c>
      <c r="D987" s="32">
        <v>90255</v>
      </c>
      <c r="E987" s="30" t="s">
        <v>20</v>
      </c>
      <c r="F987" s="30"/>
      <c r="G987" s="30" t="s">
        <v>80</v>
      </c>
      <c r="H987" s="30" t="s">
        <v>63</v>
      </c>
      <c r="I987" s="31">
        <v>11674.955</v>
      </c>
    </row>
    <row r="988" spans="2:9" s="6" customFormat="1" ht="11.25" customHeight="1" x14ac:dyDescent="0.55000000000000004">
      <c r="B988" s="30" t="s">
        <v>2043</v>
      </c>
      <c r="C988" s="30" t="s">
        <v>2044</v>
      </c>
      <c r="D988" s="32" t="s">
        <v>29</v>
      </c>
      <c r="E988" s="30" t="s">
        <v>20</v>
      </c>
      <c r="F988" s="30" t="s">
        <v>2043</v>
      </c>
      <c r="G988" s="30" t="s">
        <v>35</v>
      </c>
      <c r="H988" s="30" t="s">
        <v>113</v>
      </c>
      <c r="I988" s="31">
        <v>181995.89</v>
      </c>
    </row>
    <row r="989" spans="2:9" s="6" customFormat="1" ht="11.25" customHeight="1" x14ac:dyDescent="0.55000000000000004">
      <c r="B989" s="30" t="s">
        <v>2045</v>
      </c>
      <c r="C989" s="30" t="s">
        <v>2046</v>
      </c>
      <c r="D989" s="32">
        <v>82686</v>
      </c>
      <c r="E989" s="30" t="s">
        <v>20</v>
      </c>
      <c r="F989" s="30" t="s">
        <v>2043</v>
      </c>
      <c r="G989" s="30" t="s">
        <v>35</v>
      </c>
      <c r="H989" s="30" t="s">
        <v>113</v>
      </c>
      <c r="I989" s="31">
        <v>11771.838</v>
      </c>
    </row>
    <row r="990" spans="2:9" s="6" customFormat="1" ht="11.25" customHeight="1" x14ac:dyDescent="0.55000000000000004">
      <c r="B990" s="30" t="s">
        <v>2047</v>
      </c>
      <c r="C990" s="30" t="s">
        <v>2048</v>
      </c>
      <c r="D990" s="32">
        <v>15828</v>
      </c>
      <c r="E990" s="30" t="s">
        <v>20</v>
      </c>
      <c r="F990" s="30" t="s">
        <v>38</v>
      </c>
      <c r="G990" s="30" t="s">
        <v>155</v>
      </c>
      <c r="H990" s="30" t="s">
        <v>124</v>
      </c>
      <c r="I990" s="31">
        <v>1788022.142</v>
      </c>
    </row>
    <row r="991" spans="2:9" s="6" customFormat="1" ht="11.25" customHeight="1" x14ac:dyDescent="0.55000000000000004">
      <c r="B991" s="30" t="s">
        <v>2049</v>
      </c>
      <c r="C991" s="30" t="s">
        <v>2050</v>
      </c>
      <c r="D991" s="32">
        <v>92711</v>
      </c>
      <c r="E991" s="30" t="s">
        <v>20</v>
      </c>
      <c r="F991" s="30" t="s">
        <v>1699</v>
      </c>
      <c r="G991" s="30" t="s">
        <v>21</v>
      </c>
      <c r="H991" s="30" t="s">
        <v>108</v>
      </c>
      <c r="I991" s="31">
        <v>1182574.8700000001</v>
      </c>
    </row>
    <row r="992" spans="2:9" s="6" customFormat="1" ht="11.25" customHeight="1" x14ac:dyDescent="0.55000000000000004">
      <c r="B992" s="30" t="s">
        <v>2051</v>
      </c>
      <c r="C992" s="30" t="s">
        <v>2052</v>
      </c>
      <c r="D992" s="32">
        <v>84000</v>
      </c>
      <c r="E992" s="30" t="s">
        <v>15</v>
      </c>
      <c r="F992" s="30"/>
      <c r="G992" s="30" t="s">
        <v>39</v>
      </c>
      <c r="H992" s="30" t="s">
        <v>48</v>
      </c>
      <c r="I992" s="31" t="s">
        <v>29</v>
      </c>
    </row>
    <row r="993" spans="2:9" s="6" customFormat="1" ht="11.25" customHeight="1" x14ac:dyDescent="0.55000000000000004">
      <c r="B993" s="30" t="s">
        <v>2053</v>
      </c>
      <c r="C993" s="30" t="s">
        <v>2054</v>
      </c>
      <c r="D993" s="32">
        <v>60129</v>
      </c>
      <c r="E993" s="30" t="s">
        <v>15</v>
      </c>
      <c r="F993" s="30"/>
      <c r="G993" s="30"/>
      <c r="H993" s="30" t="s">
        <v>179</v>
      </c>
      <c r="I993" s="31" t="s">
        <v>29</v>
      </c>
    </row>
    <row r="994" spans="2:9" s="6" customFormat="1" ht="11.25" customHeight="1" x14ac:dyDescent="0.55000000000000004">
      <c r="B994" s="30" t="s">
        <v>2055</v>
      </c>
      <c r="C994" s="30" t="s">
        <v>2056</v>
      </c>
      <c r="D994" s="32">
        <v>68799</v>
      </c>
      <c r="E994" s="30" t="s">
        <v>15</v>
      </c>
      <c r="F994" s="30" t="s">
        <v>290</v>
      </c>
      <c r="G994" s="30"/>
      <c r="H994" s="30" t="s">
        <v>239</v>
      </c>
      <c r="I994" s="31" t="s">
        <v>29</v>
      </c>
    </row>
    <row r="995" spans="2:9" s="6" customFormat="1" ht="11.25" customHeight="1" x14ac:dyDescent="0.55000000000000004">
      <c r="B995" s="30" t="s">
        <v>2057</v>
      </c>
      <c r="C995" s="30" t="s">
        <v>2058</v>
      </c>
      <c r="D995" s="32">
        <v>66141</v>
      </c>
      <c r="E995" s="30" t="s">
        <v>20</v>
      </c>
      <c r="F995" s="30" t="s">
        <v>290</v>
      </c>
      <c r="G995" s="30" t="s">
        <v>39</v>
      </c>
      <c r="H995" s="30" t="s">
        <v>500</v>
      </c>
      <c r="I995" s="31">
        <v>606106.31200000003</v>
      </c>
    </row>
    <row r="996" spans="2:9" s="6" customFormat="1" ht="11.25" customHeight="1" x14ac:dyDescent="0.55000000000000004">
      <c r="B996" s="30" t="s">
        <v>2059</v>
      </c>
      <c r="C996" s="30" t="s">
        <v>2060</v>
      </c>
      <c r="D996" s="32">
        <v>66214</v>
      </c>
      <c r="E996" s="30" t="s">
        <v>20</v>
      </c>
      <c r="F996" s="30"/>
      <c r="G996" s="30" t="s">
        <v>39</v>
      </c>
      <c r="H996" s="30" t="s">
        <v>500</v>
      </c>
      <c r="I996" s="31">
        <v>11086.554</v>
      </c>
    </row>
    <row r="997" spans="2:9" s="6" customFormat="1" ht="11.25" customHeight="1" x14ac:dyDescent="0.55000000000000004">
      <c r="B997" s="30" t="s">
        <v>2061</v>
      </c>
      <c r="C997" s="30" t="s">
        <v>2062</v>
      </c>
      <c r="D997" s="32">
        <v>70017</v>
      </c>
      <c r="E997" s="30" t="s">
        <v>15</v>
      </c>
      <c r="F997" s="30"/>
      <c r="G997" s="30"/>
      <c r="H997" s="30" t="s">
        <v>150</v>
      </c>
      <c r="I997" s="31" t="s">
        <v>29</v>
      </c>
    </row>
    <row r="998" spans="2:9" s="6" customFormat="1" ht="11.25" customHeight="1" x14ac:dyDescent="0.55000000000000004">
      <c r="B998" s="30" t="s">
        <v>2063</v>
      </c>
      <c r="C998" s="30" t="s">
        <v>2064</v>
      </c>
      <c r="D998" s="32">
        <v>64394</v>
      </c>
      <c r="E998" s="30" t="s">
        <v>20</v>
      </c>
      <c r="F998" s="30" t="s">
        <v>298</v>
      </c>
      <c r="G998" s="30" t="s">
        <v>155</v>
      </c>
      <c r="H998" s="30" t="s">
        <v>22</v>
      </c>
      <c r="I998" s="31">
        <v>4860342.72</v>
      </c>
    </row>
    <row r="999" spans="2:9" s="6" customFormat="1" ht="11.25" customHeight="1" x14ac:dyDescent="0.55000000000000004">
      <c r="B999" s="30" t="s">
        <v>2065</v>
      </c>
      <c r="C999" s="30" t="s">
        <v>2066</v>
      </c>
      <c r="D999" s="32">
        <v>60158</v>
      </c>
      <c r="E999" s="30" t="s">
        <v>15</v>
      </c>
      <c r="F999" s="30" t="s">
        <v>2067</v>
      </c>
      <c r="G999" s="30" t="s">
        <v>16</v>
      </c>
      <c r="H999" s="30" t="s">
        <v>26</v>
      </c>
      <c r="I999" s="31" t="s">
        <v>29</v>
      </c>
    </row>
    <row r="1000" spans="2:9" s="6" customFormat="1" ht="11.25" customHeight="1" x14ac:dyDescent="0.55000000000000004">
      <c r="B1000" s="30" t="s">
        <v>2068</v>
      </c>
      <c r="C1000" s="30" t="s">
        <v>2069</v>
      </c>
      <c r="D1000" s="32">
        <v>72338</v>
      </c>
      <c r="E1000" s="30" t="s">
        <v>15</v>
      </c>
      <c r="F1000" s="30" t="s">
        <v>1393</v>
      </c>
      <c r="G1000" s="30"/>
      <c r="H1000" s="30" t="s">
        <v>113</v>
      </c>
      <c r="I1000" s="31" t="s">
        <v>29</v>
      </c>
    </row>
    <row r="1001" spans="2:9" s="6" customFormat="1" ht="11.25" customHeight="1" x14ac:dyDescent="0.55000000000000004">
      <c r="B1001" s="30" t="s">
        <v>2070</v>
      </c>
      <c r="C1001" s="30" t="s">
        <v>2071</v>
      </c>
      <c r="D1001" s="32">
        <v>84042</v>
      </c>
      <c r="E1001" s="30" t="s">
        <v>15</v>
      </c>
      <c r="F1001" s="30"/>
      <c r="G1001" s="30" t="s">
        <v>35</v>
      </c>
      <c r="H1001" s="30" t="s">
        <v>266</v>
      </c>
      <c r="I1001" s="31" t="s">
        <v>29</v>
      </c>
    </row>
    <row r="1002" spans="2:9" s="6" customFormat="1" ht="11.25" customHeight="1" x14ac:dyDescent="0.55000000000000004">
      <c r="B1002" s="30" t="s">
        <v>2072</v>
      </c>
      <c r="C1002" s="30" t="s">
        <v>2073</v>
      </c>
      <c r="D1002" s="32">
        <v>60058</v>
      </c>
      <c r="E1002" s="30" t="s">
        <v>15</v>
      </c>
      <c r="F1002" s="30"/>
      <c r="G1002" s="30"/>
      <c r="H1002" s="30" t="s">
        <v>385</v>
      </c>
      <c r="I1002" s="31" t="s">
        <v>29</v>
      </c>
    </row>
    <row r="1003" spans="2:9" s="6" customFormat="1" ht="11.25" customHeight="1" x14ac:dyDescent="0.55000000000000004">
      <c r="B1003" s="30" t="s">
        <v>2074</v>
      </c>
      <c r="C1003" s="30" t="s">
        <v>2075</v>
      </c>
      <c r="D1003" s="32">
        <v>87947</v>
      </c>
      <c r="E1003" s="30" t="s">
        <v>15</v>
      </c>
      <c r="F1003" s="30" t="s">
        <v>709</v>
      </c>
      <c r="G1003" s="30"/>
      <c r="H1003" s="30" t="s">
        <v>150</v>
      </c>
      <c r="I1003" s="31" t="s">
        <v>29</v>
      </c>
    </row>
    <row r="1004" spans="2:9" s="6" customFormat="1" ht="11.25" customHeight="1" x14ac:dyDescent="0.55000000000000004">
      <c r="B1004" s="30" t="s">
        <v>2076</v>
      </c>
      <c r="C1004" s="30" t="s">
        <v>2077</v>
      </c>
      <c r="D1004" s="32">
        <v>60122</v>
      </c>
      <c r="E1004" s="30" t="s">
        <v>15</v>
      </c>
      <c r="F1004" s="30"/>
      <c r="G1004" s="30"/>
      <c r="H1004" s="30" t="s">
        <v>105</v>
      </c>
      <c r="I1004" s="31" t="s">
        <v>29</v>
      </c>
    </row>
    <row r="1005" spans="2:9" s="6" customFormat="1" ht="11.25" customHeight="1" x14ac:dyDescent="0.55000000000000004">
      <c r="B1005" s="30" t="s">
        <v>2078</v>
      </c>
      <c r="C1005" s="30" t="s">
        <v>2079</v>
      </c>
      <c r="D1005" s="32" t="s">
        <v>29</v>
      </c>
      <c r="E1005" s="30" t="s">
        <v>20</v>
      </c>
      <c r="F1005" s="30" t="s">
        <v>2078</v>
      </c>
      <c r="G1005" s="30" t="s">
        <v>21</v>
      </c>
      <c r="H1005" s="30" t="s">
        <v>75</v>
      </c>
      <c r="I1005" s="31">
        <v>788105.97400000005</v>
      </c>
    </row>
    <row r="1006" spans="2:9" s="6" customFormat="1" ht="11.25" customHeight="1" x14ac:dyDescent="0.55000000000000004">
      <c r="B1006" s="30" t="s">
        <v>2080</v>
      </c>
      <c r="C1006" s="30" t="s">
        <v>2081</v>
      </c>
      <c r="D1006" s="32">
        <v>93440</v>
      </c>
      <c r="E1006" s="30" t="s">
        <v>20</v>
      </c>
      <c r="F1006" s="30" t="s">
        <v>2078</v>
      </c>
      <c r="G1006" s="30" t="s">
        <v>21</v>
      </c>
      <c r="H1006" s="30" t="s">
        <v>75</v>
      </c>
      <c r="I1006" s="31">
        <v>727155.43900000001</v>
      </c>
    </row>
    <row r="1007" spans="2:9" s="6" customFormat="1" ht="11.25" customHeight="1" x14ac:dyDescent="0.55000000000000004">
      <c r="B1007" s="30" t="s">
        <v>2082</v>
      </c>
      <c r="C1007" s="30" t="s">
        <v>2083</v>
      </c>
      <c r="D1007" s="32">
        <v>60213</v>
      </c>
      <c r="E1007" s="30" t="s">
        <v>20</v>
      </c>
      <c r="F1007" s="30" t="s">
        <v>2078</v>
      </c>
      <c r="G1007" s="30" t="s">
        <v>21</v>
      </c>
      <c r="H1007" s="30" t="s">
        <v>124</v>
      </c>
      <c r="I1007" s="31">
        <v>60950.535000000003</v>
      </c>
    </row>
    <row r="1008" spans="2:9" s="6" customFormat="1" ht="11.25" customHeight="1" x14ac:dyDescent="0.55000000000000004">
      <c r="B1008" s="30" t="s">
        <v>2084</v>
      </c>
      <c r="C1008" s="30" t="s">
        <v>2085</v>
      </c>
      <c r="D1008" s="32">
        <v>89389</v>
      </c>
      <c r="E1008" s="30" t="s">
        <v>15</v>
      </c>
      <c r="F1008" s="30"/>
      <c r="G1008" s="30"/>
      <c r="H1008" s="30" t="s">
        <v>92</v>
      </c>
      <c r="I1008" s="31" t="s">
        <v>29</v>
      </c>
    </row>
    <row r="1009" spans="2:9" s="6" customFormat="1" ht="11.25" customHeight="1" x14ac:dyDescent="0.55000000000000004">
      <c r="B1009" s="30" t="s">
        <v>2086</v>
      </c>
      <c r="C1009" s="30" t="s">
        <v>2087</v>
      </c>
      <c r="D1009" s="32">
        <v>64424</v>
      </c>
      <c r="E1009" s="30" t="s">
        <v>15</v>
      </c>
      <c r="F1009" s="30" t="s">
        <v>116</v>
      </c>
      <c r="G1009" s="30"/>
      <c r="H1009" s="30" t="s">
        <v>26</v>
      </c>
      <c r="I1009" s="31" t="s">
        <v>29</v>
      </c>
    </row>
    <row r="1010" spans="2:9" s="6" customFormat="1" ht="11.25" customHeight="1" x14ac:dyDescent="0.55000000000000004">
      <c r="B1010" s="30" t="s">
        <v>2088</v>
      </c>
      <c r="C1010" s="30" t="s">
        <v>2089</v>
      </c>
      <c r="D1010" s="32">
        <v>64459</v>
      </c>
      <c r="E1010" s="30" t="s">
        <v>15</v>
      </c>
      <c r="F1010" s="30"/>
      <c r="G1010" s="30"/>
      <c r="H1010" s="30" t="s">
        <v>52</v>
      </c>
      <c r="I1010" s="31" t="s">
        <v>29</v>
      </c>
    </row>
    <row r="1011" spans="2:9" s="6" customFormat="1" ht="11.25" customHeight="1" x14ac:dyDescent="0.55000000000000004">
      <c r="B1011" s="30" t="s">
        <v>2090</v>
      </c>
      <c r="C1011" s="30" t="s">
        <v>2091</v>
      </c>
      <c r="D1011" s="32">
        <v>75353</v>
      </c>
      <c r="E1011" s="30" t="s">
        <v>15</v>
      </c>
      <c r="F1011" s="30"/>
      <c r="G1011" s="30"/>
      <c r="H1011" s="30" t="s">
        <v>179</v>
      </c>
      <c r="I1011" s="31" t="s">
        <v>29</v>
      </c>
    </row>
    <row r="1012" spans="2:9" s="6" customFormat="1" ht="11.25" customHeight="1" x14ac:dyDescent="0.55000000000000004">
      <c r="B1012" s="30" t="s">
        <v>2092</v>
      </c>
      <c r="C1012" s="30" t="s">
        <v>2093</v>
      </c>
      <c r="D1012" s="32">
        <v>71560</v>
      </c>
      <c r="E1012" s="30" t="s">
        <v>15</v>
      </c>
      <c r="F1012" s="30" t="s">
        <v>298</v>
      </c>
      <c r="G1012" s="30"/>
      <c r="H1012" s="30" t="s">
        <v>86</v>
      </c>
      <c r="I1012" s="31" t="s">
        <v>29</v>
      </c>
    </row>
    <row r="1013" spans="2:9" s="6" customFormat="1" ht="11.25" customHeight="1" x14ac:dyDescent="0.55000000000000004">
      <c r="B1013" s="30" t="s">
        <v>2094</v>
      </c>
      <c r="C1013" s="30" t="s">
        <v>2095</v>
      </c>
      <c r="D1013" s="32" t="s">
        <v>29</v>
      </c>
      <c r="E1013" s="30" t="s">
        <v>20</v>
      </c>
      <c r="F1013" s="30" t="s">
        <v>2094</v>
      </c>
      <c r="G1013" s="30" t="s">
        <v>21</v>
      </c>
      <c r="H1013" s="30" t="s">
        <v>45</v>
      </c>
      <c r="I1013" s="31">
        <v>104291.784</v>
      </c>
    </row>
    <row r="1014" spans="2:9" s="6" customFormat="1" ht="11.25" customHeight="1" x14ac:dyDescent="0.55000000000000004">
      <c r="B1014" s="30" t="s">
        <v>2096</v>
      </c>
      <c r="C1014" s="30" t="s">
        <v>2097</v>
      </c>
      <c r="D1014" s="32">
        <v>64505</v>
      </c>
      <c r="E1014" s="30" t="s">
        <v>20</v>
      </c>
      <c r="F1014" s="30"/>
      <c r="G1014" s="30" t="s">
        <v>25</v>
      </c>
      <c r="H1014" s="30" t="s">
        <v>63</v>
      </c>
      <c r="I1014" s="31">
        <v>3213161.9240000001</v>
      </c>
    </row>
    <row r="1015" spans="2:9" s="6" customFormat="1" ht="11.25" customHeight="1" x14ac:dyDescent="0.55000000000000004">
      <c r="B1015" s="30" t="s">
        <v>1384</v>
      </c>
      <c r="C1015" s="30" t="s">
        <v>2098</v>
      </c>
      <c r="D1015" s="32" t="s">
        <v>29</v>
      </c>
      <c r="E1015" s="30" t="s">
        <v>20</v>
      </c>
      <c r="F1015" s="30" t="s">
        <v>1384</v>
      </c>
      <c r="G1015" s="30" t="s">
        <v>16</v>
      </c>
      <c r="H1015" s="30" t="s">
        <v>22</v>
      </c>
      <c r="I1015" s="31">
        <v>7992086.3020000001</v>
      </c>
    </row>
    <row r="1016" spans="2:9" s="6" customFormat="1" ht="11.25" customHeight="1" x14ac:dyDescent="0.55000000000000004">
      <c r="B1016" s="30" t="s">
        <v>2099</v>
      </c>
      <c r="C1016" s="30" t="s">
        <v>2100</v>
      </c>
      <c r="D1016" s="32">
        <v>64513</v>
      </c>
      <c r="E1016" s="30" t="s">
        <v>20</v>
      </c>
      <c r="F1016" s="30" t="s">
        <v>1384</v>
      </c>
      <c r="G1016" s="30" t="s">
        <v>16</v>
      </c>
      <c r="H1016" s="30" t="s">
        <v>22</v>
      </c>
      <c r="I1016" s="31">
        <v>7419913.1910000006</v>
      </c>
    </row>
    <row r="1017" spans="2:9" s="6" customFormat="1" ht="11.25" customHeight="1" x14ac:dyDescent="0.55000000000000004">
      <c r="B1017" s="30" t="s">
        <v>2101</v>
      </c>
      <c r="C1017" s="30" t="s">
        <v>2102</v>
      </c>
      <c r="D1017" s="32">
        <v>64513</v>
      </c>
      <c r="E1017" s="30" t="s">
        <v>20</v>
      </c>
      <c r="F1017" s="30"/>
      <c r="G1017" s="30"/>
      <c r="H1017" s="30" t="s">
        <v>22</v>
      </c>
      <c r="I1017" s="31" t="s">
        <v>29</v>
      </c>
    </row>
    <row r="1018" spans="2:9" s="6" customFormat="1" ht="11.25" customHeight="1" x14ac:dyDescent="0.55000000000000004">
      <c r="B1018" s="30" t="s">
        <v>2103</v>
      </c>
      <c r="C1018" s="30" t="s">
        <v>2104</v>
      </c>
      <c r="D1018" s="32">
        <v>64513</v>
      </c>
      <c r="E1018" s="30" t="s">
        <v>20</v>
      </c>
      <c r="F1018" s="30"/>
      <c r="G1018" s="30"/>
      <c r="H1018" s="30" t="s">
        <v>22</v>
      </c>
      <c r="I1018" s="31" t="s">
        <v>29</v>
      </c>
    </row>
    <row r="1019" spans="2:9" s="6" customFormat="1" ht="11.25" customHeight="1" x14ac:dyDescent="0.55000000000000004">
      <c r="B1019" s="30" t="s">
        <v>2105</v>
      </c>
      <c r="C1019" s="30" t="s">
        <v>2106</v>
      </c>
      <c r="D1019" s="32">
        <v>83488</v>
      </c>
      <c r="E1019" s="30" t="s">
        <v>15</v>
      </c>
      <c r="F1019" s="30"/>
      <c r="G1019" s="30"/>
      <c r="H1019" s="30" t="s">
        <v>2107</v>
      </c>
      <c r="I1019" s="31" t="s">
        <v>29</v>
      </c>
    </row>
    <row r="1020" spans="2:9" s="6" customFormat="1" ht="11.25" customHeight="1" x14ac:dyDescent="0.55000000000000004">
      <c r="B1020" s="30" t="s">
        <v>2108</v>
      </c>
      <c r="C1020" s="30" t="s">
        <v>2109</v>
      </c>
      <c r="D1020" s="32">
        <v>90379</v>
      </c>
      <c r="E1020" s="30" t="s">
        <v>15</v>
      </c>
      <c r="F1020" s="30" t="s">
        <v>307</v>
      </c>
      <c r="G1020" s="30"/>
      <c r="H1020" s="30" t="s">
        <v>146</v>
      </c>
      <c r="I1020" s="31" t="s">
        <v>29</v>
      </c>
    </row>
    <row r="1021" spans="2:9" s="6" customFormat="1" ht="11.25" customHeight="1" x14ac:dyDescent="0.55000000000000004">
      <c r="B1021" s="30" t="s">
        <v>2110</v>
      </c>
      <c r="C1021" s="30" t="s">
        <v>2111</v>
      </c>
      <c r="D1021" s="32">
        <v>60098</v>
      </c>
      <c r="E1021" s="30" t="s">
        <v>15</v>
      </c>
      <c r="F1021" s="30"/>
      <c r="G1021" s="30"/>
      <c r="H1021" s="30" t="s">
        <v>113</v>
      </c>
      <c r="I1021" s="31" t="s">
        <v>29</v>
      </c>
    </row>
    <row r="1022" spans="2:9" s="6" customFormat="1" ht="11.25" customHeight="1" x14ac:dyDescent="0.55000000000000004">
      <c r="B1022" s="30" t="s">
        <v>2112</v>
      </c>
      <c r="C1022" s="30" t="s">
        <v>2113</v>
      </c>
      <c r="D1022" s="32">
        <v>62421</v>
      </c>
      <c r="E1022" s="30" t="s">
        <v>15</v>
      </c>
      <c r="F1022" s="30" t="s">
        <v>2067</v>
      </c>
      <c r="G1022" s="30" t="s">
        <v>25</v>
      </c>
      <c r="H1022" s="30" t="s">
        <v>96</v>
      </c>
      <c r="I1022" s="31" t="s">
        <v>29</v>
      </c>
    </row>
    <row r="1023" spans="2:9" s="6" customFormat="1" ht="11.25" customHeight="1" x14ac:dyDescent="0.55000000000000004">
      <c r="B1023" s="30" t="s">
        <v>2114</v>
      </c>
      <c r="C1023" s="30" t="s">
        <v>2115</v>
      </c>
      <c r="D1023" s="32" t="s">
        <v>29</v>
      </c>
      <c r="E1023" s="30" t="s">
        <v>20</v>
      </c>
      <c r="F1023" s="30" t="s">
        <v>2114</v>
      </c>
      <c r="G1023" s="30" t="s">
        <v>21</v>
      </c>
      <c r="H1023" s="30" t="s">
        <v>278</v>
      </c>
      <c r="I1023" s="31" t="s">
        <v>29</v>
      </c>
    </row>
    <row r="1024" spans="2:9" s="6" customFormat="1" ht="11.25" customHeight="1" x14ac:dyDescent="0.55000000000000004">
      <c r="B1024" s="30" t="s">
        <v>2116</v>
      </c>
      <c r="C1024" s="30" t="s">
        <v>2117</v>
      </c>
      <c r="D1024" s="32">
        <v>78590</v>
      </c>
      <c r="E1024" s="30" t="s">
        <v>15</v>
      </c>
      <c r="F1024" s="30"/>
      <c r="G1024" s="30"/>
      <c r="H1024" s="30" t="s">
        <v>22</v>
      </c>
      <c r="I1024" s="31" t="s">
        <v>29</v>
      </c>
    </row>
    <row r="1025" spans="2:9" s="6" customFormat="1" ht="11.25" customHeight="1" x14ac:dyDescent="0.55000000000000004">
      <c r="B1025" s="30" t="s">
        <v>2118</v>
      </c>
      <c r="C1025" s="30" t="s">
        <v>2119</v>
      </c>
      <c r="D1025" s="32">
        <v>60010</v>
      </c>
      <c r="E1025" s="30" t="s">
        <v>15</v>
      </c>
      <c r="F1025" s="30" t="s">
        <v>2114</v>
      </c>
      <c r="G1025" s="30"/>
      <c r="H1025" s="30" t="s">
        <v>22</v>
      </c>
      <c r="I1025" s="31" t="s">
        <v>29</v>
      </c>
    </row>
    <row r="1026" spans="2:9" s="6" customFormat="1" ht="11.25" customHeight="1" x14ac:dyDescent="0.55000000000000004">
      <c r="B1026" s="30" t="s">
        <v>2120</v>
      </c>
      <c r="C1026" s="30" t="s">
        <v>2121</v>
      </c>
      <c r="D1026" s="32">
        <v>71498</v>
      </c>
      <c r="E1026" s="30" t="s">
        <v>15</v>
      </c>
      <c r="F1026" s="30" t="s">
        <v>2114</v>
      </c>
      <c r="G1026" s="30"/>
      <c r="H1026" s="30" t="s">
        <v>330</v>
      </c>
      <c r="I1026" s="31" t="s">
        <v>29</v>
      </c>
    </row>
    <row r="1027" spans="2:9" s="6" customFormat="1" ht="11.25" customHeight="1" x14ac:dyDescent="0.55000000000000004">
      <c r="B1027" s="30" t="s">
        <v>2122</v>
      </c>
      <c r="C1027" s="30" t="s">
        <v>2123</v>
      </c>
      <c r="D1027" s="32">
        <v>84603</v>
      </c>
      <c r="E1027" s="30" t="s">
        <v>20</v>
      </c>
      <c r="F1027" s="30" t="s">
        <v>2114</v>
      </c>
      <c r="G1027" s="30" t="s">
        <v>21</v>
      </c>
      <c r="H1027" s="30" t="s">
        <v>130</v>
      </c>
      <c r="I1027" s="31" t="s">
        <v>29</v>
      </c>
    </row>
    <row r="1028" spans="2:9" s="6" customFormat="1" ht="11.25" customHeight="1" x14ac:dyDescent="0.55000000000000004">
      <c r="B1028" s="30" t="s">
        <v>2124</v>
      </c>
      <c r="C1028" s="30" t="s">
        <v>2125</v>
      </c>
      <c r="D1028" s="32">
        <v>62189</v>
      </c>
      <c r="E1028" s="30" t="s">
        <v>15</v>
      </c>
      <c r="F1028" s="30" t="s">
        <v>2114</v>
      </c>
      <c r="G1028" s="30"/>
      <c r="H1028" s="30" t="s">
        <v>500</v>
      </c>
      <c r="I1028" s="31" t="s">
        <v>29</v>
      </c>
    </row>
    <row r="1029" spans="2:9" s="6" customFormat="1" ht="11.25" customHeight="1" x14ac:dyDescent="0.55000000000000004">
      <c r="B1029" s="30" t="s">
        <v>2126</v>
      </c>
      <c r="C1029" s="30" t="s">
        <v>2127</v>
      </c>
      <c r="D1029" s="32">
        <v>73288</v>
      </c>
      <c r="E1029" s="30" t="s">
        <v>20</v>
      </c>
      <c r="F1029" s="30"/>
      <c r="G1029" s="30"/>
      <c r="H1029" s="30" t="s">
        <v>146</v>
      </c>
      <c r="I1029" s="31" t="s">
        <v>29</v>
      </c>
    </row>
    <row r="1030" spans="2:9" s="6" customFormat="1" ht="11.25" customHeight="1" x14ac:dyDescent="0.55000000000000004">
      <c r="B1030" s="30" t="s">
        <v>2128</v>
      </c>
      <c r="C1030" s="30" t="s">
        <v>2129</v>
      </c>
      <c r="D1030" s="32">
        <v>73288</v>
      </c>
      <c r="E1030" s="30" t="s">
        <v>20</v>
      </c>
      <c r="F1030" s="30"/>
      <c r="G1030" s="30"/>
      <c r="H1030" s="30" t="s">
        <v>146</v>
      </c>
      <c r="I1030" s="31" t="s">
        <v>29</v>
      </c>
    </row>
    <row r="1031" spans="2:9" s="6" customFormat="1" ht="11.25" customHeight="1" x14ac:dyDescent="0.55000000000000004">
      <c r="B1031" s="30" t="s">
        <v>2130</v>
      </c>
      <c r="C1031" s="30" t="s">
        <v>2131</v>
      </c>
      <c r="D1031" s="32">
        <v>60219</v>
      </c>
      <c r="E1031" s="30" t="s">
        <v>20</v>
      </c>
      <c r="F1031" s="30" t="s">
        <v>2114</v>
      </c>
      <c r="G1031" s="30" t="s">
        <v>39</v>
      </c>
      <c r="H1031" s="30" t="s">
        <v>278</v>
      </c>
      <c r="I1031" s="31">
        <v>182601.30499999999</v>
      </c>
    </row>
    <row r="1032" spans="2:9" s="6" customFormat="1" ht="11.25" customHeight="1" x14ac:dyDescent="0.55000000000000004">
      <c r="B1032" s="30" t="s">
        <v>2132</v>
      </c>
      <c r="C1032" s="30" t="s">
        <v>2133</v>
      </c>
      <c r="D1032" s="32">
        <v>91693</v>
      </c>
      <c r="E1032" s="30" t="s">
        <v>20</v>
      </c>
      <c r="F1032" s="30" t="s">
        <v>525</v>
      </c>
      <c r="G1032" s="30" t="s">
        <v>35</v>
      </c>
      <c r="H1032" s="30" t="s">
        <v>113</v>
      </c>
      <c r="I1032" s="31">
        <v>167905.47500000001</v>
      </c>
    </row>
    <row r="1033" spans="2:9" s="6" customFormat="1" ht="11.25" customHeight="1" x14ac:dyDescent="0.55000000000000004">
      <c r="B1033" s="30" t="s">
        <v>525</v>
      </c>
      <c r="C1033" s="30" t="s">
        <v>2134</v>
      </c>
      <c r="D1033" s="32" t="s">
        <v>29</v>
      </c>
      <c r="E1033" s="30" t="s">
        <v>20</v>
      </c>
      <c r="F1033" s="30" t="s">
        <v>525</v>
      </c>
      <c r="G1033" s="30" t="s">
        <v>35</v>
      </c>
      <c r="H1033" s="30" t="s">
        <v>113</v>
      </c>
      <c r="I1033" s="31">
        <v>1030982.5580000001</v>
      </c>
    </row>
    <row r="1034" spans="2:9" s="6" customFormat="1" ht="11.25" customHeight="1" x14ac:dyDescent="0.55000000000000004">
      <c r="B1034" s="30" t="s">
        <v>2135</v>
      </c>
      <c r="C1034" s="30" t="s">
        <v>2136</v>
      </c>
      <c r="D1034" s="32">
        <v>81450</v>
      </c>
      <c r="E1034" s="30" t="s">
        <v>15</v>
      </c>
      <c r="F1034" s="30" t="s">
        <v>149</v>
      </c>
      <c r="G1034" s="30" t="s">
        <v>16</v>
      </c>
      <c r="H1034" s="30" t="s">
        <v>30</v>
      </c>
      <c r="I1034" s="31" t="s">
        <v>29</v>
      </c>
    </row>
    <row r="1035" spans="2:9" s="6" customFormat="1" ht="11.25" customHeight="1" x14ac:dyDescent="0.55000000000000004">
      <c r="B1035" s="30" t="s">
        <v>2137</v>
      </c>
      <c r="C1035" s="30" t="s">
        <v>2138</v>
      </c>
      <c r="D1035" s="32">
        <v>97888</v>
      </c>
      <c r="E1035" s="30" t="s">
        <v>15</v>
      </c>
      <c r="F1035" s="30"/>
      <c r="G1035" s="30" t="s">
        <v>80</v>
      </c>
      <c r="H1035" s="30" t="s">
        <v>113</v>
      </c>
      <c r="I1035" s="31" t="s">
        <v>29</v>
      </c>
    </row>
    <row r="1036" spans="2:9" s="6" customFormat="1" ht="11.25" customHeight="1" x14ac:dyDescent="0.55000000000000004">
      <c r="B1036" s="30" t="s">
        <v>2139</v>
      </c>
      <c r="C1036" s="30" t="s">
        <v>2140</v>
      </c>
      <c r="D1036" s="32">
        <v>97764</v>
      </c>
      <c r="E1036" s="30" t="s">
        <v>20</v>
      </c>
      <c r="F1036" s="30" t="s">
        <v>786</v>
      </c>
      <c r="G1036" s="30" t="s">
        <v>35</v>
      </c>
      <c r="H1036" s="30" t="s">
        <v>96</v>
      </c>
      <c r="I1036" s="31">
        <v>23381.351999999999</v>
      </c>
    </row>
    <row r="1037" spans="2:9" s="6" customFormat="1" ht="11.25" customHeight="1" x14ac:dyDescent="0.55000000000000004">
      <c r="B1037" s="30" t="s">
        <v>2141</v>
      </c>
      <c r="C1037" s="30" t="s">
        <v>2142</v>
      </c>
      <c r="D1037" s="32">
        <v>71692</v>
      </c>
      <c r="E1037" s="30" t="s">
        <v>15</v>
      </c>
      <c r="F1037" s="30" t="s">
        <v>273</v>
      </c>
      <c r="G1037" s="30"/>
      <c r="H1037" s="30" t="s">
        <v>86</v>
      </c>
      <c r="I1037" s="31" t="s">
        <v>29</v>
      </c>
    </row>
    <row r="1038" spans="2:9" s="6" customFormat="1" ht="11.25" customHeight="1" x14ac:dyDescent="0.55000000000000004">
      <c r="B1038" s="30" t="s">
        <v>2143</v>
      </c>
      <c r="C1038" s="30" t="s">
        <v>2144</v>
      </c>
      <c r="D1038" s="32">
        <v>71692</v>
      </c>
      <c r="E1038" s="30" t="s">
        <v>15</v>
      </c>
      <c r="F1038" s="30"/>
      <c r="G1038" s="30"/>
      <c r="H1038" s="30" t="s">
        <v>86</v>
      </c>
      <c r="I1038" s="31" t="s">
        <v>29</v>
      </c>
    </row>
    <row r="1039" spans="2:9" s="6" customFormat="1" ht="11.25" customHeight="1" x14ac:dyDescent="0.55000000000000004">
      <c r="B1039" s="30" t="s">
        <v>2145</v>
      </c>
      <c r="C1039" s="30" t="s">
        <v>2146</v>
      </c>
      <c r="D1039" s="32">
        <v>60225</v>
      </c>
      <c r="E1039" s="30" t="s">
        <v>15</v>
      </c>
      <c r="F1039" s="30"/>
      <c r="G1039" s="30"/>
      <c r="H1039" s="30" t="s">
        <v>22</v>
      </c>
      <c r="I1039" s="31" t="s">
        <v>29</v>
      </c>
    </row>
    <row r="1040" spans="2:9" s="6" customFormat="1" ht="11.25" customHeight="1" x14ac:dyDescent="0.55000000000000004">
      <c r="B1040" s="30" t="s">
        <v>2147</v>
      </c>
      <c r="C1040" s="30" t="s">
        <v>2148</v>
      </c>
      <c r="D1040" s="32">
        <v>60055</v>
      </c>
      <c r="E1040" s="30" t="s">
        <v>15</v>
      </c>
      <c r="F1040" s="30"/>
      <c r="G1040" s="30"/>
      <c r="H1040" s="30" t="s">
        <v>150</v>
      </c>
      <c r="I1040" s="31" t="s">
        <v>29</v>
      </c>
    </row>
    <row r="1041" spans="2:9" s="6" customFormat="1" ht="11.25" customHeight="1" x14ac:dyDescent="0.55000000000000004">
      <c r="B1041" s="30" t="s">
        <v>2149</v>
      </c>
      <c r="C1041" s="30" t="s">
        <v>2150</v>
      </c>
      <c r="D1041" s="32">
        <v>97101</v>
      </c>
      <c r="E1041" s="30" t="s">
        <v>15</v>
      </c>
      <c r="F1041" s="30" t="s">
        <v>1124</v>
      </c>
      <c r="G1041" s="30"/>
      <c r="H1041" s="30" t="s">
        <v>96</v>
      </c>
      <c r="I1041" s="31" t="s">
        <v>29</v>
      </c>
    </row>
    <row r="1042" spans="2:9" s="6" customFormat="1" ht="11.25" customHeight="1" x14ac:dyDescent="0.55000000000000004">
      <c r="B1042" s="30" t="s">
        <v>2151</v>
      </c>
      <c r="C1042" s="30" t="s">
        <v>2152</v>
      </c>
      <c r="D1042" s="32">
        <v>64580</v>
      </c>
      <c r="E1042" s="30" t="s">
        <v>20</v>
      </c>
      <c r="F1042" s="30"/>
      <c r="G1042" s="30" t="s">
        <v>129</v>
      </c>
      <c r="H1042" s="30" t="s">
        <v>22</v>
      </c>
      <c r="I1042" s="31">
        <v>1530661.4469999999</v>
      </c>
    </row>
    <row r="1043" spans="2:9" s="6" customFormat="1" ht="11.25" customHeight="1" x14ac:dyDescent="0.55000000000000004">
      <c r="B1043" s="30" t="s">
        <v>2153</v>
      </c>
      <c r="C1043" s="30" t="s">
        <v>2154</v>
      </c>
      <c r="D1043" s="32">
        <v>64580</v>
      </c>
      <c r="E1043" s="30" t="s">
        <v>20</v>
      </c>
      <c r="F1043" s="30"/>
      <c r="G1043" s="30"/>
      <c r="H1043" s="30" t="s">
        <v>22</v>
      </c>
      <c r="I1043" s="31" t="s">
        <v>29</v>
      </c>
    </row>
    <row r="1044" spans="2:9" s="6" customFormat="1" ht="11.25" customHeight="1" x14ac:dyDescent="0.55000000000000004">
      <c r="B1044" s="30" t="s">
        <v>2155</v>
      </c>
      <c r="C1044" s="30" t="s">
        <v>2156</v>
      </c>
      <c r="D1044" s="32">
        <v>64580</v>
      </c>
      <c r="E1044" s="30" t="s">
        <v>20</v>
      </c>
      <c r="F1044" s="30"/>
      <c r="G1044" s="30"/>
      <c r="H1044" s="30" t="s">
        <v>22</v>
      </c>
      <c r="I1044" s="31" t="s">
        <v>29</v>
      </c>
    </row>
    <row r="1045" spans="2:9" s="6" customFormat="1" ht="11.25" customHeight="1" x14ac:dyDescent="0.55000000000000004">
      <c r="B1045" s="30" t="s">
        <v>2157</v>
      </c>
      <c r="C1045" s="30" t="s">
        <v>2158</v>
      </c>
      <c r="D1045" s="32">
        <v>76104</v>
      </c>
      <c r="E1045" s="30" t="s">
        <v>15</v>
      </c>
      <c r="F1045" s="30"/>
      <c r="G1045" s="30"/>
      <c r="H1045" s="30" t="s">
        <v>48</v>
      </c>
      <c r="I1045" s="31" t="s">
        <v>29</v>
      </c>
    </row>
    <row r="1046" spans="2:9" s="6" customFormat="1" ht="11.25" customHeight="1" x14ac:dyDescent="0.55000000000000004">
      <c r="B1046" s="30" t="s">
        <v>2159</v>
      </c>
      <c r="C1046" s="30" t="s">
        <v>2160</v>
      </c>
      <c r="D1046" s="32">
        <v>82716</v>
      </c>
      <c r="E1046" s="30" t="s">
        <v>15</v>
      </c>
      <c r="F1046" s="30"/>
      <c r="G1046" s="30"/>
      <c r="H1046" s="30" t="s">
        <v>735</v>
      </c>
      <c r="I1046" s="31" t="s">
        <v>29</v>
      </c>
    </row>
    <row r="1047" spans="2:9" s="6" customFormat="1" ht="11.25" customHeight="1" x14ac:dyDescent="0.55000000000000004">
      <c r="B1047" s="30" t="s">
        <v>2161</v>
      </c>
      <c r="C1047" s="30" t="s">
        <v>2162</v>
      </c>
      <c r="D1047" s="32">
        <v>16348</v>
      </c>
      <c r="E1047" s="30" t="s">
        <v>20</v>
      </c>
      <c r="F1047" s="30"/>
      <c r="G1047" s="30" t="s">
        <v>16</v>
      </c>
      <c r="H1047" s="30" t="s">
        <v>113</v>
      </c>
      <c r="I1047" s="31" t="s">
        <v>29</v>
      </c>
    </row>
    <row r="1048" spans="2:9" s="6" customFormat="1" ht="11.25" customHeight="1" x14ac:dyDescent="0.55000000000000004">
      <c r="B1048" s="30" t="s">
        <v>2163</v>
      </c>
      <c r="C1048" s="30" t="s">
        <v>2164</v>
      </c>
      <c r="D1048" s="32">
        <v>84050</v>
      </c>
      <c r="E1048" s="30" t="s">
        <v>15</v>
      </c>
      <c r="F1048" s="30"/>
      <c r="G1048" s="30"/>
      <c r="H1048" s="30" t="s">
        <v>262</v>
      </c>
      <c r="I1048" s="31" t="s">
        <v>29</v>
      </c>
    </row>
    <row r="1049" spans="2:9" s="6" customFormat="1" ht="11.25" customHeight="1" x14ac:dyDescent="0.55000000000000004">
      <c r="B1049" s="30" t="s">
        <v>2165</v>
      </c>
      <c r="C1049" s="30" t="s">
        <v>2166</v>
      </c>
      <c r="D1049" s="32">
        <v>64637</v>
      </c>
      <c r="E1049" s="30" t="s">
        <v>15</v>
      </c>
      <c r="F1049" s="30" t="s">
        <v>116</v>
      </c>
      <c r="G1049" s="30"/>
      <c r="H1049" s="30" t="s">
        <v>92</v>
      </c>
      <c r="I1049" s="31" t="s">
        <v>29</v>
      </c>
    </row>
    <row r="1050" spans="2:9" s="6" customFormat="1" ht="11.25" customHeight="1" x14ac:dyDescent="0.55000000000000004">
      <c r="B1050" s="30" t="s">
        <v>2167</v>
      </c>
      <c r="C1050" s="30" t="s">
        <v>2168</v>
      </c>
      <c r="D1050" s="32">
        <v>60254</v>
      </c>
      <c r="E1050" s="30" t="s">
        <v>20</v>
      </c>
      <c r="F1050" s="30"/>
      <c r="G1050" s="30" t="s">
        <v>16</v>
      </c>
      <c r="H1050" s="30" t="s">
        <v>75</v>
      </c>
      <c r="I1050" s="31">
        <v>1710.7809999999999</v>
      </c>
    </row>
    <row r="1051" spans="2:9" s="6" customFormat="1" ht="11.25" customHeight="1" x14ac:dyDescent="0.55000000000000004">
      <c r="B1051" s="30" t="s">
        <v>2169</v>
      </c>
      <c r="C1051" s="30" t="s">
        <v>2170</v>
      </c>
      <c r="D1051" s="32">
        <v>64602</v>
      </c>
      <c r="E1051" s="30" t="s">
        <v>20</v>
      </c>
      <c r="F1051" s="30" t="s">
        <v>2171</v>
      </c>
      <c r="G1051" s="30" t="s">
        <v>16</v>
      </c>
      <c r="H1051" s="30" t="s">
        <v>582</v>
      </c>
      <c r="I1051" s="31">
        <v>3529019.747</v>
      </c>
    </row>
    <row r="1052" spans="2:9" s="6" customFormat="1" ht="11.25" customHeight="1" x14ac:dyDescent="0.55000000000000004">
      <c r="B1052" s="30" t="s">
        <v>2172</v>
      </c>
      <c r="C1052" s="30" t="s">
        <v>2173</v>
      </c>
      <c r="D1052" s="32">
        <v>64602</v>
      </c>
      <c r="E1052" s="30" t="s">
        <v>20</v>
      </c>
      <c r="F1052" s="30"/>
      <c r="G1052" s="30"/>
      <c r="H1052" s="30" t="s">
        <v>582</v>
      </c>
      <c r="I1052" s="31" t="s">
        <v>29</v>
      </c>
    </row>
    <row r="1053" spans="2:9" s="6" customFormat="1" ht="11.25" customHeight="1" x14ac:dyDescent="0.55000000000000004">
      <c r="B1053" s="30" t="s">
        <v>2174</v>
      </c>
      <c r="C1053" s="30" t="s">
        <v>2175</v>
      </c>
      <c r="D1053" s="32">
        <v>64602</v>
      </c>
      <c r="E1053" s="30" t="s">
        <v>20</v>
      </c>
      <c r="F1053" s="30"/>
      <c r="G1053" s="30"/>
      <c r="H1053" s="30" t="s">
        <v>582</v>
      </c>
      <c r="I1053" s="31" t="s">
        <v>29</v>
      </c>
    </row>
    <row r="1054" spans="2:9" s="6" customFormat="1" ht="11.25" customHeight="1" x14ac:dyDescent="0.55000000000000004">
      <c r="B1054" s="30" t="s">
        <v>2176</v>
      </c>
      <c r="C1054" s="30" t="s">
        <v>2177</v>
      </c>
      <c r="D1054" s="32">
        <v>89621</v>
      </c>
      <c r="E1054" s="30" t="s">
        <v>15</v>
      </c>
      <c r="F1054" s="30"/>
      <c r="G1054" s="30"/>
      <c r="H1054" s="30"/>
      <c r="I1054" s="31" t="s">
        <v>29</v>
      </c>
    </row>
    <row r="1055" spans="2:9" s="6" customFormat="1" ht="11.25" customHeight="1" x14ac:dyDescent="0.55000000000000004">
      <c r="B1055" s="30" t="s">
        <v>2178</v>
      </c>
      <c r="C1055" s="30" t="s">
        <v>2179</v>
      </c>
      <c r="D1055" s="32">
        <v>16354</v>
      </c>
      <c r="E1055" s="30" t="s">
        <v>20</v>
      </c>
      <c r="F1055" s="30"/>
      <c r="G1055" s="30" t="s">
        <v>155</v>
      </c>
      <c r="H1055" s="30" t="s">
        <v>262</v>
      </c>
      <c r="I1055" s="31">
        <v>173103.54500000001</v>
      </c>
    </row>
    <row r="1056" spans="2:9" s="6" customFormat="1" ht="11.25" customHeight="1" x14ac:dyDescent="0.55000000000000004">
      <c r="B1056" s="30" t="s">
        <v>2180</v>
      </c>
      <c r="C1056" s="30" t="s">
        <v>2181</v>
      </c>
      <c r="D1056" s="32" t="s">
        <v>29</v>
      </c>
      <c r="E1056" s="30" t="s">
        <v>20</v>
      </c>
      <c r="F1056" s="30" t="s">
        <v>2180</v>
      </c>
      <c r="G1056" s="30" t="s">
        <v>35</v>
      </c>
      <c r="H1056" s="30" t="s">
        <v>150</v>
      </c>
      <c r="I1056" s="31">
        <v>2499967.4950000001</v>
      </c>
    </row>
    <row r="1057" spans="2:9" s="6" customFormat="1" ht="11.25" customHeight="1" x14ac:dyDescent="0.55000000000000004">
      <c r="B1057" s="30" t="s">
        <v>2182</v>
      </c>
      <c r="C1057" s="30" t="s">
        <v>2183</v>
      </c>
      <c r="D1057" s="32">
        <v>64645</v>
      </c>
      <c r="E1057" s="30" t="s">
        <v>15</v>
      </c>
      <c r="F1057" s="30" t="s">
        <v>273</v>
      </c>
      <c r="G1057" s="30" t="s">
        <v>35</v>
      </c>
      <c r="H1057" s="30" t="s">
        <v>63</v>
      </c>
      <c r="I1057" s="31" t="s">
        <v>29</v>
      </c>
    </row>
    <row r="1058" spans="2:9" s="6" customFormat="1" ht="11.25" customHeight="1" x14ac:dyDescent="0.55000000000000004">
      <c r="B1058" s="30" t="s">
        <v>2184</v>
      </c>
      <c r="C1058" s="30" t="s">
        <v>2185</v>
      </c>
      <c r="D1058" s="32">
        <v>64645</v>
      </c>
      <c r="E1058" s="30" t="s">
        <v>15</v>
      </c>
      <c r="F1058" s="30"/>
      <c r="G1058" s="30"/>
      <c r="H1058" s="30" t="s">
        <v>63</v>
      </c>
      <c r="I1058" s="31" t="s">
        <v>29</v>
      </c>
    </row>
    <row r="1059" spans="2:9" s="6" customFormat="1" ht="11.25" customHeight="1" x14ac:dyDescent="0.55000000000000004">
      <c r="B1059" s="30" t="s">
        <v>2186</v>
      </c>
      <c r="C1059" s="30" t="s">
        <v>2187</v>
      </c>
      <c r="D1059" s="32">
        <v>81779</v>
      </c>
      <c r="E1059" s="30" t="s">
        <v>20</v>
      </c>
      <c r="F1059" s="30" t="s">
        <v>2094</v>
      </c>
      <c r="G1059" s="30" t="s">
        <v>39</v>
      </c>
      <c r="H1059" s="30" t="s">
        <v>45</v>
      </c>
      <c r="I1059" s="31">
        <v>21810.309000000001</v>
      </c>
    </row>
    <row r="1060" spans="2:9" s="6" customFormat="1" ht="11.25" customHeight="1" x14ac:dyDescent="0.55000000000000004">
      <c r="B1060" s="30" t="s">
        <v>2188</v>
      </c>
      <c r="C1060" s="30" t="s">
        <v>2189</v>
      </c>
      <c r="D1060" s="32">
        <v>14406</v>
      </c>
      <c r="E1060" s="30" t="s">
        <v>20</v>
      </c>
      <c r="F1060" s="30" t="s">
        <v>525</v>
      </c>
      <c r="G1060" s="30" t="s">
        <v>35</v>
      </c>
      <c r="H1060" s="30" t="s">
        <v>113</v>
      </c>
      <c r="I1060" s="31">
        <v>274143.82799999998</v>
      </c>
    </row>
    <row r="1061" spans="2:9" s="6" customFormat="1" ht="11.25" customHeight="1" x14ac:dyDescent="0.55000000000000004">
      <c r="B1061" s="30" t="s">
        <v>2190</v>
      </c>
      <c r="C1061" s="30" t="s">
        <v>2191</v>
      </c>
      <c r="D1061" s="32">
        <v>84514</v>
      </c>
      <c r="E1061" s="30" t="s">
        <v>15</v>
      </c>
      <c r="F1061" s="30" t="s">
        <v>525</v>
      </c>
      <c r="G1061" s="30" t="s">
        <v>155</v>
      </c>
      <c r="H1061" s="30" t="s">
        <v>105</v>
      </c>
      <c r="I1061" s="31" t="s">
        <v>29</v>
      </c>
    </row>
    <row r="1062" spans="2:9" s="6" customFormat="1" ht="11.25" customHeight="1" x14ac:dyDescent="0.55000000000000004">
      <c r="B1062" s="30" t="s">
        <v>2192</v>
      </c>
      <c r="C1062" s="30" t="s">
        <v>2193</v>
      </c>
      <c r="D1062" s="32">
        <v>64653</v>
      </c>
      <c r="E1062" s="30" t="s">
        <v>15</v>
      </c>
      <c r="F1062" s="30"/>
      <c r="G1062" s="30"/>
      <c r="H1062" s="30" t="s">
        <v>22</v>
      </c>
      <c r="I1062" s="31" t="s">
        <v>29</v>
      </c>
    </row>
    <row r="1063" spans="2:9" s="6" customFormat="1" ht="11.25" customHeight="1" x14ac:dyDescent="0.55000000000000004">
      <c r="B1063" s="30" t="s">
        <v>2194</v>
      </c>
      <c r="C1063" s="30" t="s">
        <v>2195</v>
      </c>
      <c r="D1063" s="32">
        <v>76953</v>
      </c>
      <c r="E1063" s="30" t="s">
        <v>15</v>
      </c>
      <c r="F1063" s="30" t="s">
        <v>1124</v>
      </c>
      <c r="G1063" s="30"/>
      <c r="H1063" s="30" t="s">
        <v>108</v>
      </c>
      <c r="I1063" s="31" t="s">
        <v>29</v>
      </c>
    </row>
    <row r="1064" spans="2:9" s="6" customFormat="1" ht="11.25" customHeight="1" x14ac:dyDescent="0.55000000000000004">
      <c r="B1064" s="30" t="s">
        <v>2196</v>
      </c>
      <c r="C1064" s="30" t="s">
        <v>2197</v>
      </c>
      <c r="D1064" s="32">
        <v>76953</v>
      </c>
      <c r="E1064" s="30" t="s">
        <v>15</v>
      </c>
      <c r="F1064" s="30"/>
      <c r="G1064" s="30"/>
      <c r="H1064" s="30" t="s">
        <v>108</v>
      </c>
      <c r="I1064" s="31" t="s">
        <v>29</v>
      </c>
    </row>
    <row r="1065" spans="2:9" s="6" customFormat="1" ht="11.25" customHeight="1" x14ac:dyDescent="0.55000000000000004">
      <c r="B1065" s="30" t="s">
        <v>2198</v>
      </c>
      <c r="C1065" s="30" t="s">
        <v>2199</v>
      </c>
      <c r="D1065" s="32">
        <v>80349</v>
      </c>
      <c r="E1065" s="30" t="s">
        <v>15</v>
      </c>
      <c r="F1065" s="30" t="s">
        <v>2200</v>
      </c>
      <c r="G1065" s="30"/>
      <c r="H1065" s="30"/>
      <c r="I1065" s="31" t="s">
        <v>29</v>
      </c>
    </row>
    <row r="1066" spans="2:9" s="6" customFormat="1" ht="11.25" customHeight="1" x14ac:dyDescent="0.55000000000000004">
      <c r="B1066" s="30" t="s">
        <v>2201</v>
      </c>
      <c r="C1066" s="30" t="s">
        <v>2202</v>
      </c>
      <c r="D1066" s="32">
        <v>81868</v>
      </c>
      <c r="E1066" s="30" t="s">
        <v>15</v>
      </c>
      <c r="F1066" s="30"/>
      <c r="G1066" s="30"/>
      <c r="H1066" s="30" t="s">
        <v>113</v>
      </c>
      <c r="I1066" s="31" t="s">
        <v>29</v>
      </c>
    </row>
    <row r="1067" spans="2:9" s="6" customFormat="1" ht="11.25" customHeight="1" x14ac:dyDescent="0.55000000000000004">
      <c r="B1067" s="30" t="s">
        <v>2203</v>
      </c>
      <c r="C1067" s="30" t="s">
        <v>2204</v>
      </c>
      <c r="D1067" s="32">
        <v>84280</v>
      </c>
      <c r="E1067" s="30" t="s">
        <v>15</v>
      </c>
      <c r="F1067" s="30"/>
      <c r="G1067" s="30"/>
      <c r="H1067" s="30" t="s">
        <v>92</v>
      </c>
      <c r="I1067" s="31" t="s">
        <v>29</v>
      </c>
    </row>
    <row r="1068" spans="2:9" s="6" customFormat="1" ht="11.25" customHeight="1" x14ac:dyDescent="0.55000000000000004">
      <c r="B1068" s="30" t="s">
        <v>2205</v>
      </c>
      <c r="C1068" s="30" t="s">
        <v>2206</v>
      </c>
      <c r="D1068" s="32">
        <v>85707</v>
      </c>
      <c r="E1068" s="30" t="s">
        <v>15</v>
      </c>
      <c r="F1068" s="30"/>
      <c r="G1068" s="30"/>
      <c r="H1068" s="30" t="s">
        <v>22</v>
      </c>
      <c r="I1068" s="31" t="s">
        <v>29</v>
      </c>
    </row>
    <row r="1069" spans="2:9" s="6" customFormat="1" ht="11.25" customHeight="1" x14ac:dyDescent="0.55000000000000004">
      <c r="B1069" s="30" t="s">
        <v>2207</v>
      </c>
      <c r="C1069" s="30" t="s">
        <v>2208</v>
      </c>
      <c r="D1069" s="32">
        <v>11829</v>
      </c>
      <c r="E1069" s="30" t="s">
        <v>15</v>
      </c>
      <c r="F1069" s="30" t="s">
        <v>1000</v>
      </c>
      <c r="G1069" s="30" t="s">
        <v>35</v>
      </c>
      <c r="H1069" s="30" t="s">
        <v>113</v>
      </c>
      <c r="I1069" s="31" t="s">
        <v>29</v>
      </c>
    </row>
    <row r="1070" spans="2:9" s="6" customFormat="1" ht="11.25" customHeight="1" x14ac:dyDescent="0.55000000000000004">
      <c r="B1070" s="30" t="s">
        <v>2209</v>
      </c>
      <c r="C1070" s="30" t="s">
        <v>2210</v>
      </c>
      <c r="D1070" s="32">
        <v>74780</v>
      </c>
      <c r="E1070" s="30" t="s">
        <v>20</v>
      </c>
      <c r="F1070" s="30" t="s">
        <v>1127</v>
      </c>
      <c r="G1070" s="30" t="s">
        <v>155</v>
      </c>
      <c r="H1070" s="30" t="s">
        <v>313</v>
      </c>
      <c r="I1070" s="31">
        <v>9914359.6190000009</v>
      </c>
    </row>
    <row r="1071" spans="2:9" s="6" customFormat="1" ht="11.25" customHeight="1" x14ac:dyDescent="0.55000000000000004">
      <c r="B1071" s="30" t="s">
        <v>2211</v>
      </c>
      <c r="C1071" s="30" t="s">
        <v>2212</v>
      </c>
      <c r="D1071" s="32">
        <v>74780</v>
      </c>
      <c r="E1071" s="30" t="s">
        <v>20</v>
      </c>
      <c r="F1071" s="30"/>
      <c r="G1071" s="30"/>
      <c r="H1071" s="30" t="s">
        <v>313</v>
      </c>
      <c r="I1071" s="31" t="s">
        <v>29</v>
      </c>
    </row>
    <row r="1072" spans="2:9" s="6" customFormat="1" ht="11.25" customHeight="1" x14ac:dyDescent="0.55000000000000004">
      <c r="B1072" s="30" t="s">
        <v>2213</v>
      </c>
      <c r="C1072" s="30" t="s">
        <v>2214</v>
      </c>
      <c r="D1072" s="32">
        <v>74780</v>
      </c>
      <c r="E1072" s="30" t="s">
        <v>20</v>
      </c>
      <c r="F1072" s="30"/>
      <c r="G1072" s="30"/>
      <c r="H1072" s="30" t="s">
        <v>313</v>
      </c>
      <c r="I1072" s="31" t="s">
        <v>29</v>
      </c>
    </row>
    <row r="1073" spans="2:9" s="6" customFormat="1" ht="11.25" customHeight="1" x14ac:dyDescent="0.55000000000000004">
      <c r="B1073" s="30" t="s">
        <v>2215</v>
      </c>
      <c r="C1073" s="30" t="s">
        <v>2216</v>
      </c>
      <c r="D1073" s="32">
        <v>63584</v>
      </c>
      <c r="E1073" s="30" t="s">
        <v>15</v>
      </c>
      <c r="F1073" s="30"/>
      <c r="G1073" s="30"/>
      <c r="H1073" s="30" t="s">
        <v>22</v>
      </c>
      <c r="I1073" s="31" t="s">
        <v>29</v>
      </c>
    </row>
    <row r="1074" spans="2:9" s="6" customFormat="1" ht="11.25" customHeight="1" x14ac:dyDescent="0.55000000000000004">
      <c r="B1074" s="30" t="s">
        <v>2217</v>
      </c>
      <c r="C1074" s="30" t="s">
        <v>2218</v>
      </c>
      <c r="D1074" s="32">
        <v>60071</v>
      </c>
      <c r="E1074" s="30" t="s">
        <v>15</v>
      </c>
      <c r="F1074" s="30"/>
      <c r="G1074" s="30"/>
      <c r="H1074" s="30" t="s">
        <v>22</v>
      </c>
      <c r="I1074" s="31" t="s">
        <v>29</v>
      </c>
    </row>
    <row r="1075" spans="2:9" s="6" customFormat="1" ht="11.25" customHeight="1" x14ac:dyDescent="0.55000000000000004">
      <c r="B1075" s="30" t="s">
        <v>2219</v>
      </c>
      <c r="C1075" s="30" t="s">
        <v>2220</v>
      </c>
      <c r="D1075" s="32">
        <v>82244</v>
      </c>
      <c r="E1075" s="30" t="s">
        <v>20</v>
      </c>
      <c r="F1075" s="30"/>
      <c r="G1075" s="30" t="s">
        <v>35</v>
      </c>
      <c r="H1075" s="30" t="s">
        <v>113</v>
      </c>
      <c r="I1075" s="31" t="s">
        <v>29</v>
      </c>
    </row>
    <row r="1076" spans="2:9" s="6" customFormat="1" ht="11.25" customHeight="1" x14ac:dyDescent="0.55000000000000004">
      <c r="B1076" s="30" t="s">
        <v>2221</v>
      </c>
      <c r="C1076" s="30" t="s">
        <v>2222</v>
      </c>
      <c r="D1076" s="32">
        <v>64807</v>
      </c>
      <c r="E1076" s="30" t="s">
        <v>15</v>
      </c>
      <c r="F1076" s="30" t="s">
        <v>970</v>
      </c>
      <c r="G1076" s="30"/>
      <c r="H1076" s="30" t="s">
        <v>48</v>
      </c>
      <c r="I1076" s="31" t="s">
        <v>29</v>
      </c>
    </row>
    <row r="1077" spans="2:9" s="6" customFormat="1" ht="11.25" customHeight="1" x14ac:dyDescent="0.55000000000000004">
      <c r="B1077" s="30" t="s">
        <v>2223</v>
      </c>
      <c r="C1077" s="30" t="s">
        <v>2224</v>
      </c>
      <c r="D1077" s="32">
        <v>84220</v>
      </c>
      <c r="E1077" s="30" t="s">
        <v>15</v>
      </c>
      <c r="F1077" s="30"/>
      <c r="G1077" s="30" t="s">
        <v>16</v>
      </c>
      <c r="H1077" s="30" t="s">
        <v>22</v>
      </c>
      <c r="I1077" s="31" t="s">
        <v>29</v>
      </c>
    </row>
    <row r="1078" spans="2:9" s="6" customFormat="1" ht="11.25" customHeight="1" x14ac:dyDescent="0.55000000000000004">
      <c r="B1078" s="30" t="s">
        <v>2225</v>
      </c>
      <c r="C1078" s="30" t="s">
        <v>2226</v>
      </c>
      <c r="D1078" s="32">
        <v>64084</v>
      </c>
      <c r="E1078" s="30" t="s">
        <v>15</v>
      </c>
      <c r="F1078" s="30"/>
      <c r="G1078" s="30"/>
      <c r="H1078" s="30" t="s">
        <v>92</v>
      </c>
      <c r="I1078" s="31" t="s">
        <v>29</v>
      </c>
    </row>
    <row r="1079" spans="2:9" s="6" customFormat="1" ht="11.25" customHeight="1" x14ac:dyDescent="0.55000000000000004">
      <c r="B1079" s="30" t="s">
        <v>2227</v>
      </c>
      <c r="C1079" s="30" t="s">
        <v>2228</v>
      </c>
      <c r="D1079" s="32">
        <v>64831</v>
      </c>
      <c r="E1079" s="30" t="s">
        <v>20</v>
      </c>
      <c r="F1079" s="30" t="s">
        <v>188</v>
      </c>
      <c r="G1079" s="30" t="s">
        <v>155</v>
      </c>
      <c r="H1079" s="30" t="s">
        <v>124</v>
      </c>
      <c r="I1079" s="31">
        <v>34268.258000000002</v>
      </c>
    </row>
    <row r="1080" spans="2:9" s="6" customFormat="1" ht="11.25" customHeight="1" x14ac:dyDescent="0.55000000000000004">
      <c r="B1080" s="30" t="s">
        <v>2229</v>
      </c>
      <c r="C1080" s="30" t="s">
        <v>2230</v>
      </c>
      <c r="D1080" s="32">
        <v>64831</v>
      </c>
      <c r="E1080" s="30" t="s">
        <v>20</v>
      </c>
      <c r="F1080" s="30"/>
      <c r="G1080" s="30"/>
      <c r="H1080" s="30" t="s">
        <v>124</v>
      </c>
      <c r="I1080" s="31" t="s">
        <v>29</v>
      </c>
    </row>
    <row r="1081" spans="2:9" s="6" customFormat="1" ht="11.25" customHeight="1" x14ac:dyDescent="0.55000000000000004">
      <c r="B1081" s="30" t="s">
        <v>2231</v>
      </c>
      <c r="C1081" s="30" t="s">
        <v>2232</v>
      </c>
      <c r="D1081" s="32">
        <v>64831</v>
      </c>
      <c r="E1081" s="30" t="s">
        <v>20</v>
      </c>
      <c r="F1081" s="30"/>
      <c r="G1081" s="30"/>
      <c r="H1081" s="30" t="s">
        <v>124</v>
      </c>
      <c r="I1081" s="31" t="s">
        <v>29</v>
      </c>
    </row>
    <row r="1082" spans="2:9" s="6" customFormat="1" ht="11.25" customHeight="1" x14ac:dyDescent="0.55000000000000004">
      <c r="B1082" s="30" t="s">
        <v>2233</v>
      </c>
      <c r="C1082" s="30" t="s">
        <v>2234</v>
      </c>
      <c r="D1082" s="32">
        <v>85944</v>
      </c>
      <c r="E1082" s="30" t="s">
        <v>20</v>
      </c>
      <c r="F1082" s="30"/>
      <c r="G1082" s="30" t="s">
        <v>16</v>
      </c>
      <c r="H1082" s="30" t="s">
        <v>156</v>
      </c>
      <c r="I1082" s="31" t="s">
        <v>29</v>
      </c>
    </row>
    <row r="1083" spans="2:9" s="6" customFormat="1" ht="11.25" customHeight="1" x14ac:dyDescent="0.55000000000000004">
      <c r="B1083" s="30" t="s">
        <v>2235</v>
      </c>
      <c r="C1083" s="30" t="s">
        <v>2236</v>
      </c>
      <c r="D1083" s="32">
        <v>64904</v>
      </c>
      <c r="E1083" s="30" t="s">
        <v>20</v>
      </c>
      <c r="F1083" s="30"/>
      <c r="G1083" s="30" t="s">
        <v>155</v>
      </c>
      <c r="H1083" s="30" t="s">
        <v>278</v>
      </c>
      <c r="I1083" s="31">
        <v>833297.65</v>
      </c>
    </row>
    <row r="1084" spans="2:9" s="6" customFormat="1" ht="11.25" customHeight="1" x14ac:dyDescent="0.55000000000000004">
      <c r="B1084" s="30" t="s">
        <v>2237</v>
      </c>
      <c r="C1084" s="30" t="s">
        <v>2238</v>
      </c>
      <c r="D1084" s="32">
        <v>64939</v>
      </c>
      <c r="E1084" s="30" t="s">
        <v>15</v>
      </c>
      <c r="F1084" s="30" t="s">
        <v>273</v>
      </c>
      <c r="G1084" s="30" t="s">
        <v>155</v>
      </c>
      <c r="H1084" s="30" t="s">
        <v>655</v>
      </c>
      <c r="I1084" s="31" t="s">
        <v>29</v>
      </c>
    </row>
    <row r="1085" spans="2:9" s="6" customFormat="1" ht="11.25" customHeight="1" x14ac:dyDescent="0.55000000000000004">
      <c r="B1085" s="30" t="s">
        <v>2239</v>
      </c>
      <c r="C1085" s="30" t="s">
        <v>2240</v>
      </c>
      <c r="D1085" s="32">
        <v>65943</v>
      </c>
      <c r="E1085" s="30" t="s">
        <v>15</v>
      </c>
      <c r="F1085" s="30" t="s">
        <v>526</v>
      </c>
      <c r="G1085" s="30"/>
      <c r="H1085" s="30" t="s">
        <v>113</v>
      </c>
      <c r="I1085" s="31" t="s">
        <v>29</v>
      </c>
    </row>
    <row r="1086" spans="2:9" s="6" customFormat="1" ht="11.25" customHeight="1" x14ac:dyDescent="0.55000000000000004">
      <c r="B1086" s="30" t="s">
        <v>2241</v>
      </c>
      <c r="C1086" s="30" t="s">
        <v>2242</v>
      </c>
      <c r="D1086" s="32">
        <v>64734</v>
      </c>
      <c r="E1086" s="30" t="s">
        <v>15</v>
      </c>
      <c r="F1086" s="30" t="s">
        <v>526</v>
      </c>
      <c r="G1086" s="30"/>
      <c r="H1086" s="30" t="s">
        <v>113</v>
      </c>
      <c r="I1086" s="31" t="s">
        <v>29</v>
      </c>
    </row>
    <row r="1087" spans="2:9" s="6" customFormat="1" ht="11.25" customHeight="1" x14ac:dyDescent="0.55000000000000004">
      <c r="B1087" s="30" t="s">
        <v>2243</v>
      </c>
      <c r="C1087" s="30" t="s">
        <v>2244</v>
      </c>
      <c r="D1087" s="32">
        <v>86975</v>
      </c>
      <c r="E1087" s="30" t="s">
        <v>15</v>
      </c>
      <c r="F1087" s="30" t="s">
        <v>1054</v>
      </c>
      <c r="G1087" s="30"/>
      <c r="H1087" s="30" t="s">
        <v>460</v>
      </c>
      <c r="I1087" s="31" t="s">
        <v>29</v>
      </c>
    </row>
    <row r="1088" spans="2:9" s="6" customFormat="1" ht="11.25" customHeight="1" x14ac:dyDescent="0.55000000000000004">
      <c r="B1088" s="30" t="s">
        <v>2245</v>
      </c>
      <c r="C1088" s="30" t="s">
        <v>2246</v>
      </c>
      <c r="D1088" s="32">
        <v>86975</v>
      </c>
      <c r="E1088" s="30" t="s">
        <v>15</v>
      </c>
      <c r="F1088" s="30"/>
      <c r="G1088" s="30"/>
      <c r="H1088" s="30" t="s">
        <v>460</v>
      </c>
      <c r="I1088" s="31" t="s">
        <v>29</v>
      </c>
    </row>
    <row r="1089" spans="2:9" s="6" customFormat="1" ht="11.25" customHeight="1" x14ac:dyDescent="0.55000000000000004">
      <c r="B1089" s="30" t="s">
        <v>2247</v>
      </c>
      <c r="C1089" s="30" t="s">
        <v>2248</v>
      </c>
      <c r="D1089" s="32">
        <v>64971</v>
      </c>
      <c r="E1089" s="30" t="s">
        <v>15</v>
      </c>
      <c r="F1089" s="30"/>
      <c r="G1089" s="30"/>
      <c r="H1089" s="30" t="s">
        <v>655</v>
      </c>
      <c r="I1089" s="31" t="s">
        <v>29</v>
      </c>
    </row>
    <row r="1090" spans="2:9" s="6" customFormat="1" ht="11.25" customHeight="1" x14ac:dyDescent="0.55000000000000004">
      <c r="B1090" s="30" t="s">
        <v>2249</v>
      </c>
      <c r="C1090" s="30" t="s">
        <v>2250</v>
      </c>
      <c r="D1090" s="32">
        <v>15313</v>
      </c>
      <c r="E1090" s="30" t="s">
        <v>20</v>
      </c>
      <c r="F1090" s="30"/>
      <c r="G1090" s="30" t="s">
        <v>35</v>
      </c>
      <c r="H1090" s="30" t="s">
        <v>460</v>
      </c>
      <c r="I1090" s="31">
        <v>569434.84100000001</v>
      </c>
    </row>
    <row r="1091" spans="2:9" s="6" customFormat="1" ht="11.25" customHeight="1" x14ac:dyDescent="0.55000000000000004">
      <c r="B1091" s="30" t="s">
        <v>2251</v>
      </c>
      <c r="C1091" s="30" t="s">
        <v>2252</v>
      </c>
      <c r="D1091" s="32">
        <v>15313</v>
      </c>
      <c r="E1091" s="30" t="s">
        <v>20</v>
      </c>
      <c r="F1091" s="30"/>
      <c r="G1091" s="30"/>
      <c r="H1091" s="30" t="s">
        <v>460</v>
      </c>
      <c r="I1091" s="31" t="s">
        <v>29</v>
      </c>
    </row>
    <row r="1092" spans="2:9" s="6" customFormat="1" ht="11.25" customHeight="1" x14ac:dyDescent="0.55000000000000004">
      <c r="B1092" s="30" t="s">
        <v>2253</v>
      </c>
      <c r="C1092" s="30" t="s">
        <v>2254</v>
      </c>
      <c r="D1092" s="32">
        <v>15313</v>
      </c>
      <c r="E1092" s="30" t="s">
        <v>20</v>
      </c>
      <c r="F1092" s="30"/>
      <c r="G1092" s="30"/>
      <c r="H1092" s="30" t="s">
        <v>460</v>
      </c>
      <c r="I1092" s="31" t="s">
        <v>29</v>
      </c>
    </row>
    <row r="1093" spans="2:9" s="6" customFormat="1" ht="11.25" customHeight="1" x14ac:dyDescent="0.55000000000000004">
      <c r="B1093" s="30" t="s">
        <v>2255</v>
      </c>
      <c r="C1093" s="30" t="s">
        <v>2256</v>
      </c>
      <c r="D1093" s="32">
        <v>68403</v>
      </c>
      <c r="E1093" s="30" t="s">
        <v>15</v>
      </c>
      <c r="F1093" s="30"/>
      <c r="G1093" s="30"/>
      <c r="H1093" s="30" t="s">
        <v>75</v>
      </c>
      <c r="I1093" s="31" t="s">
        <v>29</v>
      </c>
    </row>
    <row r="1094" spans="2:9" s="6" customFormat="1" ht="11.25" customHeight="1" x14ac:dyDescent="0.55000000000000004">
      <c r="B1094" s="30" t="s">
        <v>2257</v>
      </c>
      <c r="C1094" s="30" t="s">
        <v>2258</v>
      </c>
      <c r="D1094" s="32">
        <v>63487</v>
      </c>
      <c r="E1094" s="30" t="s">
        <v>20</v>
      </c>
      <c r="F1094" s="30" t="s">
        <v>526</v>
      </c>
      <c r="G1094" s="30" t="s">
        <v>16</v>
      </c>
      <c r="H1094" s="30" t="s">
        <v>500</v>
      </c>
      <c r="I1094" s="31">
        <v>535837.22200000007</v>
      </c>
    </row>
    <row r="1095" spans="2:9" s="6" customFormat="1" ht="11.25" customHeight="1" x14ac:dyDescent="0.55000000000000004">
      <c r="B1095" s="30" t="s">
        <v>2259</v>
      </c>
      <c r="C1095" s="30" t="s">
        <v>2260</v>
      </c>
      <c r="D1095" s="32">
        <v>63487</v>
      </c>
      <c r="E1095" s="30" t="s">
        <v>20</v>
      </c>
      <c r="F1095" s="30"/>
      <c r="G1095" s="30"/>
      <c r="H1095" s="30" t="s">
        <v>500</v>
      </c>
      <c r="I1095" s="31" t="s">
        <v>29</v>
      </c>
    </row>
    <row r="1096" spans="2:9" s="6" customFormat="1" ht="11.25" customHeight="1" x14ac:dyDescent="0.55000000000000004">
      <c r="B1096" s="30" t="s">
        <v>2261</v>
      </c>
      <c r="C1096" s="30" t="s">
        <v>2262</v>
      </c>
      <c r="D1096" s="32">
        <v>63487</v>
      </c>
      <c r="E1096" s="30" t="s">
        <v>20</v>
      </c>
      <c r="F1096" s="30"/>
      <c r="G1096" s="30"/>
      <c r="H1096" s="30" t="s">
        <v>500</v>
      </c>
      <c r="I1096" s="31" t="s">
        <v>29</v>
      </c>
    </row>
    <row r="1097" spans="2:9" s="6" customFormat="1" ht="11.25" customHeight="1" x14ac:dyDescent="0.55000000000000004">
      <c r="B1097" s="30" t="s">
        <v>1508</v>
      </c>
      <c r="C1097" s="30" t="s">
        <v>2263</v>
      </c>
      <c r="D1097" s="32" t="s">
        <v>29</v>
      </c>
      <c r="E1097" s="30" t="s">
        <v>20</v>
      </c>
      <c r="F1097" s="30" t="s">
        <v>1508</v>
      </c>
      <c r="G1097" s="30" t="s">
        <v>265</v>
      </c>
      <c r="H1097" s="30" t="s">
        <v>63</v>
      </c>
      <c r="I1097" s="31">
        <v>9341092.665000001</v>
      </c>
    </row>
    <row r="1098" spans="2:9" s="6" customFormat="1" ht="11.25" customHeight="1" x14ac:dyDescent="0.55000000000000004">
      <c r="B1098" s="30" t="s">
        <v>2264</v>
      </c>
      <c r="C1098" s="30" t="s">
        <v>2265</v>
      </c>
      <c r="D1098" s="32">
        <v>12498</v>
      </c>
      <c r="E1098" s="30" t="s">
        <v>15</v>
      </c>
      <c r="F1098" s="30"/>
      <c r="G1098" s="30" t="s">
        <v>16</v>
      </c>
      <c r="H1098" s="30" t="s">
        <v>130</v>
      </c>
      <c r="I1098" s="31" t="s">
        <v>29</v>
      </c>
    </row>
    <row r="1099" spans="2:9" s="6" customFormat="1" ht="11.25" customHeight="1" x14ac:dyDescent="0.55000000000000004">
      <c r="B1099" s="30" t="s">
        <v>2266</v>
      </c>
      <c r="C1099" s="30" t="s">
        <v>2267</v>
      </c>
      <c r="D1099" s="32">
        <v>88331</v>
      </c>
      <c r="E1099" s="30" t="s">
        <v>15</v>
      </c>
      <c r="F1099" s="30"/>
      <c r="G1099" s="30"/>
      <c r="H1099" s="30" t="s">
        <v>66</v>
      </c>
      <c r="I1099" s="31" t="s">
        <v>29</v>
      </c>
    </row>
    <row r="1100" spans="2:9" s="6" customFormat="1" ht="11.25" customHeight="1" x14ac:dyDescent="0.55000000000000004">
      <c r="B1100" s="30" t="s">
        <v>182</v>
      </c>
      <c r="C1100" s="30" t="s">
        <v>2268</v>
      </c>
      <c r="D1100" s="32" t="s">
        <v>29</v>
      </c>
      <c r="E1100" s="30" t="s">
        <v>20</v>
      </c>
      <c r="F1100" s="30" t="s">
        <v>182</v>
      </c>
      <c r="G1100" s="30" t="s">
        <v>155</v>
      </c>
      <c r="H1100" s="30" t="s">
        <v>30</v>
      </c>
      <c r="I1100" s="31">
        <v>269516663.21399999</v>
      </c>
    </row>
    <row r="1101" spans="2:9" s="6" customFormat="1" ht="11.25" customHeight="1" x14ac:dyDescent="0.55000000000000004">
      <c r="B1101" s="30" t="s">
        <v>2269</v>
      </c>
      <c r="C1101" s="30" t="s">
        <v>2270</v>
      </c>
      <c r="D1101" s="32" t="s">
        <v>29</v>
      </c>
      <c r="E1101" s="30" t="s">
        <v>20</v>
      </c>
      <c r="F1101" s="30"/>
      <c r="G1101" s="30"/>
      <c r="H1101" s="30"/>
      <c r="I1101" s="31" t="s">
        <v>29</v>
      </c>
    </row>
    <row r="1102" spans="2:9" s="6" customFormat="1" ht="11.25" customHeight="1" x14ac:dyDescent="0.55000000000000004">
      <c r="B1102" s="30" t="s">
        <v>2271</v>
      </c>
      <c r="C1102" s="30" t="s">
        <v>2272</v>
      </c>
      <c r="D1102" s="32">
        <v>84115</v>
      </c>
      <c r="E1102" s="30" t="s">
        <v>20</v>
      </c>
      <c r="F1102" s="30"/>
      <c r="G1102" s="30" t="s">
        <v>265</v>
      </c>
      <c r="H1102" s="30" t="s">
        <v>266</v>
      </c>
      <c r="I1102" s="31">
        <v>13455.625</v>
      </c>
    </row>
    <row r="1103" spans="2:9" s="6" customFormat="1" ht="11.25" customHeight="1" x14ac:dyDescent="0.55000000000000004">
      <c r="B1103" s="30" t="s">
        <v>2273</v>
      </c>
      <c r="C1103" s="30" t="s">
        <v>2274</v>
      </c>
      <c r="D1103" s="32">
        <v>65056</v>
      </c>
      <c r="E1103" s="30" t="s">
        <v>20</v>
      </c>
      <c r="F1103" s="30" t="s">
        <v>182</v>
      </c>
      <c r="G1103" s="30" t="s">
        <v>155</v>
      </c>
      <c r="H1103" s="30" t="s">
        <v>30</v>
      </c>
      <c r="I1103" s="31">
        <v>255055912.44499999</v>
      </c>
    </row>
    <row r="1104" spans="2:9" s="6" customFormat="1" ht="11.25" customHeight="1" x14ac:dyDescent="0.55000000000000004">
      <c r="B1104" s="30" t="s">
        <v>2275</v>
      </c>
      <c r="C1104" s="30" t="s">
        <v>2276</v>
      </c>
      <c r="D1104" s="32">
        <v>65056</v>
      </c>
      <c r="E1104" s="30" t="s">
        <v>20</v>
      </c>
      <c r="F1104" s="30"/>
      <c r="G1104" s="30"/>
      <c r="H1104" s="30" t="s">
        <v>30</v>
      </c>
      <c r="I1104" s="31" t="s">
        <v>29</v>
      </c>
    </row>
    <row r="1105" spans="2:9" s="6" customFormat="1" ht="11.25" customHeight="1" x14ac:dyDescent="0.55000000000000004">
      <c r="B1105" s="30" t="s">
        <v>2277</v>
      </c>
      <c r="C1105" s="30" t="s">
        <v>2278</v>
      </c>
      <c r="D1105" s="32">
        <v>65056</v>
      </c>
      <c r="E1105" s="30" t="s">
        <v>20</v>
      </c>
      <c r="F1105" s="30"/>
      <c r="G1105" s="30"/>
      <c r="H1105" s="30" t="s">
        <v>30</v>
      </c>
      <c r="I1105" s="31" t="s">
        <v>29</v>
      </c>
    </row>
    <row r="1106" spans="2:9" s="6" customFormat="1" ht="11.25" customHeight="1" x14ac:dyDescent="0.55000000000000004">
      <c r="B1106" s="30" t="s">
        <v>2279</v>
      </c>
      <c r="C1106" s="30" t="s">
        <v>2280</v>
      </c>
      <c r="D1106" s="32">
        <v>60140</v>
      </c>
      <c r="E1106" s="30" t="s">
        <v>20</v>
      </c>
      <c r="F1106" s="30" t="s">
        <v>182</v>
      </c>
      <c r="G1106" s="30" t="s">
        <v>155</v>
      </c>
      <c r="H1106" s="30" t="s">
        <v>30</v>
      </c>
      <c r="I1106" s="31">
        <v>14745172.082</v>
      </c>
    </row>
    <row r="1107" spans="2:9" s="6" customFormat="1" ht="11.25" customHeight="1" x14ac:dyDescent="0.55000000000000004">
      <c r="B1107" s="30" t="s">
        <v>2281</v>
      </c>
      <c r="C1107" s="30" t="s">
        <v>2282</v>
      </c>
      <c r="D1107" s="32">
        <v>60140</v>
      </c>
      <c r="E1107" s="30" t="s">
        <v>20</v>
      </c>
      <c r="F1107" s="30"/>
      <c r="G1107" s="30"/>
      <c r="H1107" s="30" t="s">
        <v>30</v>
      </c>
      <c r="I1107" s="31" t="s">
        <v>29</v>
      </c>
    </row>
    <row r="1108" spans="2:9" s="6" customFormat="1" ht="11.25" customHeight="1" x14ac:dyDescent="0.55000000000000004">
      <c r="B1108" s="30" t="s">
        <v>2283</v>
      </c>
      <c r="C1108" s="30" t="s">
        <v>2284</v>
      </c>
      <c r="D1108" s="32">
        <v>60140</v>
      </c>
      <c r="E1108" s="30" t="s">
        <v>20</v>
      </c>
      <c r="F1108" s="30"/>
      <c r="G1108" s="30"/>
      <c r="H1108" s="30" t="s">
        <v>30</v>
      </c>
      <c r="I1108" s="31" t="s">
        <v>29</v>
      </c>
    </row>
    <row r="1109" spans="2:9" s="6" customFormat="1" ht="11.25" customHeight="1" x14ac:dyDescent="0.55000000000000004">
      <c r="B1109" s="30" t="s">
        <v>2285</v>
      </c>
      <c r="C1109" s="30" t="s">
        <v>2286</v>
      </c>
      <c r="D1109" s="32">
        <v>67520</v>
      </c>
      <c r="E1109" s="30" t="s">
        <v>15</v>
      </c>
      <c r="F1109" s="30"/>
      <c r="G1109" s="30"/>
      <c r="H1109" s="30" t="s">
        <v>113</v>
      </c>
      <c r="I1109" s="31" t="s">
        <v>29</v>
      </c>
    </row>
    <row r="1110" spans="2:9" s="6" customFormat="1" ht="11.25" customHeight="1" x14ac:dyDescent="0.55000000000000004">
      <c r="B1110" s="30" t="s">
        <v>2287</v>
      </c>
      <c r="C1110" s="30" t="s">
        <v>2288</v>
      </c>
      <c r="D1110" s="32">
        <v>97144</v>
      </c>
      <c r="E1110" s="30" t="s">
        <v>20</v>
      </c>
      <c r="F1110" s="30" t="s">
        <v>451</v>
      </c>
      <c r="G1110" s="30" t="s">
        <v>35</v>
      </c>
      <c r="H1110" s="30" t="s">
        <v>26</v>
      </c>
      <c r="I1110" s="31">
        <v>131246.37100000001</v>
      </c>
    </row>
    <row r="1111" spans="2:9" s="6" customFormat="1" ht="11.25" customHeight="1" x14ac:dyDescent="0.55000000000000004">
      <c r="B1111" s="30" t="s">
        <v>2289</v>
      </c>
      <c r="C1111" s="30" t="s">
        <v>2290</v>
      </c>
      <c r="D1111" s="32">
        <v>69055</v>
      </c>
      <c r="E1111" s="30" t="s">
        <v>20</v>
      </c>
      <c r="F1111" s="30"/>
      <c r="G1111" s="30" t="s">
        <v>35</v>
      </c>
      <c r="H1111" s="30" t="s">
        <v>66</v>
      </c>
      <c r="I1111" s="31">
        <v>8869.9719999999998</v>
      </c>
    </row>
    <row r="1112" spans="2:9" s="6" customFormat="1" ht="11.25" customHeight="1" x14ac:dyDescent="0.55000000000000004">
      <c r="B1112" s="30" t="s">
        <v>2291</v>
      </c>
      <c r="C1112" s="30" t="s">
        <v>2292</v>
      </c>
      <c r="D1112" s="32">
        <v>82236</v>
      </c>
      <c r="E1112" s="30" t="s">
        <v>15</v>
      </c>
      <c r="F1112" s="30" t="s">
        <v>920</v>
      </c>
      <c r="G1112" s="30"/>
      <c r="H1112" s="30" t="s">
        <v>113</v>
      </c>
      <c r="I1112" s="31" t="s">
        <v>29</v>
      </c>
    </row>
    <row r="1113" spans="2:9" s="6" customFormat="1" ht="11.25" customHeight="1" x14ac:dyDescent="0.55000000000000004">
      <c r="B1113" s="30" t="s">
        <v>2293</v>
      </c>
      <c r="C1113" s="30" t="s">
        <v>2294</v>
      </c>
      <c r="D1113" s="32">
        <v>64017</v>
      </c>
      <c r="E1113" s="30" t="s">
        <v>20</v>
      </c>
      <c r="F1113" s="30" t="s">
        <v>1415</v>
      </c>
      <c r="G1113" s="30" t="s">
        <v>155</v>
      </c>
      <c r="H1113" s="30" t="s">
        <v>278</v>
      </c>
      <c r="I1113" s="31">
        <v>7674725.96</v>
      </c>
    </row>
    <row r="1114" spans="2:9" s="6" customFormat="1" ht="11.25" customHeight="1" x14ac:dyDescent="0.55000000000000004">
      <c r="B1114" s="30" t="s">
        <v>2295</v>
      </c>
      <c r="C1114" s="30" t="s">
        <v>2296</v>
      </c>
      <c r="D1114" s="32">
        <v>64017</v>
      </c>
      <c r="E1114" s="30" t="s">
        <v>20</v>
      </c>
      <c r="F1114" s="30"/>
      <c r="G1114" s="30"/>
      <c r="H1114" s="30" t="s">
        <v>278</v>
      </c>
      <c r="I1114" s="31" t="s">
        <v>29</v>
      </c>
    </row>
    <row r="1115" spans="2:9" s="6" customFormat="1" ht="11.25" customHeight="1" x14ac:dyDescent="0.55000000000000004">
      <c r="B1115" s="30" t="s">
        <v>2297</v>
      </c>
      <c r="C1115" s="30" t="s">
        <v>2298</v>
      </c>
      <c r="D1115" s="32">
        <v>64017</v>
      </c>
      <c r="E1115" s="30" t="s">
        <v>20</v>
      </c>
      <c r="F1115" s="30"/>
      <c r="G1115" s="30"/>
      <c r="H1115" s="30" t="s">
        <v>278</v>
      </c>
      <c r="I1115" s="31" t="s">
        <v>29</v>
      </c>
    </row>
    <row r="1116" spans="2:9" s="6" customFormat="1" ht="11.25" customHeight="1" x14ac:dyDescent="0.55000000000000004">
      <c r="B1116" s="30" t="s">
        <v>2299</v>
      </c>
      <c r="C1116" s="30" t="s">
        <v>2300</v>
      </c>
      <c r="D1116" s="32">
        <v>15727</v>
      </c>
      <c r="E1116" s="30" t="s">
        <v>20</v>
      </c>
      <c r="F1116" s="30" t="s">
        <v>1415</v>
      </c>
      <c r="G1116" s="30" t="s">
        <v>155</v>
      </c>
      <c r="H1116" s="30" t="s">
        <v>278</v>
      </c>
      <c r="I1116" s="31">
        <v>150638.269</v>
      </c>
    </row>
    <row r="1117" spans="2:9" s="6" customFormat="1" ht="11.25" customHeight="1" x14ac:dyDescent="0.55000000000000004">
      <c r="B1117" s="30" t="s">
        <v>2301</v>
      </c>
      <c r="C1117" s="30" t="s">
        <v>2302</v>
      </c>
      <c r="D1117" s="32">
        <v>15727</v>
      </c>
      <c r="E1117" s="30" t="s">
        <v>20</v>
      </c>
      <c r="F1117" s="30"/>
      <c r="G1117" s="30"/>
      <c r="H1117" s="30" t="s">
        <v>278</v>
      </c>
      <c r="I1117" s="31" t="s">
        <v>29</v>
      </c>
    </row>
    <row r="1118" spans="2:9" s="6" customFormat="1" ht="11.25" customHeight="1" x14ac:dyDescent="0.55000000000000004">
      <c r="B1118" s="30" t="s">
        <v>2303</v>
      </c>
      <c r="C1118" s="30" t="s">
        <v>2304</v>
      </c>
      <c r="D1118" s="32">
        <v>15727</v>
      </c>
      <c r="E1118" s="30" t="s">
        <v>20</v>
      </c>
      <c r="F1118" s="30"/>
      <c r="G1118" s="30"/>
      <c r="H1118" s="30" t="s">
        <v>278</v>
      </c>
      <c r="I1118" s="31" t="s">
        <v>29</v>
      </c>
    </row>
    <row r="1119" spans="2:9" s="6" customFormat="1" ht="11.25" customHeight="1" x14ac:dyDescent="0.55000000000000004">
      <c r="B1119" s="30" t="s">
        <v>2305</v>
      </c>
      <c r="C1119" s="30" t="s">
        <v>2306</v>
      </c>
      <c r="D1119" s="32">
        <v>70254</v>
      </c>
      <c r="E1119" s="30" t="s">
        <v>15</v>
      </c>
      <c r="F1119" s="30" t="s">
        <v>137</v>
      </c>
      <c r="G1119" s="30"/>
      <c r="H1119" s="30" t="s">
        <v>2307</v>
      </c>
      <c r="I1119" s="31" t="s">
        <v>29</v>
      </c>
    </row>
    <row r="1120" spans="2:9" s="6" customFormat="1" ht="11.25" customHeight="1" x14ac:dyDescent="0.55000000000000004">
      <c r="B1120" s="30" t="s">
        <v>2308</v>
      </c>
      <c r="C1120" s="30" t="s">
        <v>2309</v>
      </c>
      <c r="D1120" s="32">
        <v>70254</v>
      </c>
      <c r="E1120" s="30" t="s">
        <v>15</v>
      </c>
      <c r="F1120" s="30"/>
      <c r="G1120" s="30"/>
      <c r="H1120" s="30" t="s">
        <v>2307</v>
      </c>
      <c r="I1120" s="31" t="s">
        <v>29</v>
      </c>
    </row>
    <row r="1121" spans="2:9" s="6" customFormat="1" ht="11.25" customHeight="1" x14ac:dyDescent="0.55000000000000004">
      <c r="B1121" s="30" t="s">
        <v>2310</v>
      </c>
      <c r="C1121" s="30" t="s">
        <v>2311</v>
      </c>
      <c r="D1121" s="32">
        <v>67865</v>
      </c>
      <c r="E1121" s="30" t="s">
        <v>15</v>
      </c>
      <c r="F1121" s="30" t="s">
        <v>137</v>
      </c>
      <c r="G1121" s="30" t="s">
        <v>265</v>
      </c>
      <c r="H1121" s="30" t="s">
        <v>686</v>
      </c>
      <c r="I1121" s="31" t="s">
        <v>29</v>
      </c>
    </row>
    <row r="1122" spans="2:9" s="6" customFormat="1" ht="11.25" customHeight="1" x14ac:dyDescent="0.55000000000000004">
      <c r="B1122" s="30" t="s">
        <v>2312</v>
      </c>
      <c r="C1122" s="30" t="s">
        <v>2313</v>
      </c>
      <c r="D1122" s="32">
        <v>67865</v>
      </c>
      <c r="E1122" s="30" t="s">
        <v>15</v>
      </c>
      <c r="F1122" s="30"/>
      <c r="G1122" s="30"/>
      <c r="H1122" s="30" t="s">
        <v>686</v>
      </c>
      <c r="I1122" s="31" t="s">
        <v>29</v>
      </c>
    </row>
    <row r="1123" spans="2:9" s="6" customFormat="1" ht="11.25" customHeight="1" x14ac:dyDescent="0.55000000000000004">
      <c r="B1123" s="30" t="s">
        <v>2314</v>
      </c>
      <c r="C1123" s="30" t="s">
        <v>2315</v>
      </c>
      <c r="D1123" s="32">
        <v>75574</v>
      </c>
      <c r="E1123" s="30" t="s">
        <v>15</v>
      </c>
      <c r="F1123" s="30"/>
      <c r="G1123" s="30"/>
      <c r="H1123" s="30" t="s">
        <v>22</v>
      </c>
      <c r="I1123" s="31" t="s">
        <v>29</v>
      </c>
    </row>
    <row r="1124" spans="2:9" s="6" customFormat="1" ht="11.25" customHeight="1" x14ac:dyDescent="0.55000000000000004">
      <c r="B1124" s="30" t="s">
        <v>2316</v>
      </c>
      <c r="C1124" s="30" t="s">
        <v>2317</v>
      </c>
      <c r="D1124" s="32">
        <v>61077</v>
      </c>
      <c r="E1124" s="30" t="s">
        <v>15</v>
      </c>
      <c r="F1124" s="30"/>
      <c r="G1124" s="30"/>
      <c r="H1124" s="30" t="s">
        <v>239</v>
      </c>
      <c r="I1124" s="31" t="s">
        <v>29</v>
      </c>
    </row>
    <row r="1125" spans="2:9" s="6" customFormat="1" ht="11.25" customHeight="1" x14ac:dyDescent="0.55000000000000004">
      <c r="B1125" s="30" t="s">
        <v>2318</v>
      </c>
      <c r="C1125" s="30" t="s">
        <v>2319</v>
      </c>
      <c r="D1125" s="32">
        <v>80721</v>
      </c>
      <c r="E1125" s="30" t="s">
        <v>15</v>
      </c>
      <c r="F1125" s="30" t="s">
        <v>116</v>
      </c>
      <c r="G1125" s="30"/>
      <c r="H1125" s="30" t="s">
        <v>239</v>
      </c>
      <c r="I1125" s="31" t="s">
        <v>29</v>
      </c>
    </row>
    <row r="1126" spans="2:9" s="6" customFormat="1" ht="11.25" customHeight="1" x14ac:dyDescent="0.55000000000000004">
      <c r="B1126" s="30" t="s">
        <v>2320</v>
      </c>
      <c r="C1126" s="30" t="s">
        <v>2321</v>
      </c>
      <c r="D1126" s="32">
        <v>65080</v>
      </c>
      <c r="E1126" s="30" t="s">
        <v>20</v>
      </c>
      <c r="F1126" s="30" t="s">
        <v>307</v>
      </c>
      <c r="G1126" s="30" t="s">
        <v>16</v>
      </c>
      <c r="H1126" s="30" t="s">
        <v>146</v>
      </c>
      <c r="I1126" s="31">
        <v>193827.26300000001</v>
      </c>
    </row>
    <row r="1127" spans="2:9" s="6" customFormat="1" ht="11.25" customHeight="1" x14ac:dyDescent="0.55000000000000004">
      <c r="B1127" s="30" t="s">
        <v>2322</v>
      </c>
      <c r="C1127" s="30" t="s">
        <v>2323</v>
      </c>
      <c r="D1127" s="32" t="s">
        <v>29</v>
      </c>
      <c r="E1127" s="30" t="s">
        <v>20</v>
      </c>
      <c r="F1127" s="30" t="s">
        <v>2322</v>
      </c>
      <c r="G1127" s="30" t="s">
        <v>265</v>
      </c>
      <c r="H1127" s="30" t="s">
        <v>582</v>
      </c>
      <c r="I1127" s="31">
        <v>274503716.25300002</v>
      </c>
    </row>
    <row r="1128" spans="2:9" s="6" customFormat="1" ht="11.25" customHeight="1" x14ac:dyDescent="0.55000000000000004">
      <c r="B1128" s="30" t="s">
        <v>2324</v>
      </c>
      <c r="C1128" s="30" t="s">
        <v>2325</v>
      </c>
      <c r="D1128" s="32" t="s">
        <v>29</v>
      </c>
      <c r="E1128" s="30" t="s">
        <v>20</v>
      </c>
      <c r="F1128" s="30"/>
      <c r="G1128" s="30"/>
      <c r="H1128" s="30"/>
      <c r="I1128" s="31" t="s">
        <v>29</v>
      </c>
    </row>
    <row r="1129" spans="2:9" s="6" customFormat="1" ht="11.25" customHeight="1" x14ac:dyDescent="0.55000000000000004">
      <c r="B1129" s="30" t="s">
        <v>2326</v>
      </c>
      <c r="C1129" s="30" t="s">
        <v>2327</v>
      </c>
      <c r="D1129" s="32">
        <v>93610</v>
      </c>
      <c r="E1129" s="30" t="s">
        <v>20</v>
      </c>
      <c r="F1129" s="30" t="s">
        <v>2322</v>
      </c>
      <c r="G1129" s="30" t="s">
        <v>21</v>
      </c>
      <c r="H1129" s="30" t="s">
        <v>582</v>
      </c>
      <c r="I1129" s="31">
        <v>16068034.07</v>
      </c>
    </row>
    <row r="1130" spans="2:9" s="6" customFormat="1" ht="11.25" customHeight="1" x14ac:dyDescent="0.55000000000000004">
      <c r="B1130" s="30" t="s">
        <v>2328</v>
      </c>
      <c r="C1130" s="30" t="s">
        <v>2329</v>
      </c>
      <c r="D1130" s="32">
        <v>93610</v>
      </c>
      <c r="E1130" s="30" t="s">
        <v>20</v>
      </c>
      <c r="F1130" s="30"/>
      <c r="G1130" s="30"/>
      <c r="H1130" s="30" t="s">
        <v>582</v>
      </c>
      <c r="I1130" s="31" t="s">
        <v>29</v>
      </c>
    </row>
    <row r="1131" spans="2:9" s="6" customFormat="1" ht="11.25" customHeight="1" x14ac:dyDescent="0.55000000000000004">
      <c r="B1131" s="30" t="s">
        <v>2330</v>
      </c>
      <c r="C1131" s="30" t="s">
        <v>2331</v>
      </c>
      <c r="D1131" s="32">
        <v>93610</v>
      </c>
      <c r="E1131" s="30" t="s">
        <v>20</v>
      </c>
      <c r="F1131" s="30"/>
      <c r="G1131" s="30"/>
      <c r="H1131" s="30" t="s">
        <v>582</v>
      </c>
      <c r="I1131" s="31" t="s">
        <v>29</v>
      </c>
    </row>
    <row r="1132" spans="2:9" s="6" customFormat="1" ht="11.25" customHeight="1" x14ac:dyDescent="0.55000000000000004">
      <c r="B1132" s="30" t="s">
        <v>2332</v>
      </c>
      <c r="C1132" s="30" t="s">
        <v>2333</v>
      </c>
      <c r="D1132" s="32">
        <v>65838</v>
      </c>
      <c r="E1132" s="30" t="s">
        <v>20</v>
      </c>
      <c r="F1132" s="30" t="s">
        <v>2322</v>
      </c>
      <c r="G1132" s="30" t="s">
        <v>155</v>
      </c>
      <c r="H1132" s="30" t="s">
        <v>582</v>
      </c>
      <c r="I1132" s="31">
        <v>243305426.36900002</v>
      </c>
    </row>
    <row r="1133" spans="2:9" s="6" customFormat="1" ht="11.25" customHeight="1" x14ac:dyDescent="0.55000000000000004">
      <c r="B1133" s="30" t="s">
        <v>2334</v>
      </c>
      <c r="C1133" s="30" t="s">
        <v>2335</v>
      </c>
      <c r="D1133" s="32">
        <v>65838</v>
      </c>
      <c r="E1133" s="30" t="s">
        <v>20</v>
      </c>
      <c r="F1133" s="30"/>
      <c r="G1133" s="30"/>
      <c r="H1133" s="30" t="s">
        <v>582</v>
      </c>
      <c r="I1133" s="31" t="s">
        <v>29</v>
      </c>
    </row>
    <row r="1134" spans="2:9" s="6" customFormat="1" ht="11.25" customHeight="1" x14ac:dyDescent="0.55000000000000004">
      <c r="B1134" s="30" t="s">
        <v>2336</v>
      </c>
      <c r="C1134" s="30" t="s">
        <v>2337</v>
      </c>
      <c r="D1134" s="32">
        <v>65838</v>
      </c>
      <c r="E1134" s="30" t="s">
        <v>20</v>
      </c>
      <c r="F1134" s="30"/>
      <c r="G1134" s="30"/>
      <c r="H1134" s="30" t="s">
        <v>582</v>
      </c>
      <c r="I1134" s="31" t="s">
        <v>29</v>
      </c>
    </row>
    <row r="1135" spans="2:9" s="6" customFormat="1" ht="11.25" customHeight="1" x14ac:dyDescent="0.55000000000000004">
      <c r="B1135" s="30" t="s">
        <v>2338</v>
      </c>
      <c r="C1135" s="30" t="s">
        <v>2339</v>
      </c>
      <c r="D1135" s="32">
        <v>65838</v>
      </c>
      <c r="E1135" s="30" t="s">
        <v>20</v>
      </c>
      <c r="F1135" s="30"/>
      <c r="G1135" s="30"/>
      <c r="H1135" s="30" t="s">
        <v>582</v>
      </c>
      <c r="I1135" s="31" t="s">
        <v>29</v>
      </c>
    </row>
    <row r="1136" spans="2:9" s="6" customFormat="1" ht="11.25" customHeight="1" x14ac:dyDescent="0.55000000000000004">
      <c r="B1136" s="30" t="s">
        <v>2340</v>
      </c>
      <c r="C1136" s="30" t="s">
        <v>2341</v>
      </c>
      <c r="D1136" s="32">
        <v>86375</v>
      </c>
      <c r="E1136" s="30" t="s">
        <v>20</v>
      </c>
      <c r="F1136" s="30" t="s">
        <v>2322</v>
      </c>
      <c r="G1136" s="30" t="s">
        <v>265</v>
      </c>
      <c r="H1136" s="30" t="s">
        <v>124</v>
      </c>
      <c r="I1136" s="31">
        <v>17663343.754000001</v>
      </c>
    </row>
    <row r="1137" spans="2:9" s="6" customFormat="1" ht="11.25" customHeight="1" x14ac:dyDescent="0.55000000000000004">
      <c r="B1137" s="30" t="s">
        <v>2342</v>
      </c>
      <c r="C1137" s="30" t="s">
        <v>2343</v>
      </c>
      <c r="D1137" s="32">
        <v>86375</v>
      </c>
      <c r="E1137" s="30" t="s">
        <v>20</v>
      </c>
      <c r="F1137" s="30"/>
      <c r="G1137" s="30"/>
      <c r="H1137" s="30" t="s">
        <v>124</v>
      </c>
      <c r="I1137" s="31" t="s">
        <v>29</v>
      </c>
    </row>
    <row r="1138" spans="2:9" s="6" customFormat="1" ht="11.25" customHeight="1" x14ac:dyDescent="0.55000000000000004">
      <c r="B1138" s="30" t="s">
        <v>2344</v>
      </c>
      <c r="C1138" s="30" t="s">
        <v>2345</v>
      </c>
      <c r="D1138" s="32">
        <v>86375</v>
      </c>
      <c r="E1138" s="30" t="s">
        <v>20</v>
      </c>
      <c r="F1138" s="30"/>
      <c r="G1138" s="30"/>
      <c r="H1138" s="30" t="s">
        <v>124</v>
      </c>
      <c r="I1138" s="31" t="s">
        <v>29</v>
      </c>
    </row>
    <row r="1139" spans="2:9" s="6" customFormat="1" ht="11.25" customHeight="1" x14ac:dyDescent="0.55000000000000004">
      <c r="B1139" s="30" t="s">
        <v>2346</v>
      </c>
      <c r="C1139" s="30" t="s">
        <v>2347</v>
      </c>
      <c r="D1139" s="32">
        <v>65099</v>
      </c>
      <c r="E1139" s="30" t="s">
        <v>15</v>
      </c>
      <c r="F1139" s="30" t="s">
        <v>2322</v>
      </c>
      <c r="G1139" s="30" t="s">
        <v>39</v>
      </c>
      <c r="H1139" s="30" t="s">
        <v>582</v>
      </c>
      <c r="I1139" s="31" t="s">
        <v>29</v>
      </c>
    </row>
    <row r="1140" spans="2:9" s="6" customFormat="1" ht="11.25" customHeight="1" x14ac:dyDescent="0.55000000000000004">
      <c r="B1140" s="30" t="s">
        <v>2348</v>
      </c>
      <c r="C1140" s="30" t="s">
        <v>2349</v>
      </c>
      <c r="D1140" s="32">
        <v>65099</v>
      </c>
      <c r="E1140" s="30" t="s">
        <v>15</v>
      </c>
      <c r="F1140" s="30"/>
      <c r="G1140" s="30"/>
      <c r="H1140" s="30" t="s">
        <v>582</v>
      </c>
      <c r="I1140" s="31" t="s">
        <v>29</v>
      </c>
    </row>
    <row r="1141" spans="2:9" s="6" customFormat="1" ht="11.25" customHeight="1" x14ac:dyDescent="0.55000000000000004">
      <c r="B1141" s="30" t="s">
        <v>2350</v>
      </c>
      <c r="C1141" s="30" t="s">
        <v>2351</v>
      </c>
      <c r="D1141" s="32">
        <v>90204</v>
      </c>
      <c r="E1141" s="30" t="s">
        <v>15</v>
      </c>
      <c r="F1141" s="30" t="s">
        <v>2322</v>
      </c>
      <c r="G1141" s="30" t="s">
        <v>35</v>
      </c>
      <c r="H1141" s="30" t="s">
        <v>582</v>
      </c>
      <c r="I1141" s="31" t="s">
        <v>29</v>
      </c>
    </row>
    <row r="1142" spans="2:9" s="6" customFormat="1" ht="11.25" customHeight="1" x14ac:dyDescent="0.55000000000000004">
      <c r="B1142" s="30" t="s">
        <v>2352</v>
      </c>
      <c r="C1142" s="30" t="s">
        <v>2353</v>
      </c>
      <c r="D1142" s="32">
        <v>90204</v>
      </c>
      <c r="E1142" s="30" t="s">
        <v>15</v>
      </c>
      <c r="F1142" s="30"/>
      <c r="G1142" s="30"/>
      <c r="H1142" s="30" t="s">
        <v>582</v>
      </c>
      <c r="I1142" s="31" t="s">
        <v>29</v>
      </c>
    </row>
    <row r="1143" spans="2:9" s="6" customFormat="1" ht="11.25" customHeight="1" x14ac:dyDescent="0.55000000000000004">
      <c r="B1143" s="30" t="s">
        <v>2354</v>
      </c>
      <c r="C1143" s="30" t="s">
        <v>2355</v>
      </c>
      <c r="D1143" s="32">
        <v>71018</v>
      </c>
      <c r="E1143" s="30" t="s">
        <v>15</v>
      </c>
      <c r="F1143" s="30"/>
      <c r="G1143" s="30"/>
      <c r="H1143" s="30" t="s">
        <v>105</v>
      </c>
      <c r="I1143" s="31" t="s">
        <v>29</v>
      </c>
    </row>
    <row r="1144" spans="2:9" s="6" customFormat="1" ht="11.25" customHeight="1" x14ac:dyDescent="0.55000000000000004">
      <c r="B1144" s="30" t="s">
        <v>2356</v>
      </c>
      <c r="C1144" s="30" t="s">
        <v>2357</v>
      </c>
      <c r="D1144" s="32">
        <v>88218</v>
      </c>
      <c r="E1144" s="30" t="s">
        <v>15</v>
      </c>
      <c r="F1144" s="30"/>
      <c r="G1144" s="30" t="s">
        <v>35</v>
      </c>
      <c r="H1144" s="30" t="s">
        <v>48</v>
      </c>
      <c r="I1144" s="31" t="s">
        <v>29</v>
      </c>
    </row>
    <row r="1145" spans="2:9" s="6" customFormat="1" ht="11.25" customHeight="1" x14ac:dyDescent="0.55000000000000004">
      <c r="B1145" s="30" t="s">
        <v>2358</v>
      </c>
      <c r="C1145" s="30" t="s">
        <v>2359</v>
      </c>
      <c r="D1145" s="32">
        <v>65110</v>
      </c>
      <c r="E1145" s="30" t="s">
        <v>15</v>
      </c>
      <c r="F1145" s="30"/>
      <c r="G1145" s="30" t="s">
        <v>21</v>
      </c>
      <c r="H1145" s="30" t="s">
        <v>655</v>
      </c>
      <c r="I1145" s="31" t="s">
        <v>29</v>
      </c>
    </row>
    <row r="1146" spans="2:9" s="6" customFormat="1" ht="11.25" customHeight="1" x14ac:dyDescent="0.55000000000000004">
      <c r="B1146" s="30" t="s">
        <v>2360</v>
      </c>
      <c r="C1146" s="30" t="s">
        <v>2361</v>
      </c>
      <c r="D1146" s="32">
        <v>65129</v>
      </c>
      <c r="E1146" s="30" t="s">
        <v>20</v>
      </c>
      <c r="F1146" s="30" t="s">
        <v>1897</v>
      </c>
      <c r="G1146" s="30" t="s">
        <v>35</v>
      </c>
      <c r="H1146" s="30" t="s">
        <v>500</v>
      </c>
      <c r="I1146" s="31">
        <v>3399891.98</v>
      </c>
    </row>
    <row r="1147" spans="2:9" s="6" customFormat="1" ht="11.25" customHeight="1" x14ac:dyDescent="0.55000000000000004">
      <c r="B1147" s="30" t="s">
        <v>2362</v>
      </c>
      <c r="C1147" s="30" t="s">
        <v>2363</v>
      </c>
      <c r="D1147" s="32">
        <v>65129</v>
      </c>
      <c r="E1147" s="30" t="s">
        <v>20</v>
      </c>
      <c r="F1147" s="30"/>
      <c r="G1147" s="30"/>
      <c r="H1147" s="30" t="s">
        <v>500</v>
      </c>
      <c r="I1147" s="31" t="s">
        <v>29</v>
      </c>
    </row>
    <row r="1148" spans="2:9" s="6" customFormat="1" ht="11.25" customHeight="1" x14ac:dyDescent="0.55000000000000004">
      <c r="B1148" s="30" t="s">
        <v>2364</v>
      </c>
      <c r="C1148" s="30" t="s">
        <v>2365</v>
      </c>
      <c r="D1148" s="32">
        <v>65129</v>
      </c>
      <c r="E1148" s="30" t="s">
        <v>20</v>
      </c>
      <c r="F1148" s="30"/>
      <c r="G1148" s="30"/>
      <c r="H1148" s="30" t="s">
        <v>500</v>
      </c>
      <c r="I1148" s="31" t="s">
        <v>29</v>
      </c>
    </row>
    <row r="1149" spans="2:9" s="6" customFormat="1" ht="11.25" customHeight="1" x14ac:dyDescent="0.55000000000000004">
      <c r="B1149" s="30" t="s">
        <v>1897</v>
      </c>
      <c r="C1149" s="30" t="s">
        <v>2366</v>
      </c>
      <c r="D1149" s="32" t="s">
        <v>29</v>
      </c>
      <c r="E1149" s="30" t="s">
        <v>20</v>
      </c>
      <c r="F1149" s="30" t="s">
        <v>1897</v>
      </c>
      <c r="G1149" s="30" t="s">
        <v>35</v>
      </c>
      <c r="H1149" s="30" t="s">
        <v>500</v>
      </c>
      <c r="I1149" s="31">
        <v>4346606.858</v>
      </c>
    </row>
    <row r="1150" spans="2:9" s="6" customFormat="1" ht="11.25" customHeight="1" x14ac:dyDescent="0.55000000000000004">
      <c r="B1150" s="30" t="s">
        <v>2367</v>
      </c>
      <c r="C1150" s="30" t="s">
        <v>2368</v>
      </c>
      <c r="D1150" s="32">
        <v>65137</v>
      </c>
      <c r="E1150" s="30" t="s">
        <v>15</v>
      </c>
      <c r="F1150" s="30" t="s">
        <v>1508</v>
      </c>
      <c r="G1150" s="30" t="s">
        <v>16</v>
      </c>
      <c r="H1150" s="30" t="s">
        <v>86</v>
      </c>
      <c r="I1150" s="31" t="s">
        <v>29</v>
      </c>
    </row>
    <row r="1151" spans="2:9" s="6" customFormat="1" ht="11.25" customHeight="1" x14ac:dyDescent="0.55000000000000004">
      <c r="B1151" s="30" t="s">
        <v>2369</v>
      </c>
      <c r="C1151" s="30" t="s">
        <v>2370</v>
      </c>
      <c r="D1151" s="32">
        <v>89885</v>
      </c>
      <c r="E1151" s="30" t="s">
        <v>15</v>
      </c>
      <c r="F1151" s="30"/>
      <c r="G1151" s="30"/>
      <c r="H1151" s="30" t="s">
        <v>105</v>
      </c>
      <c r="I1151" s="31" t="s">
        <v>29</v>
      </c>
    </row>
    <row r="1152" spans="2:9" s="6" customFormat="1" ht="11.25" customHeight="1" x14ac:dyDescent="0.55000000000000004">
      <c r="B1152" s="30" t="s">
        <v>2371</v>
      </c>
      <c r="C1152" s="30" t="s">
        <v>2372</v>
      </c>
      <c r="D1152" s="32" t="s">
        <v>29</v>
      </c>
      <c r="E1152" s="30" t="s">
        <v>20</v>
      </c>
      <c r="F1152" s="30" t="s">
        <v>2371</v>
      </c>
      <c r="G1152" s="30" t="s">
        <v>35</v>
      </c>
      <c r="H1152" s="30" t="s">
        <v>22</v>
      </c>
      <c r="I1152" s="31">
        <v>4691699.4129999997</v>
      </c>
    </row>
    <row r="1153" spans="2:9" s="6" customFormat="1" ht="11.25" customHeight="1" x14ac:dyDescent="0.55000000000000004">
      <c r="B1153" s="30" t="s">
        <v>2373</v>
      </c>
      <c r="C1153" s="30" t="s">
        <v>2374</v>
      </c>
      <c r="D1153" s="32">
        <v>65153</v>
      </c>
      <c r="E1153" s="30" t="s">
        <v>15</v>
      </c>
      <c r="F1153" s="30"/>
      <c r="G1153" s="30"/>
      <c r="H1153" s="30" t="s">
        <v>150</v>
      </c>
      <c r="I1153" s="31" t="s">
        <v>29</v>
      </c>
    </row>
    <row r="1154" spans="2:9" s="6" customFormat="1" ht="11.25" customHeight="1" x14ac:dyDescent="0.55000000000000004">
      <c r="B1154" s="30" t="s">
        <v>2375</v>
      </c>
      <c r="C1154" s="30" t="s">
        <v>2376</v>
      </c>
      <c r="D1154" s="32">
        <v>60244</v>
      </c>
      <c r="E1154" s="30" t="s">
        <v>20</v>
      </c>
      <c r="F1154" s="30" t="s">
        <v>2377</v>
      </c>
      <c r="G1154" s="30" t="s">
        <v>80</v>
      </c>
      <c r="H1154" s="30" t="s">
        <v>278</v>
      </c>
      <c r="I1154" s="31">
        <v>5202.2250000000004</v>
      </c>
    </row>
    <row r="1155" spans="2:9" s="6" customFormat="1" ht="11.25" customHeight="1" x14ac:dyDescent="0.55000000000000004">
      <c r="B1155" s="30" t="s">
        <v>2377</v>
      </c>
      <c r="C1155" s="30" t="s">
        <v>2378</v>
      </c>
      <c r="D1155" s="32" t="s">
        <v>29</v>
      </c>
      <c r="E1155" s="30" t="s">
        <v>20</v>
      </c>
      <c r="F1155" s="30" t="s">
        <v>2377</v>
      </c>
      <c r="G1155" s="30" t="s">
        <v>80</v>
      </c>
      <c r="H1155" s="30" t="s">
        <v>278</v>
      </c>
      <c r="I1155" s="31">
        <v>10860.277</v>
      </c>
    </row>
    <row r="1156" spans="2:9" s="6" customFormat="1" ht="11.25" customHeight="1" x14ac:dyDescent="0.55000000000000004">
      <c r="B1156" s="30" t="s">
        <v>2379</v>
      </c>
      <c r="C1156" s="30" t="s">
        <v>2380</v>
      </c>
      <c r="D1156" s="32">
        <v>85324</v>
      </c>
      <c r="E1156" s="30" t="s">
        <v>15</v>
      </c>
      <c r="F1156" s="30"/>
      <c r="G1156" s="30"/>
      <c r="H1156" s="30" t="s">
        <v>313</v>
      </c>
      <c r="I1156" s="31" t="s">
        <v>29</v>
      </c>
    </row>
    <row r="1157" spans="2:9" s="6" customFormat="1" ht="11.25" customHeight="1" x14ac:dyDescent="0.55000000000000004">
      <c r="B1157" s="30" t="s">
        <v>2381</v>
      </c>
      <c r="C1157" s="30" t="s">
        <v>2382</v>
      </c>
      <c r="D1157" s="32">
        <v>86843</v>
      </c>
      <c r="E1157" s="30" t="s">
        <v>15</v>
      </c>
      <c r="F1157" s="30" t="s">
        <v>185</v>
      </c>
      <c r="G1157" s="30" t="s">
        <v>25</v>
      </c>
      <c r="H1157" s="30" t="s">
        <v>146</v>
      </c>
      <c r="I1157" s="31" t="s">
        <v>29</v>
      </c>
    </row>
    <row r="1158" spans="2:9" s="6" customFormat="1" ht="11.25" customHeight="1" x14ac:dyDescent="0.55000000000000004">
      <c r="B1158" s="30" t="s">
        <v>2383</v>
      </c>
      <c r="C1158" s="30" t="s">
        <v>2384</v>
      </c>
      <c r="D1158" s="32">
        <v>67305</v>
      </c>
      <c r="E1158" s="30" t="s">
        <v>15</v>
      </c>
      <c r="F1158" s="30"/>
      <c r="G1158" s="30"/>
      <c r="H1158" s="30" t="s">
        <v>150</v>
      </c>
      <c r="I1158" s="31" t="s">
        <v>29</v>
      </c>
    </row>
    <row r="1159" spans="2:9" s="6" customFormat="1" ht="11.25" customHeight="1" x14ac:dyDescent="0.55000000000000004">
      <c r="B1159" s="30" t="s">
        <v>2385</v>
      </c>
      <c r="C1159" s="30" t="s">
        <v>2386</v>
      </c>
      <c r="D1159" s="32">
        <v>75230</v>
      </c>
      <c r="E1159" s="30" t="s">
        <v>15</v>
      </c>
      <c r="F1159" s="30" t="s">
        <v>1311</v>
      </c>
      <c r="G1159" s="30"/>
      <c r="H1159" s="30" t="s">
        <v>582</v>
      </c>
      <c r="I1159" s="31" t="s">
        <v>29</v>
      </c>
    </row>
    <row r="1160" spans="2:9" s="6" customFormat="1" ht="11.25" customHeight="1" x14ac:dyDescent="0.55000000000000004">
      <c r="B1160" s="30" t="s">
        <v>2387</v>
      </c>
      <c r="C1160" s="30" t="s">
        <v>2388</v>
      </c>
      <c r="D1160" s="32">
        <v>75230</v>
      </c>
      <c r="E1160" s="30" t="s">
        <v>15</v>
      </c>
      <c r="F1160" s="30"/>
      <c r="G1160" s="30"/>
      <c r="H1160" s="30" t="s">
        <v>582</v>
      </c>
      <c r="I1160" s="31" t="s">
        <v>29</v>
      </c>
    </row>
    <row r="1161" spans="2:9" s="6" customFormat="1" ht="11.25" customHeight="1" x14ac:dyDescent="0.55000000000000004">
      <c r="B1161" s="30" t="s">
        <v>2389</v>
      </c>
      <c r="C1161" s="30" t="s">
        <v>2390</v>
      </c>
      <c r="D1161" s="32">
        <v>65234</v>
      </c>
      <c r="E1161" s="30" t="s">
        <v>15</v>
      </c>
      <c r="F1161" s="30" t="s">
        <v>1311</v>
      </c>
      <c r="G1161" s="30"/>
      <c r="H1161" s="30" t="s">
        <v>582</v>
      </c>
      <c r="I1161" s="31" t="s">
        <v>29</v>
      </c>
    </row>
    <row r="1162" spans="2:9" s="6" customFormat="1" ht="11.25" customHeight="1" x14ac:dyDescent="0.55000000000000004">
      <c r="B1162" s="30" t="s">
        <v>2391</v>
      </c>
      <c r="C1162" s="30" t="s">
        <v>2392</v>
      </c>
      <c r="D1162" s="32">
        <v>65234</v>
      </c>
      <c r="E1162" s="30" t="s">
        <v>15</v>
      </c>
      <c r="F1162" s="30"/>
      <c r="G1162" s="30"/>
      <c r="H1162" s="30" t="s">
        <v>582</v>
      </c>
      <c r="I1162" s="31" t="s">
        <v>29</v>
      </c>
    </row>
    <row r="1163" spans="2:9" s="6" customFormat="1" ht="11.25" customHeight="1" x14ac:dyDescent="0.55000000000000004">
      <c r="B1163" s="30" t="s">
        <v>2393</v>
      </c>
      <c r="C1163" s="30" t="s">
        <v>2394</v>
      </c>
      <c r="D1163" s="32">
        <v>62391</v>
      </c>
      <c r="E1163" s="30" t="s">
        <v>15</v>
      </c>
      <c r="F1163" s="30"/>
      <c r="G1163" s="30"/>
      <c r="H1163" s="30" t="s">
        <v>105</v>
      </c>
      <c r="I1163" s="31" t="s">
        <v>29</v>
      </c>
    </row>
    <row r="1164" spans="2:9" s="6" customFormat="1" ht="11.25" customHeight="1" x14ac:dyDescent="0.55000000000000004">
      <c r="B1164" s="30" t="s">
        <v>2395</v>
      </c>
      <c r="C1164" s="30" t="s">
        <v>2396</v>
      </c>
      <c r="D1164" s="32">
        <v>90344</v>
      </c>
      <c r="E1164" s="30" t="s">
        <v>15</v>
      </c>
      <c r="F1164" s="30" t="s">
        <v>2067</v>
      </c>
      <c r="G1164" s="30" t="s">
        <v>35</v>
      </c>
      <c r="H1164" s="30" t="s">
        <v>22</v>
      </c>
      <c r="I1164" s="31" t="s">
        <v>29</v>
      </c>
    </row>
    <row r="1165" spans="2:9" s="6" customFormat="1" ht="11.25" customHeight="1" x14ac:dyDescent="0.55000000000000004">
      <c r="B1165" s="30" t="s">
        <v>2397</v>
      </c>
      <c r="C1165" s="30" t="s">
        <v>2398</v>
      </c>
      <c r="D1165" s="32">
        <v>74918</v>
      </c>
      <c r="E1165" s="30" t="s">
        <v>20</v>
      </c>
      <c r="F1165" s="30" t="s">
        <v>1670</v>
      </c>
      <c r="G1165" s="30" t="s">
        <v>35</v>
      </c>
      <c r="H1165" s="30" t="s">
        <v>66</v>
      </c>
      <c r="I1165" s="31">
        <v>201289.39600000001</v>
      </c>
    </row>
    <row r="1166" spans="2:9" s="6" customFormat="1" ht="11.25" customHeight="1" x14ac:dyDescent="0.55000000000000004">
      <c r="B1166" s="30" t="s">
        <v>2399</v>
      </c>
      <c r="C1166" s="30" t="s">
        <v>2400</v>
      </c>
      <c r="D1166" s="32">
        <v>16086</v>
      </c>
      <c r="E1166" s="30" t="s">
        <v>20</v>
      </c>
      <c r="F1166" s="30" t="s">
        <v>5544</v>
      </c>
      <c r="G1166" s="30" t="s">
        <v>35</v>
      </c>
      <c r="H1166" s="30" t="s">
        <v>92</v>
      </c>
      <c r="I1166" s="31">
        <v>1921.751</v>
      </c>
    </row>
    <row r="1167" spans="2:9" s="6" customFormat="1" ht="11.25" customHeight="1" x14ac:dyDescent="0.55000000000000004">
      <c r="B1167" s="30" t="s">
        <v>1976</v>
      </c>
      <c r="C1167" s="30" t="s">
        <v>2401</v>
      </c>
      <c r="D1167" s="32" t="s">
        <v>29</v>
      </c>
      <c r="E1167" s="30" t="s">
        <v>20</v>
      </c>
      <c r="F1167" s="30" t="s">
        <v>1976</v>
      </c>
      <c r="G1167" s="30" t="s">
        <v>155</v>
      </c>
      <c r="H1167" s="30" t="s">
        <v>40</v>
      </c>
      <c r="I1167" s="31">
        <v>12722150.675000001</v>
      </c>
    </row>
    <row r="1168" spans="2:9" s="6" customFormat="1" ht="11.25" customHeight="1" x14ac:dyDescent="0.55000000000000004">
      <c r="B1168" s="30" t="s">
        <v>2402</v>
      </c>
      <c r="C1168" s="30" t="s">
        <v>2403</v>
      </c>
      <c r="D1168" s="32">
        <v>11133</v>
      </c>
      <c r="E1168" s="30" t="s">
        <v>20</v>
      </c>
      <c r="F1168" s="30" t="s">
        <v>1791</v>
      </c>
      <c r="G1168" s="30" t="s">
        <v>265</v>
      </c>
      <c r="H1168" s="30" t="s">
        <v>113</v>
      </c>
      <c r="I1168" s="31">
        <v>24116.085999999999</v>
      </c>
    </row>
    <row r="1169" spans="2:9" s="6" customFormat="1" ht="11.25" customHeight="1" x14ac:dyDescent="0.55000000000000004">
      <c r="B1169" s="30" t="s">
        <v>2404</v>
      </c>
      <c r="C1169" s="30" t="s">
        <v>2405</v>
      </c>
      <c r="D1169" s="32">
        <v>65218</v>
      </c>
      <c r="E1169" s="30" t="s">
        <v>15</v>
      </c>
      <c r="F1169" s="30" t="s">
        <v>185</v>
      </c>
      <c r="G1169" s="30"/>
      <c r="H1169" s="30" t="s">
        <v>278</v>
      </c>
      <c r="I1169" s="31" t="s">
        <v>29</v>
      </c>
    </row>
    <row r="1170" spans="2:9" s="6" customFormat="1" ht="11.25" customHeight="1" x14ac:dyDescent="0.55000000000000004">
      <c r="B1170" s="30" t="s">
        <v>2406</v>
      </c>
      <c r="C1170" s="30" t="s">
        <v>2407</v>
      </c>
      <c r="D1170" s="32">
        <v>83283</v>
      </c>
      <c r="E1170" s="30" t="s">
        <v>15</v>
      </c>
      <c r="F1170" s="30"/>
      <c r="G1170" s="30"/>
      <c r="H1170" s="30" t="s">
        <v>179</v>
      </c>
      <c r="I1170" s="31" t="s">
        <v>29</v>
      </c>
    </row>
    <row r="1171" spans="2:9" s="6" customFormat="1" ht="11.25" customHeight="1" x14ac:dyDescent="0.55000000000000004">
      <c r="B1171" s="30" t="s">
        <v>2408</v>
      </c>
      <c r="C1171" s="30" t="s">
        <v>2409</v>
      </c>
      <c r="D1171" s="32">
        <v>74500</v>
      </c>
      <c r="E1171" s="30" t="s">
        <v>15</v>
      </c>
      <c r="F1171" s="30"/>
      <c r="G1171" s="30"/>
      <c r="H1171" s="30" t="s">
        <v>500</v>
      </c>
      <c r="I1171" s="31" t="s">
        <v>29</v>
      </c>
    </row>
    <row r="1172" spans="2:9" s="6" customFormat="1" ht="11.25" customHeight="1" x14ac:dyDescent="0.55000000000000004">
      <c r="B1172" s="30" t="s">
        <v>2410</v>
      </c>
      <c r="C1172" s="30" t="s">
        <v>2411</v>
      </c>
      <c r="D1172" s="32">
        <v>65242</v>
      </c>
      <c r="E1172" s="30" t="s">
        <v>20</v>
      </c>
      <c r="F1172" s="30" t="s">
        <v>1127</v>
      </c>
      <c r="G1172" s="30" t="s">
        <v>35</v>
      </c>
      <c r="H1172" s="30" t="s">
        <v>313</v>
      </c>
      <c r="I1172" s="31">
        <v>5797492.8569999998</v>
      </c>
    </row>
    <row r="1173" spans="2:9" s="6" customFormat="1" ht="11.25" customHeight="1" x14ac:dyDescent="0.55000000000000004">
      <c r="B1173" s="30" t="s">
        <v>2412</v>
      </c>
      <c r="C1173" s="30" t="s">
        <v>2413</v>
      </c>
      <c r="D1173" s="32">
        <v>74942</v>
      </c>
      <c r="E1173" s="30" t="s">
        <v>15</v>
      </c>
      <c r="F1173" s="30"/>
      <c r="G1173" s="30" t="s">
        <v>35</v>
      </c>
      <c r="H1173" s="30" t="s">
        <v>66</v>
      </c>
      <c r="I1173" s="31" t="s">
        <v>29</v>
      </c>
    </row>
    <row r="1174" spans="2:9" s="6" customFormat="1" ht="11.25" customHeight="1" x14ac:dyDescent="0.55000000000000004">
      <c r="B1174" s="30" t="s">
        <v>2414</v>
      </c>
      <c r="C1174" s="30" t="s">
        <v>2415</v>
      </c>
      <c r="D1174" s="32">
        <v>65250</v>
      </c>
      <c r="E1174" s="30" t="s">
        <v>15</v>
      </c>
      <c r="F1174" s="30" t="s">
        <v>2067</v>
      </c>
      <c r="G1174" s="30"/>
      <c r="H1174" s="30" t="s">
        <v>150</v>
      </c>
      <c r="I1174" s="31" t="s">
        <v>29</v>
      </c>
    </row>
    <row r="1175" spans="2:9" s="6" customFormat="1" ht="11.25" customHeight="1" x14ac:dyDescent="0.55000000000000004">
      <c r="B1175" s="30" t="s">
        <v>2416</v>
      </c>
      <c r="C1175" s="30" t="s">
        <v>2417</v>
      </c>
      <c r="D1175" s="32">
        <v>92274</v>
      </c>
      <c r="E1175" s="30" t="s">
        <v>20</v>
      </c>
      <c r="F1175" s="30"/>
      <c r="G1175" s="30" t="s">
        <v>16</v>
      </c>
      <c r="H1175" s="30" t="s">
        <v>89</v>
      </c>
      <c r="I1175" s="31">
        <v>30840.84</v>
      </c>
    </row>
    <row r="1176" spans="2:9" s="6" customFormat="1" ht="11.25" customHeight="1" x14ac:dyDescent="0.55000000000000004">
      <c r="B1176" s="30" t="s">
        <v>2418</v>
      </c>
      <c r="C1176" s="30" t="s">
        <v>2419</v>
      </c>
      <c r="D1176" s="32">
        <v>82252</v>
      </c>
      <c r="E1176" s="30" t="s">
        <v>20</v>
      </c>
      <c r="F1176" s="30"/>
      <c r="G1176" s="30" t="s">
        <v>35</v>
      </c>
      <c r="H1176" s="30" t="s">
        <v>113</v>
      </c>
      <c r="I1176" s="31">
        <v>46336.754000000001</v>
      </c>
    </row>
    <row r="1177" spans="2:9" s="6" customFormat="1" ht="11.25" customHeight="1" x14ac:dyDescent="0.55000000000000004">
      <c r="B1177" s="30" t="s">
        <v>2420</v>
      </c>
      <c r="C1177" s="30" t="s">
        <v>2421</v>
      </c>
      <c r="D1177" s="32">
        <v>71323</v>
      </c>
      <c r="E1177" s="30" t="s">
        <v>20</v>
      </c>
      <c r="F1177" s="30"/>
      <c r="G1177" s="30" t="s">
        <v>35</v>
      </c>
      <c r="H1177" s="30" t="s">
        <v>500</v>
      </c>
      <c r="I1177" s="31">
        <v>10026.558000000001</v>
      </c>
    </row>
    <row r="1178" spans="2:9" s="6" customFormat="1" ht="11.25" customHeight="1" x14ac:dyDescent="0.55000000000000004">
      <c r="B1178" s="30" t="s">
        <v>2422</v>
      </c>
      <c r="C1178" s="30" t="s">
        <v>2423</v>
      </c>
      <c r="D1178" s="32">
        <v>67296</v>
      </c>
      <c r="E1178" s="30" t="s">
        <v>15</v>
      </c>
      <c r="F1178" s="30"/>
      <c r="G1178" s="30" t="s">
        <v>16</v>
      </c>
      <c r="H1178" s="30" t="s">
        <v>105</v>
      </c>
      <c r="I1178" s="31" t="s">
        <v>29</v>
      </c>
    </row>
    <row r="1179" spans="2:9" s="6" customFormat="1" ht="11.25" customHeight="1" x14ac:dyDescent="0.55000000000000004">
      <c r="B1179" s="30" t="s">
        <v>2424</v>
      </c>
      <c r="C1179" s="30" t="s">
        <v>2425</v>
      </c>
      <c r="D1179" s="32">
        <v>75780</v>
      </c>
      <c r="E1179" s="30" t="s">
        <v>15</v>
      </c>
      <c r="F1179" s="30"/>
      <c r="G1179" s="30"/>
      <c r="H1179" s="30" t="s">
        <v>48</v>
      </c>
      <c r="I1179" s="31" t="s">
        <v>29</v>
      </c>
    </row>
    <row r="1180" spans="2:9" s="6" customFormat="1" ht="11.25" customHeight="1" x14ac:dyDescent="0.55000000000000004">
      <c r="B1180" s="30" t="s">
        <v>2426</v>
      </c>
      <c r="C1180" s="30" t="s">
        <v>2427</v>
      </c>
      <c r="D1180" s="32">
        <v>74799</v>
      </c>
      <c r="E1180" s="30" t="s">
        <v>20</v>
      </c>
      <c r="F1180" s="30" t="s">
        <v>1022</v>
      </c>
      <c r="G1180" s="30" t="s">
        <v>35</v>
      </c>
      <c r="H1180" s="30" t="s">
        <v>45</v>
      </c>
      <c r="I1180" s="31">
        <v>8106.8140000000003</v>
      </c>
    </row>
    <row r="1181" spans="2:9" s="6" customFormat="1" ht="11.25" customHeight="1" x14ac:dyDescent="0.55000000000000004">
      <c r="B1181" s="30" t="s">
        <v>2428</v>
      </c>
      <c r="C1181" s="30" t="s">
        <v>2429</v>
      </c>
      <c r="D1181" s="32">
        <v>75540</v>
      </c>
      <c r="E1181" s="30" t="s">
        <v>15</v>
      </c>
      <c r="F1181" s="30"/>
      <c r="G1181" s="30"/>
      <c r="H1181" s="30" t="s">
        <v>22</v>
      </c>
      <c r="I1181" s="31" t="s">
        <v>29</v>
      </c>
    </row>
    <row r="1182" spans="2:9" s="6" customFormat="1" ht="11.25" customHeight="1" x14ac:dyDescent="0.55000000000000004">
      <c r="B1182" s="30" t="s">
        <v>2430</v>
      </c>
      <c r="C1182" s="30" t="s">
        <v>2431</v>
      </c>
      <c r="D1182" s="32">
        <v>10236</v>
      </c>
      <c r="E1182" s="30" t="s">
        <v>20</v>
      </c>
      <c r="F1182" s="30" t="s">
        <v>1505</v>
      </c>
      <c r="G1182" s="30" t="s">
        <v>35</v>
      </c>
      <c r="H1182" s="30" t="s">
        <v>500</v>
      </c>
      <c r="I1182" s="31">
        <v>6261.31</v>
      </c>
    </row>
    <row r="1183" spans="2:9" s="6" customFormat="1" ht="11.25" customHeight="1" x14ac:dyDescent="0.55000000000000004">
      <c r="B1183" s="30" t="s">
        <v>742</v>
      </c>
      <c r="C1183" s="30" t="s">
        <v>2432</v>
      </c>
      <c r="D1183" s="32" t="s">
        <v>29</v>
      </c>
      <c r="E1183" s="30" t="s">
        <v>20</v>
      </c>
      <c r="F1183" s="30" t="s">
        <v>742</v>
      </c>
      <c r="G1183" s="30" t="s">
        <v>155</v>
      </c>
      <c r="H1183" s="30" t="s">
        <v>52</v>
      </c>
      <c r="I1183" s="31">
        <v>6213031.7110000001</v>
      </c>
    </row>
    <row r="1184" spans="2:9" s="6" customFormat="1" ht="11.25" customHeight="1" x14ac:dyDescent="0.55000000000000004">
      <c r="B1184" s="30" t="s">
        <v>2433</v>
      </c>
      <c r="C1184" s="30" t="s">
        <v>2434</v>
      </c>
      <c r="D1184" s="32">
        <v>65293</v>
      </c>
      <c r="E1184" s="30" t="s">
        <v>15</v>
      </c>
      <c r="F1184" s="30"/>
      <c r="G1184" s="30"/>
      <c r="H1184" s="30" t="s">
        <v>113</v>
      </c>
      <c r="I1184" s="31" t="s">
        <v>29</v>
      </c>
    </row>
    <row r="1185" spans="2:9" s="6" customFormat="1" ht="11.25" customHeight="1" x14ac:dyDescent="0.55000000000000004">
      <c r="B1185" s="30" t="s">
        <v>2435</v>
      </c>
      <c r="C1185" s="30" t="s">
        <v>2436</v>
      </c>
      <c r="D1185" s="32">
        <v>71595</v>
      </c>
      <c r="E1185" s="30" t="s">
        <v>20</v>
      </c>
      <c r="F1185" s="30"/>
      <c r="G1185" s="30" t="s">
        <v>21</v>
      </c>
      <c r="H1185" s="30" t="s">
        <v>86</v>
      </c>
      <c r="I1185" s="31">
        <v>33856.046999999999</v>
      </c>
    </row>
    <row r="1186" spans="2:9" s="6" customFormat="1" ht="11.25" customHeight="1" x14ac:dyDescent="0.55000000000000004">
      <c r="B1186" s="30" t="s">
        <v>2437</v>
      </c>
      <c r="C1186" s="30" t="s">
        <v>2438</v>
      </c>
      <c r="D1186" s="32">
        <v>99805</v>
      </c>
      <c r="E1186" s="30" t="s">
        <v>15</v>
      </c>
      <c r="F1186" s="30" t="s">
        <v>2043</v>
      </c>
      <c r="G1186" s="30" t="s">
        <v>35</v>
      </c>
      <c r="H1186" s="30" t="s">
        <v>113</v>
      </c>
      <c r="I1186" s="31" t="s">
        <v>29</v>
      </c>
    </row>
    <row r="1187" spans="2:9" s="6" customFormat="1" ht="11.25" customHeight="1" x14ac:dyDescent="0.55000000000000004">
      <c r="B1187" s="30" t="s">
        <v>310</v>
      </c>
      <c r="C1187" s="30" t="s">
        <v>2439</v>
      </c>
      <c r="D1187" s="32" t="s">
        <v>29</v>
      </c>
      <c r="E1187" s="30" t="s">
        <v>20</v>
      </c>
      <c r="F1187" s="30" t="s">
        <v>310</v>
      </c>
      <c r="G1187" s="30" t="s">
        <v>155</v>
      </c>
      <c r="H1187" s="30" t="s">
        <v>113</v>
      </c>
      <c r="I1187" s="31">
        <v>2448747.7779999999</v>
      </c>
    </row>
    <row r="1188" spans="2:9" s="6" customFormat="1" ht="11.25" customHeight="1" x14ac:dyDescent="0.55000000000000004">
      <c r="B1188" s="30" t="s">
        <v>2440</v>
      </c>
      <c r="C1188" s="30" t="s">
        <v>2441</v>
      </c>
      <c r="D1188" s="32">
        <v>68543</v>
      </c>
      <c r="E1188" s="30" t="s">
        <v>20</v>
      </c>
      <c r="F1188" s="30" t="s">
        <v>310</v>
      </c>
      <c r="G1188" s="30" t="s">
        <v>155</v>
      </c>
      <c r="H1188" s="30" t="s">
        <v>113</v>
      </c>
      <c r="I1188" s="31">
        <v>2006201.895</v>
      </c>
    </row>
    <row r="1189" spans="2:9" s="6" customFormat="1" ht="11.25" customHeight="1" x14ac:dyDescent="0.55000000000000004">
      <c r="B1189" s="30" t="s">
        <v>2442</v>
      </c>
      <c r="C1189" s="30" t="s">
        <v>2443</v>
      </c>
      <c r="D1189" s="32">
        <v>65323</v>
      </c>
      <c r="E1189" s="30" t="s">
        <v>15</v>
      </c>
      <c r="F1189" s="30" t="s">
        <v>273</v>
      </c>
      <c r="G1189" s="30"/>
      <c r="H1189" s="30" t="s">
        <v>655</v>
      </c>
      <c r="I1189" s="31" t="s">
        <v>29</v>
      </c>
    </row>
    <row r="1190" spans="2:9" s="6" customFormat="1" ht="11.25" customHeight="1" x14ac:dyDescent="0.55000000000000004">
      <c r="B1190" s="30" t="s">
        <v>2444</v>
      </c>
      <c r="C1190" s="30" t="s">
        <v>2445</v>
      </c>
      <c r="D1190" s="32">
        <v>65331</v>
      </c>
      <c r="E1190" s="30" t="s">
        <v>20</v>
      </c>
      <c r="F1190" s="30" t="s">
        <v>396</v>
      </c>
      <c r="G1190" s="30" t="s">
        <v>35</v>
      </c>
      <c r="H1190" s="30" t="s">
        <v>113</v>
      </c>
      <c r="I1190" s="31">
        <v>8043501.2460000003</v>
      </c>
    </row>
    <row r="1191" spans="2:9" s="6" customFormat="1" ht="11.25" customHeight="1" x14ac:dyDescent="0.55000000000000004">
      <c r="B1191" s="30" t="s">
        <v>2446</v>
      </c>
      <c r="C1191" s="30" t="s">
        <v>2447</v>
      </c>
      <c r="D1191" s="32">
        <v>77887</v>
      </c>
      <c r="E1191" s="30" t="s">
        <v>15</v>
      </c>
      <c r="F1191" s="30"/>
      <c r="G1191" s="30"/>
      <c r="H1191" s="30" t="s">
        <v>75</v>
      </c>
      <c r="I1191" s="31" t="s">
        <v>29</v>
      </c>
    </row>
    <row r="1192" spans="2:9" s="6" customFormat="1" ht="11.25" customHeight="1" x14ac:dyDescent="0.55000000000000004">
      <c r="B1192" s="30" t="s">
        <v>2448</v>
      </c>
      <c r="C1192" s="30" t="s">
        <v>2449</v>
      </c>
      <c r="D1192" s="32">
        <v>85677</v>
      </c>
      <c r="E1192" s="30" t="s">
        <v>20</v>
      </c>
      <c r="F1192" s="30" t="s">
        <v>2094</v>
      </c>
      <c r="G1192" s="30" t="s">
        <v>80</v>
      </c>
      <c r="H1192" s="30" t="s">
        <v>45</v>
      </c>
      <c r="I1192" s="31">
        <v>4302.643</v>
      </c>
    </row>
    <row r="1193" spans="2:9" s="6" customFormat="1" ht="11.25" customHeight="1" x14ac:dyDescent="0.55000000000000004">
      <c r="B1193" s="30" t="s">
        <v>2450</v>
      </c>
      <c r="C1193" s="30" t="s">
        <v>2451</v>
      </c>
      <c r="D1193" s="32">
        <v>75027</v>
      </c>
      <c r="E1193" s="30" t="s">
        <v>20</v>
      </c>
      <c r="F1193" s="30"/>
      <c r="G1193" s="30" t="s">
        <v>35</v>
      </c>
      <c r="H1193" s="30" t="s">
        <v>22</v>
      </c>
      <c r="I1193" s="31">
        <v>4470.4409999999998</v>
      </c>
    </row>
    <row r="1194" spans="2:9" s="6" customFormat="1" ht="11.25" customHeight="1" x14ac:dyDescent="0.55000000000000004">
      <c r="B1194" s="30" t="s">
        <v>2454</v>
      </c>
      <c r="C1194" s="30" t="s">
        <v>2455</v>
      </c>
      <c r="D1194" s="32">
        <v>78140</v>
      </c>
      <c r="E1194" s="30" t="s">
        <v>20</v>
      </c>
      <c r="F1194" s="30" t="s">
        <v>831</v>
      </c>
      <c r="G1194" s="30" t="s">
        <v>35</v>
      </c>
      <c r="H1194" s="30" t="s">
        <v>124</v>
      </c>
      <c r="I1194" s="31">
        <v>172846.95699999999</v>
      </c>
    </row>
    <row r="1195" spans="2:9" s="6" customFormat="1" ht="11.25" customHeight="1" x14ac:dyDescent="0.55000000000000004">
      <c r="B1195" s="30" t="s">
        <v>2456</v>
      </c>
      <c r="C1195" s="30" t="s">
        <v>2457</v>
      </c>
      <c r="D1195" s="32">
        <v>89133</v>
      </c>
      <c r="E1195" s="30" t="s">
        <v>15</v>
      </c>
      <c r="F1195" s="30" t="s">
        <v>307</v>
      </c>
      <c r="G1195" s="30"/>
      <c r="H1195" s="30" t="s">
        <v>108</v>
      </c>
      <c r="I1195" s="31" t="s">
        <v>29</v>
      </c>
    </row>
    <row r="1196" spans="2:9" s="6" customFormat="1" ht="11.25" customHeight="1" x14ac:dyDescent="0.55000000000000004">
      <c r="B1196" s="30" t="s">
        <v>2458</v>
      </c>
      <c r="C1196" s="30" t="s">
        <v>2459</v>
      </c>
      <c r="D1196" s="32">
        <v>65498</v>
      </c>
      <c r="E1196" s="30" t="s">
        <v>20</v>
      </c>
      <c r="F1196" s="30" t="s">
        <v>293</v>
      </c>
      <c r="G1196" s="30" t="s">
        <v>129</v>
      </c>
      <c r="H1196" s="30" t="s">
        <v>75</v>
      </c>
      <c r="I1196" s="31">
        <v>9469345.0370000005</v>
      </c>
    </row>
    <row r="1197" spans="2:9" s="6" customFormat="1" ht="11.25" customHeight="1" x14ac:dyDescent="0.55000000000000004">
      <c r="B1197" s="30" t="s">
        <v>2460</v>
      </c>
      <c r="C1197" s="30" t="s">
        <v>2461</v>
      </c>
      <c r="D1197" s="32">
        <v>65498</v>
      </c>
      <c r="E1197" s="30" t="s">
        <v>20</v>
      </c>
      <c r="F1197" s="30"/>
      <c r="G1197" s="30"/>
      <c r="H1197" s="30" t="s">
        <v>75</v>
      </c>
      <c r="I1197" s="31" t="s">
        <v>29</v>
      </c>
    </row>
    <row r="1198" spans="2:9" s="6" customFormat="1" ht="11.25" customHeight="1" x14ac:dyDescent="0.55000000000000004">
      <c r="B1198" s="30" t="s">
        <v>2462</v>
      </c>
      <c r="C1198" s="30" t="s">
        <v>2463</v>
      </c>
      <c r="D1198" s="32">
        <v>65498</v>
      </c>
      <c r="E1198" s="30" t="s">
        <v>20</v>
      </c>
      <c r="F1198" s="30"/>
      <c r="G1198" s="30"/>
      <c r="H1198" s="30" t="s">
        <v>75</v>
      </c>
      <c r="I1198" s="31" t="s">
        <v>29</v>
      </c>
    </row>
    <row r="1199" spans="2:9" s="6" customFormat="1" ht="11.25" customHeight="1" x14ac:dyDescent="0.55000000000000004">
      <c r="B1199" s="30" t="s">
        <v>2464</v>
      </c>
      <c r="C1199" s="30" t="s">
        <v>2465</v>
      </c>
      <c r="D1199" s="32">
        <v>65412</v>
      </c>
      <c r="E1199" s="30" t="s">
        <v>20</v>
      </c>
      <c r="F1199" s="30"/>
      <c r="G1199" s="30" t="s">
        <v>39</v>
      </c>
      <c r="H1199" s="30" t="s">
        <v>48</v>
      </c>
      <c r="I1199" s="31">
        <v>126782.802</v>
      </c>
    </row>
    <row r="1200" spans="2:9" s="6" customFormat="1" ht="11.25" customHeight="1" x14ac:dyDescent="0.55000000000000004">
      <c r="B1200" s="30" t="s">
        <v>2466</v>
      </c>
      <c r="C1200" s="30" t="s">
        <v>2467</v>
      </c>
      <c r="D1200" s="32">
        <v>65471</v>
      </c>
      <c r="E1200" s="30" t="s">
        <v>15</v>
      </c>
      <c r="F1200" s="30" t="s">
        <v>182</v>
      </c>
      <c r="G1200" s="30"/>
      <c r="H1200" s="30" t="s">
        <v>30</v>
      </c>
      <c r="I1200" s="31" t="s">
        <v>29</v>
      </c>
    </row>
    <row r="1201" spans="2:9" s="6" customFormat="1" ht="11.25" customHeight="1" x14ac:dyDescent="0.55000000000000004">
      <c r="B1201" s="30" t="s">
        <v>2468</v>
      </c>
      <c r="C1201" s="30" t="s">
        <v>2469</v>
      </c>
      <c r="D1201" s="32">
        <v>65471</v>
      </c>
      <c r="E1201" s="30" t="s">
        <v>15</v>
      </c>
      <c r="F1201" s="30"/>
      <c r="G1201" s="30"/>
      <c r="H1201" s="30" t="s">
        <v>30</v>
      </c>
      <c r="I1201" s="31" t="s">
        <v>29</v>
      </c>
    </row>
    <row r="1202" spans="2:9" s="6" customFormat="1" ht="11.25" customHeight="1" x14ac:dyDescent="0.55000000000000004">
      <c r="B1202" s="30" t="s">
        <v>2470</v>
      </c>
      <c r="C1202" s="30" t="s">
        <v>2471</v>
      </c>
      <c r="D1202" s="32">
        <v>75094</v>
      </c>
      <c r="E1202" s="30" t="s">
        <v>20</v>
      </c>
      <c r="F1202" s="30"/>
      <c r="G1202" s="30" t="s">
        <v>80</v>
      </c>
      <c r="H1202" s="30" t="s">
        <v>66</v>
      </c>
      <c r="I1202" s="31">
        <v>10784.777</v>
      </c>
    </row>
    <row r="1203" spans="2:9" s="6" customFormat="1" ht="11.25" customHeight="1" x14ac:dyDescent="0.55000000000000004">
      <c r="B1203" s="30" t="s">
        <v>2472</v>
      </c>
      <c r="C1203" s="30" t="s">
        <v>2473</v>
      </c>
      <c r="D1203" s="32">
        <v>65528</v>
      </c>
      <c r="E1203" s="30" t="s">
        <v>20</v>
      </c>
      <c r="F1203" s="30" t="s">
        <v>2474</v>
      </c>
      <c r="G1203" s="30" t="s">
        <v>265</v>
      </c>
      <c r="H1203" s="30" t="s">
        <v>113</v>
      </c>
      <c r="I1203" s="31">
        <v>22877628.104000002</v>
      </c>
    </row>
    <row r="1204" spans="2:9" s="6" customFormat="1" ht="11.25" customHeight="1" x14ac:dyDescent="0.55000000000000004">
      <c r="B1204" s="30" t="s">
        <v>2475</v>
      </c>
      <c r="C1204" s="30" t="s">
        <v>2476</v>
      </c>
      <c r="D1204" s="32">
        <v>64130</v>
      </c>
      <c r="E1204" s="30" t="s">
        <v>15</v>
      </c>
      <c r="F1204" s="30" t="s">
        <v>62</v>
      </c>
      <c r="G1204" s="30" t="s">
        <v>39</v>
      </c>
      <c r="H1204" s="30" t="s">
        <v>63</v>
      </c>
      <c r="I1204" s="31" t="s">
        <v>29</v>
      </c>
    </row>
    <row r="1205" spans="2:9" s="6" customFormat="1" ht="11.25" customHeight="1" x14ac:dyDescent="0.55000000000000004">
      <c r="B1205" s="30" t="s">
        <v>2477</v>
      </c>
      <c r="C1205" s="30" t="s">
        <v>2478</v>
      </c>
      <c r="D1205" s="32">
        <v>64130</v>
      </c>
      <c r="E1205" s="30" t="s">
        <v>15</v>
      </c>
      <c r="F1205" s="30"/>
      <c r="G1205" s="30"/>
      <c r="H1205" s="30" t="s">
        <v>63</v>
      </c>
      <c r="I1205" s="31" t="s">
        <v>29</v>
      </c>
    </row>
    <row r="1206" spans="2:9" s="6" customFormat="1" ht="11.25" customHeight="1" x14ac:dyDescent="0.55000000000000004">
      <c r="B1206" s="30" t="s">
        <v>2479</v>
      </c>
      <c r="C1206" s="30" t="s">
        <v>2480</v>
      </c>
      <c r="D1206" s="32">
        <v>76848</v>
      </c>
      <c r="E1206" s="30" t="s">
        <v>15</v>
      </c>
      <c r="F1206" s="30" t="s">
        <v>2481</v>
      </c>
      <c r="G1206" s="30" t="s">
        <v>39</v>
      </c>
      <c r="H1206" s="30" t="s">
        <v>113</v>
      </c>
      <c r="I1206" s="31" t="s">
        <v>29</v>
      </c>
    </row>
    <row r="1207" spans="2:9" s="6" customFormat="1" ht="11.25" customHeight="1" x14ac:dyDescent="0.55000000000000004">
      <c r="B1207" s="30" t="s">
        <v>2482</v>
      </c>
      <c r="C1207" s="30" t="s">
        <v>2483</v>
      </c>
      <c r="D1207" s="32">
        <v>81132</v>
      </c>
      <c r="E1207" s="30" t="s">
        <v>20</v>
      </c>
      <c r="F1207" s="30" t="s">
        <v>2481</v>
      </c>
      <c r="G1207" s="30" t="s">
        <v>39</v>
      </c>
      <c r="H1207" s="30" t="s">
        <v>113</v>
      </c>
      <c r="I1207" s="31">
        <v>8696.3420000000006</v>
      </c>
    </row>
    <row r="1208" spans="2:9" s="6" customFormat="1" ht="11.25" customHeight="1" x14ac:dyDescent="0.55000000000000004">
      <c r="B1208" s="30" t="s">
        <v>2484</v>
      </c>
      <c r="C1208" s="30" t="s">
        <v>2485</v>
      </c>
      <c r="D1208" s="32">
        <v>93254</v>
      </c>
      <c r="E1208" s="30" t="s">
        <v>15</v>
      </c>
      <c r="F1208" s="30"/>
      <c r="G1208" s="30"/>
      <c r="H1208" s="30" t="s">
        <v>52</v>
      </c>
      <c r="I1208" s="31" t="s">
        <v>29</v>
      </c>
    </row>
    <row r="1209" spans="2:9" s="6" customFormat="1" ht="11.25" customHeight="1" x14ac:dyDescent="0.55000000000000004">
      <c r="B1209" s="30" t="s">
        <v>2486</v>
      </c>
      <c r="C1209" s="30" t="s">
        <v>2487</v>
      </c>
      <c r="D1209" s="32">
        <v>97691</v>
      </c>
      <c r="E1209" s="30" t="s">
        <v>20</v>
      </c>
      <c r="F1209" s="30" t="s">
        <v>728</v>
      </c>
      <c r="G1209" s="30" t="s">
        <v>80</v>
      </c>
      <c r="H1209" s="30" t="s">
        <v>262</v>
      </c>
      <c r="I1209" s="31">
        <v>131215.932</v>
      </c>
    </row>
    <row r="1210" spans="2:9" s="6" customFormat="1" ht="11.25" customHeight="1" x14ac:dyDescent="0.55000000000000004">
      <c r="B1210" s="30" t="s">
        <v>2488</v>
      </c>
      <c r="C1210" s="30" t="s">
        <v>2489</v>
      </c>
      <c r="D1210" s="32">
        <v>65560</v>
      </c>
      <c r="E1210" s="30" t="s">
        <v>15</v>
      </c>
      <c r="F1210" s="30"/>
      <c r="G1210" s="30" t="s">
        <v>16</v>
      </c>
      <c r="H1210" s="30" t="s">
        <v>113</v>
      </c>
      <c r="I1210" s="31" t="s">
        <v>29</v>
      </c>
    </row>
    <row r="1211" spans="2:9" s="6" customFormat="1" ht="11.25" customHeight="1" x14ac:dyDescent="0.55000000000000004">
      <c r="B1211" s="30" t="s">
        <v>2490</v>
      </c>
      <c r="C1211" s="30" t="s">
        <v>2491</v>
      </c>
      <c r="D1211" s="32">
        <v>91898</v>
      </c>
      <c r="E1211" s="30" t="s">
        <v>20</v>
      </c>
      <c r="F1211" s="30"/>
      <c r="G1211" s="30" t="s">
        <v>39</v>
      </c>
      <c r="H1211" s="30" t="s">
        <v>239</v>
      </c>
      <c r="I1211" s="31">
        <v>2673939.1490000002</v>
      </c>
    </row>
    <row r="1212" spans="2:9" s="6" customFormat="1" ht="11.25" customHeight="1" x14ac:dyDescent="0.55000000000000004">
      <c r="B1212" s="30" t="s">
        <v>2492</v>
      </c>
      <c r="C1212" s="30" t="s">
        <v>2493</v>
      </c>
      <c r="D1212" s="32">
        <v>73008</v>
      </c>
      <c r="E1212" s="30" t="s">
        <v>15</v>
      </c>
      <c r="F1212" s="30"/>
      <c r="G1212" s="30" t="s">
        <v>16</v>
      </c>
      <c r="H1212" s="30" t="s">
        <v>239</v>
      </c>
      <c r="I1212" s="31" t="s">
        <v>29</v>
      </c>
    </row>
    <row r="1213" spans="2:9" s="6" customFormat="1" ht="11.25" customHeight="1" x14ac:dyDescent="0.55000000000000004">
      <c r="B1213" s="30" t="s">
        <v>2494</v>
      </c>
      <c r="C1213" s="30" t="s">
        <v>2495</v>
      </c>
      <c r="D1213" s="32">
        <v>94200</v>
      </c>
      <c r="E1213" s="30" t="s">
        <v>15</v>
      </c>
      <c r="F1213" s="30" t="s">
        <v>1000</v>
      </c>
      <c r="G1213" s="30"/>
      <c r="H1213" s="30" t="s">
        <v>113</v>
      </c>
      <c r="I1213" s="31" t="s">
        <v>29</v>
      </c>
    </row>
    <row r="1214" spans="2:9" s="6" customFormat="1" ht="11.25" customHeight="1" x14ac:dyDescent="0.55000000000000004">
      <c r="B1214" s="30" t="s">
        <v>2496</v>
      </c>
      <c r="C1214" s="30" t="s">
        <v>2497</v>
      </c>
      <c r="D1214" s="32">
        <v>97985</v>
      </c>
      <c r="E1214" s="30" t="s">
        <v>20</v>
      </c>
      <c r="F1214" s="30" t="s">
        <v>1142</v>
      </c>
      <c r="G1214" s="30" t="s">
        <v>21</v>
      </c>
      <c r="H1214" s="30" t="s">
        <v>2498</v>
      </c>
      <c r="I1214" s="31">
        <v>103590.985</v>
      </c>
    </row>
    <row r="1215" spans="2:9" s="6" customFormat="1" ht="11.25" customHeight="1" x14ac:dyDescent="0.55000000000000004">
      <c r="B1215" s="30" t="s">
        <v>2499</v>
      </c>
      <c r="C1215" s="30" t="s">
        <v>2500</v>
      </c>
      <c r="D1215" s="32">
        <v>66613</v>
      </c>
      <c r="E1215" s="30" t="s">
        <v>15</v>
      </c>
      <c r="F1215" s="30"/>
      <c r="G1215" s="30" t="s">
        <v>21</v>
      </c>
      <c r="H1215" s="30" t="s">
        <v>113</v>
      </c>
      <c r="I1215" s="31" t="s">
        <v>29</v>
      </c>
    </row>
    <row r="1216" spans="2:9" s="6" customFormat="1" ht="11.25" customHeight="1" x14ac:dyDescent="0.55000000000000004">
      <c r="B1216" s="30" t="s">
        <v>2501</v>
      </c>
      <c r="C1216" s="30" t="s">
        <v>2502</v>
      </c>
      <c r="D1216" s="32">
        <v>12606</v>
      </c>
      <c r="E1216" s="30" t="s">
        <v>15</v>
      </c>
      <c r="F1216" s="30"/>
      <c r="G1216" s="30" t="s">
        <v>39</v>
      </c>
      <c r="H1216" s="30" t="s">
        <v>30</v>
      </c>
      <c r="I1216" s="31" t="s">
        <v>29</v>
      </c>
    </row>
    <row r="1217" spans="2:9" s="6" customFormat="1" ht="11.25" customHeight="1" x14ac:dyDescent="0.55000000000000004">
      <c r="B1217" s="30" t="s">
        <v>2503</v>
      </c>
      <c r="C1217" s="30" t="s">
        <v>2504</v>
      </c>
      <c r="D1217" s="32">
        <v>77720</v>
      </c>
      <c r="E1217" s="30" t="s">
        <v>20</v>
      </c>
      <c r="F1217" s="30"/>
      <c r="G1217" s="30" t="s">
        <v>39</v>
      </c>
      <c r="H1217" s="30" t="s">
        <v>30</v>
      </c>
      <c r="I1217" s="31">
        <v>467118.55599999998</v>
      </c>
    </row>
    <row r="1218" spans="2:9" s="6" customFormat="1" ht="11.25" customHeight="1" x14ac:dyDescent="0.55000000000000004">
      <c r="B1218" s="30" t="s">
        <v>2505</v>
      </c>
      <c r="C1218" s="30" t="s">
        <v>2506</v>
      </c>
      <c r="D1218" s="32">
        <v>99724</v>
      </c>
      <c r="E1218" s="30" t="s">
        <v>20</v>
      </c>
      <c r="F1218" s="30" t="s">
        <v>2094</v>
      </c>
      <c r="G1218" s="30" t="s">
        <v>21</v>
      </c>
      <c r="H1218" s="30" t="s">
        <v>45</v>
      </c>
      <c r="I1218" s="31">
        <v>81194.327000000005</v>
      </c>
    </row>
    <row r="1219" spans="2:9" s="6" customFormat="1" ht="11.25" customHeight="1" x14ac:dyDescent="0.55000000000000004">
      <c r="B1219" s="30" t="s">
        <v>2507</v>
      </c>
      <c r="C1219" s="30" t="s">
        <v>2508</v>
      </c>
      <c r="D1219" s="32">
        <v>92509</v>
      </c>
      <c r="E1219" s="30" t="s">
        <v>15</v>
      </c>
      <c r="F1219" s="30" t="s">
        <v>153</v>
      </c>
      <c r="G1219" s="30"/>
      <c r="H1219" s="30" t="s">
        <v>156</v>
      </c>
      <c r="I1219" s="31" t="s">
        <v>29</v>
      </c>
    </row>
    <row r="1220" spans="2:9" s="6" customFormat="1" ht="11.25" customHeight="1" x14ac:dyDescent="0.55000000000000004">
      <c r="B1220" s="30" t="s">
        <v>2509</v>
      </c>
      <c r="C1220" s="30" t="s">
        <v>2510</v>
      </c>
      <c r="D1220" s="32">
        <v>94188</v>
      </c>
      <c r="E1220" s="30" t="s">
        <v>20</v>
      </c>
      <c r="F1220" s="30" t="s">
        <v>59</v>
      </c>
      <c r="G1220" s="30" t="s">
        <v>21</v>
      </c>
      <c r="H1220" s="30" t="s">
        <v>17</v>
      </c>
      <c r="I1220" s="31">
        <v>249549.932</v>
      </c>
    </row>
    <row r="1221" spans="2:9" s="6" customFormat="1" ht="11.25" customHeight="1" x14ac:dyDescent="0.55000000000000004">
      <c r="B1221" s="30" t="s">
        <v>2511</v>
      </c>
      <c r="C1221" s="30" t="s">
        <v>2512</v>
      </c>
      <c r="D1221" s="32">
        <v>60139</v>
      </c>
      <c r="E1221" s="30" t="s">
        <v>15</v>
      </c>
      <c r="F1221" s="30" t="s">
        <v>137</v>
      </c>
      <c r="G1221" s="30"/>
      <c r="H1221" s="30" t="s">
        <v>124</v>
      </c>
      <c r="I1221" s="31" t="s">
        <v>29</v>
      </c>
    </row>
    <row r="1222" spans="2:9" s="6" customFormat="1" ht="11.25" customHeight="1" x14ac:dyDescent="0.55000000000000004">
      <c r="B1222" s="30" t="s">
        <v>2513</v>
      </c>
      <c r="C1222" s="30" t="s">
        <v>2514</v>
      </c>
      <c r="D1222" s="32">
        <v>60139</v>
      </c>
      <c r="E1222" s="30" t="s">
        <v>15</v>
      </c>
      <c r="F1222" s="30"/>
      <c r="G1222" s="30"/>
      <c r="H1222" s="30" t="s">
        <v>124</v>
      </c>
      <c r="I1222" s="31" t="s">
        <v>29</v>
      </c>
    </row>
    <row r="1223" spans="2:9" s="6" customFormat="1" ht="11.25" customHeight="1" x14ac:dyDescent="0.55000000000000004">
      <c r="B1223" s="30" t="s">
        <v>2515</v>
      </c>
      <c r="C1223" s="30" t="s">
        <v>2516</v>
      </c>
      <c r="D1223" s="32">
        <v>65579</v>
      </c>
      <c r="E1223" s="30" t="s">
        <v>15</v>
      </c>
      <c r="F1223" s="30" t="s">
        <v>709</v>
      </c>
      <c r="G1223" s="30"/>
      <c r="H1223" s="30" t="s">
        <v>150</v>
      </c>
      <c r="I1223" s="31" t="s">
        <v>29</v>
      </c>
    </row>
    <row r="1224" spans="2:9" s="6" customFormat="1" ht="11.25" customHeight="1" x14ac:dyDescent="0.55000000000000004">
      <c r="B1224" s="30" t="s">
        <v>2517</v>
      </c>
      <c r="C1224" s="30" t="s">
        <v>2518</v>
      </c>
      <c r="D1224" s="32">
        <v>65595</v>
      </c>
      <c r="E1224" s="30" t="s">
        <v>20</v>
      </c>
      <c r="F1224" s="30" t="s">
        <v>1976</v>
      </c>
      <c r="G1224" s="30" t="s">
        <v>16</v>
      </c>
      <c r="H1224" s="30" t="s">
        <v>40</v>
      </c>
      <c r="I1224" s="31">
        <v>9172932.4470000006</v>
      </c>
    </row>
    <row r="1225" spans="2:9" s="6" customFormat="1" ht="11.25" customHeight="1" x14ac:dyDescent="0.55000000000000004">
      <c r="B1225" s="30" t="s">
        <v>2519</v>
      </c>
      <c r="C1225" s="30" t="s">
        <v>2520</v>
      </c>
      <c r="D1225" s="32">
        <v>65595</v>
      </c>
      <c r="E1225" s="30" t="s">
        <v>20</v>
      </c>
      <c r="F1225" s="30"/>
      <c r="G1225" s="30"/>
      <c r="H1225" s="30" t="s">
        <v>40</v>
      </c>
      <c r="I1225" s="31" t="s">
        <v>29</v>
      </c>
    </row>
    <row r="1226" spans="2:9" s="6" customFormat="1" ht="11.25" customHeight="1" x14ac:dyDescent="0.55000000000000004">
      <c r="B1226" s="30" t="s">
        <v>2521</v>
      </c>
      <c r="C1226" s="30" t="s">
        <v>2522</v>
      </c>
      <c r="D1226" s="32">
        <v>65595</v>
      </c>
      <c r="E1226" s="30" t="s">
        <v>20</v>
      </c>
      <c r="F1226" s="30"/>
      <c r="G1226" s="30"/>
      <c r="H1226" s="30" t="s">
        <v>40</v>
      </c>
      <c r="I1226" s="31" t="s">
        <v>29</v>
      </c>
    </row>
    <row r="1227" spans="2:9" s="6" customFormat="1" ht="11.25" customHeight="1" x14ac:dyDescent="0.55000000000000004">
      <c r="B1227" s="30" t="s">
        <v>2523</v>
      </c>
      <c r="C1227" s="30" t="s">
        <v>2524</v>
      </c>
      <c r="D1227" s="32">
        <v>65668</v>
      </c>
      <c r="E1227" s="30" t="s">
        <v>15</v>
      </c>
      <c r="F1227" s="30" t="s">
        <v>615</v>
      </c>
      <c r="G1227" s="30"/>
      <c r="H1227" s="30" t="s">
        <v>40</v>
      </c>
      <c r="I1227" s="31" t="s">
        <v>29</v>
      </c>
    </row>
    <row r="1228" spans="2:9" s="6" customFormat="1" ht="11.25" customHeight="1" x14ac:dyDescent="0.55000000000000004">
      <c r="B1228" s="30" t="s">
        <v>137</v>
      </c>
      <c r="C1228" s="30" t="s">
        <v>2525</v>
      </c>
      <c r="D1228" s="32" t="s">
        <v>29</v>
      </c>
      <c r="E1228" s="30" t="s">
        <v>20</v>
      </c>
      <c r="F1228" s="30" t="s">
        <v>137</v>
      </c>
      <c r="G1228" s="30" t="s">
        <v>155</v>
      </c>
      <c r="H1228" s="30" t="s">
        <v>75</v>
      </c>
      <c r="I1228" s="31">
        <v>286344340.12099999</v>
      </c>
    </row>
    <row r="1229" spans="2:9" s="6" customFormat="1" ht="11.25" customHeight="1" x14ac:dyDescent="0.55000000000000004">
      <c r="B1229" s="30" t="s">
        <v>2526</v>
      </c>
      <c r="C1229" s="30" t="s">
        <v>2527</v>
      </c>
      <c r="D1229" s="32" t="s">
        <v>29</v>
      </c>
      <c r="E1229" s="30" t="s">
        <v>20</v>
      </c>
      <c r="F1229" s="30"/>
      <c r="G1229" s="30"/>
      <c r="H1229" s="30" t="s">
        <v>75</v>
      </c>
      <c r="I1229" s="31" t="s">
        <v>29</v>
      </c>
    </row>
    <row r="1230" spans="2:9" s="6" customFormat="1" ht="11.25" customHeight="1" x14ac:dyDescent="0.55000000000000004">
      <c r="B1230" s="30" t="s">
        <v>2528</v>
      </c>
      <c r="C1230" s="30" t="s">
        <v>2529</v>
      </c>
      <c r="D1230" s="32">
        <v>65927</v>
      </c>
      <c r="E1230" s="30" t="s">
        <v>20</v>
      </c>
      <c r="F1230" s="30"/>
      <c r="G1230" s="30" t="s">
        <v>35</v>
      </c>
      <c r="H1230" s="30" t="s">
        <v>105</v>
      </c>
      <c r="I1230" s="31">
        <v>1092253.416</v>
      </c>
    </row>
    <row r="1231" spans="2:9" s="6" customFormat="1" ht="11.25" customHeight="1" x14ac:dyDescent="0.55000000000000004">
      <c r="B1231" s="30" t="s">
        <v>2530</v>
      </c>
      <c r="C1231" s="30" t="s">
        <v>2531</v>
      </c>
      <c r="D1231" s="32">
        <v>65609</v>
      </c>
      <c r="E1231" s="30" t="s">
        <v>15</v>
      </c>
      <c r="F1231" s="30"/>
      <c r="G1231" s="30"/>
      <c r="H1231" s="30" t="s">
        <v>105</v>
      </c>
      <c r="I1231" s="31" t="s">
        <v>29</v>
      </c>
    </row>
    <row r="1232" spans="2:9" s="6" customFormat="1" ht="11.25" customHeight="1" x14ac:dyDescent="0.55000000000000004">
      <c r="B1232" s="30" t="s">
        <v>2532</v>
      </c>
      <c r="C1232" s="30" t="s">
        <v>2533</v>
      </c>
      <c r="D1232" s="32">
        <v>65625</v>
      </c>
      <c r="E1232" s="30" t="s">
        <v>15</v>
      </c>
      <c r="F1232" s="30" t="s">
        <v>182</v>
      </c>
      <c r="G1232" s="30"/>
      <c r="H1232" s="30" t="s">
        <v>96</v>
      </c>
      <c r="I1232" s="31" t="s">
        <v>29</v>
      </c>
    </row>
    <row r="1233" spans="2:9" s="6" customFormat="1" ht="11.25" customHeight="1" x14ac:dyDescent="0.55000000000000004">
      <c r="B1233" s="30" t="s">
        <v>2534</v>
      </c>
      <c r="C1233" s="30" t="s">
        <v>2535</v>
      </c>
      <c r="D1233" s="32">
        <v>62057</v>
      </c>
      <c r="E1233" s="30" t="s">
        <v>20</v>
      </c>
      <c r="F1233" s="30" t="s">
        <v>137</v>
      </c>
      <c r="G1233" s="30" t="s">
        <v>265</v>
      </c>
      <c r="H1233" s="30" t="s">
        <v>150</v>
      </c>
      <c r="I1233" s="31">
        <v>15653834.948000001</v>
      </c>
    </row>
    <row r="1234" spans="2:9" s="6" customFormat="1" ht="11.25" customHeight="1" x14ac:dyDescent="0.55000000000000004">
      <c r="B1234" s="30" t="s">
        <v>2536</v>
      </c>
      <c r="C1234" s="30" t="s">
        <v>2537</v>
      </c>
      <c r="D1234" s="32">
        <v>62057</v>
      </c>
      <c r="E1234" s="30" t="s">
        <v>20</v>
      </c>
      <c r="F1234" s="30"/>
      <c r="G1234" s="30"/>
      <c r="H1234" s="30" t="s">
        <v>150</v>
      </c>
      <c r="I1234" s="31" t="s">
        <v>29</v>
      </c>
    </row>
    <row r="1235" spans="2:9" s="6" customFormat="1" ht="11.25" customHeight="1" x14ac:dyDescent="0.55000000000000004">
      <c r="B1235" s="30" t="s">
        <v>2538</v>
      </c>
      <c r="C1235" s="30" t="s">
        <v>2539</v>
      </c>
      <c r="D1235" s="32">
        <v>62057</v>
      </c>
      <c r="E1235" s="30" t="s">
        <v>20</v>
      </c>
      <c r="F1235" s="30"/>
      <c r="G1235" s="30"/>
      <c r="H1235" s="30" t="s">
        <v>150</v>
      </c>
      <c r="I1235" s="31" t="s">
        <v>29</v>
      </c>
    </row>
    <row r="1236" spans="2:9" s="6" customFormat="1" ht="11.25" customHeight="1" x14ac:dyDescent="0.55000000000000004">
      <c r="B1236" s="30" t="s">
        <v>2540</v>
      </c>
      <c r="C1236" s="30" t="s">
        <v>2541</v>
      </c>
      <c r="D1236" s="32">
        <v>65633</v>
      </c>
      <c r="E1236" s="30" t="s">
        <v>15</v>
      </c>
      <c r="F1236" s="30" t="s">
        <v>182</v>
      </c>
      <c r="G1236" s="30"/>
      <c r="H1236" s="30" t="s">
        <v>105</v>
      </c>
      <c r="I1236" s="31" t="s">
        <v>29</v>
      </c>
    </row>
    <row r="1237" spans="2:9" s="6" customFormat="1" ht="11.25" customHeight="1" x14ac:dyDescent="0.55000000000000004">
      <c r="B1237" s="30" t="s">
        <v>2542</v>
      </c>
      <c r="C1237" s="30" t="s">
        <v>2543</v>
      </c>
      <c r="D1237" s="32">
        <v>65315</v>
      </c>
      <c r="E1237" s="30" t="s">
        <v>20</v>
      </c>
      <c r="F1237" s="30" t="s">
        <v>137</v>
      </c>
      <c r="G1237" s="30" t="s">
        <v>129</v>
      </c>
      <c r="H1237" s="30" t="s">
        <v>75</v>
      </c>
      <c r="I1237" s="31">
        <v>4269303.4060000004</v>
      </c>
    </row>
    <row r="1238" spans="2:9" s="6" customFormat="1" ht="11.25" customHeight="1" x14ac:dyDescent="0.55000000000000004">
      <c r="B1238" s="30" t="s">
        <v>2544</v>
      </c>
      <c r="C1238" s="30" t="s">
        <v>2545</v>
      </c>
      <c r="D1238" s="32">
        <v>65315</v>
      </c>
      <c r="E1238" s="30" t="s">
        <v>20</v>
      </c>
      <c r="F1238" s="30"/>
      <c r="G1238" s="30"/>
      <c r="H1238" s="30" t="s">
        <v>75</v>
      </c>
      <c r="I1238" s="31" t="s">
        <v>29</v>
      </c>
    </row>
    <row r="1239" spans="2:9" s="6" customFormat="1" ht="11.25" customHeight="1" x14ac:dyDescent="0.55000000000000004">
      <c r="B1239" s="30" t="s">
        <v>2546</v>
      </c>
      <c r="C1239" s="30" t="s">
        <v>2547</v>
      </c>
      <c r="D1239" s="32">
        <v>65315</v>
      </c>
      <c r="E1239" s="30" t="s">
        <v>20</v>
      </c>
      <c r="F1239" s="30"/>
      <c r="G1239" s="30"/>
      <c r="H1239" s="30" t="s">
        <v>75</v>
      </c>
      <c r="I1239" s="31" t="s">
        <v>29</v>
      </c>
    </row>
    <row r="1240" spans="2:9" s="6" customFormat="1" ht="11.25" customHeight="1" x14ac:dyDescent="0.55000000000000004">
      <c r="B1240" s="30" t="s">
        <v>2548</v>
      </c>
      <c r="C1240" s="30" t="s">
        <v>2549</v>
      </c>
      <c r="D1240" s="32">
        <v>69833</v>
      </c>
      <c r="E1240" s="30" t="s">
        <v>15</v>
      </c>
      <c r="F1240" s="30"/>
      <c r="G1240" s="30" t="s">
        <v>35</v>
      </c>
      <c r="H1240" s="30" t="s">
        <v>113</v>
      </c>
      <c r="I1240" s="31" t="s">
        <v>29</v>
      </c>
    </row>
    <row r="1241" spans="2:9" s="6" customFormat="1" ht="11.25" customHeight="1" x14ac:dyDescent="0.55000000000000004">
      <c r="B1241" s="30" t="s">
        <v>2550</v>
      </c>
      <c r="C1241" s="30" t="s">
        <v>2551</v>
      </c>
      <c r="D1241" s="32">
        <v>65676</v>
      </c>
      <c r="E1241" s="30" t="s">
        <v>20</v>
      </c>
      <c r="F1241" s="30" t="s">
        <v>137</v>
      </c>
      <c r="G1241" s="30" t="s">
        <v>155</v>
      </c>
      <c r="H1241" s="30" t="s">
        <v>150</v>
      </c>
      <c r="I1241" s="31">
        <v>267230224.882</v>
      </c>
    </row>
    <row r="1242" spans="2:9" s="6" customFormat="1" ht="11.25" customHeight="1" x14ac:dyDescent="0.55000000000000004">
      <c r="B1242" s="30" t="s">
        <v>2552</v>
      </c>
      <c r="C1242" s="30" t="s">
        <v>2553</v>
      </c>
      <c r="D1242" s="32">
        <v>65676</v>
      </c>
      <c r="E1242" s="30" t="s">
        <v>20</v>
      </c>
      <c r="F1242" s="30"/>
      <c r="G1242" s="30"/>
      <c r="H1242" s="30" t="s">
        <v>150</v>
      </c>
      <c r="I1242" s="31" t="s">
        <v>29</v>
      </c>
    </row>
    <row r="1243" spans="2:9" s="6" customFormat="1" ht="11.25" customHeight="1" x14ac:dyDescent="0.55000000000000004">
      <c r="B1243" s="30" t="s">
        <v>2554</v>
      </c>
      <c r="C1243" s="30" t="s">
        <v>2555</v>
      </c>
      <c r="D1243" s="32">
        <v>65676</v>
      </c>
      <c r="E1243" s="30" t="s">
        <v>20</v>
      </c>
      <c r="F1243" s="30"/>
      <c r="G1243" s="30"/>
      <c r="H1243" s="30" t="s">
        <v>150</v>
      </c>
      <c r="I1243" s="31" t="s">
        <v>29</v>
      </c>
    </row>
    <row r="1244" spans="2:9" s="6" customFormat="1" ht="11.25" customHeight="1" x14ac:dyDescent="0.55000000000000004">
      <c r="B1244" s="30" t="s">
        <v>2556</v>
      </c>
      <c r="C1244" s="30" t="s">
        <v>2557</v>
      </c>
      <c r="D1244" s="32">
        <v>65676</v>
      </c>
      <c r="E1244" s="30" t="s">
        <v>20</v>
      </c>
      <c r="F1244" s="30"/>
      <c r="G1244" s="30"/>
      <c r="H1244" s="30" t="s">
        <v>150</v>
      </c>
      <c r="I1244" s="31" t="s">
        <v>29</v>
      </c>
    </row>
    <row r="1245" spans="2:9" s="6" customFormat="1" ht="11.25" customHeight="1" x14ac:dyDescent="0.55000000000000004">
      <c r="B1245" s="30" t="s">
        <v>2558</v>
      </c>
      <c r="C1245" s="30" t="s">
        <v>2559</v>
      </c>
      <c r="D1245" s="32">
        <v>97039</v>
      </c>
      <c r="E1245" s="30" t="s">
        <v>15</v>
      </c>
      <c r="F1245" s="30" t="s">
        <v>1393</v>
      </c>
      <c r="G1245" s="30"/>
      <c r="H1245" s="30" t="s">
        <v>150</v>
      </c>
      <c r="I1245" s="31" t="s">
        <v>29</v>
      </c>
    </row>
    <row r="1246" spans="2:9" s="6" customFormat="1" ht="11.25" customHeight="1" x14ac:dyDescent="0.55000000000000004">
      <c r="B1246" s="30" t="s">
        <v>2560</v>
      </c>
      <c r="C1246" s="30" t="s">
        <v>2561</v>
      </c>
      <c r="D1246" s="32">
        <v>61620</v>
      </c>
      <c r="E1246" s="30" t="s">
        <v>15</v>
      </c>
      <c r="F1246" s="30" t="s">
        <v>1124</v>
      </c>
      <c r="G1246" s="30"/>
      <c r="H1246" s="30" t="s">
        <v>124</v>
      </c>
      <c r="I1246" s="31" t="s">
        <v>29</v>
      </c>
    </row>
    <row r="1247" spans="2:9" s="6" customFormat="1" ht="11.25" customHeight="1" x14ac:dyDescent="0.55000000000000004">
      <c r="B1247" s="30" t="s">
        <v>2562</v>
      </c>
      <c r="C1247" s="30" t="s">
        <v>2563</v>
      </c>
      <c r="D1247" s="32">
        <v>89451</v>
      </c>
      <c r="E1247" s="30" t="s">
        <v>15</v>
      </c>
      <c r="F1247" s="30"/>
      <c r="G1247" s="30"/>
      <c r="H1247" s="30" t="s">
        <v>105</v>
      </c>
      <c r="I1247" s="31" t="s">
        <v>29</v>
      </c>
    </row>
    <row r="1248" spans="2:9" s="6" customFormat="1" ht="11.25" customHeight="1" x14ac:dyDescent="0.55000000000000004">
      <c r="B1248" s="30" t="s">
        <v>2564</v>
      </c>
      <c r="C1248" s="30" t="s">
        <v>2565</v>
      </c>
      <c r="D1248" s="32">
        <v>80500</v>
      </c>
      <c r="E1248" s="30" t="s">
        <v>15</v>
      </c>
      <c r="F1248" s="30"/>
      <c r="G1248" s="30"/>
      <c r="H1248" s="30" t="s">
        <v>48</v>
      </c>
      <c r="I1248" s="31" t="s">
        <v>29</v>
      </c>
    </row>
    <row r="1249" spans="2:9" s="6" customFormat="1" ht="11.25" customHeight="1" x14ac:dyDescent="0.55000000000000004">
      <c r="B1249" s="30" t="s">
        <v>2566</v>
      </c>
      <c r="C1249" s="30" t="s">
        <v>2567</v>
      </c>
      <c r="D1249" s="32">
        <v>87920</v>
      </c>
      <c r="E1249" s="30" t="s">
        <v>20</v>
      </c>
      <c r="F1249" s="30"/>
      <c r="G1249" s="30" t="s">
        <v>35</v>
      </c>
      <c r="H1249" s="30" t="s">
        <v>30</v>
      </c>
      <c r="I1249" s="31">
        <v>83405.337</v>
      </c>
    </row>
    <row r="1250" spans="2:9" s="6" customFormat="1" ht="11.25" customHeight="1" x14ac:dyDescent="0.55000000000000004">
      <c r="B1250" s="30" t="s">
        <v>2568</v>
      </c>
      <c r="C1250" s="30" t="s">
        <v>2569</v>
      </c>
      <c r="D1250" s="32" t="s">
        <v>29</v>
      </c>
      <c r="E1250" s="30" t="s">
        <v>20</v>
      </c>
      <c r="F1250" s="30" t="s">
        <v>2568</v>
      </c>
      <c r="G1250" s="30" t="s">
        <v>155</v>
      </c>
      <c r="H1250" s="30" t="s">
        <v>75</v>
      </c>
      <c r="I1250" s="31">
        <v>7374323.2390000001</v>
      </c>
    </row>
    <row r="1251" spans="2:9" s="6" customFormat="1" ht="11.25" customHeight="1" x14ac:dyDescent="0.55000000000000004">
      <c r="B1251" s="30" t="s">
        <v>2570</v>
      </c>
      <c r="C1251" s="30" t="s">
        <v>2571</v>
      </c>
      <c r="D1251" s="32">
        <v>73059</v>
      </c>
      <c r="E1251" s="30" t="s">
        <v>20</v>
      </c>
      <c r="F1251" s="30" t="s">
        <v>2568</v>
      </c>
      <c r="G1251" s="30" t="s">
        <v>25</v>
      </c>
      <c r="H1251" s="30" t="s">
        <v>75</v>
      </c>
      <c r="I1251" s="31">
        <v>4778.6440000000002</v>
      </c>
    </row>
    <row r="1252" spans="2:9" s="6" customFormat="1" ht="11.25" customHeight="1" x14ac:dyDescent="0.55000000000000004">
      <c r="B1252" s="30" t="s">
        <v>2572</v>
      </c>
      <c r="C1252" s="30" t="s">
        <v>2573</v>
      </c>
      <c r="D1252" s="32">
        <v>60232</v>
      </c>
      <c r="E1252" s="30" t="s">
        <v>20</v>
      </c>
      <c r="F1252" s="30" t="s">
        <v>2568</v>
      </c>
      <c r="G1252" s="30" t="s">
        <v>265</v>
      </c>
      <c r="H1252" s="30" t="s">
        <v>75</v>
      </c>
      <c r="I1252" s="31">
        <v>7374043.8040000005</v>
      </c>
    </row>
    <row r="1253" spans="2:9" s="6" customFormat="1" ht="11.25" customHeight="1" x14ac:dyDescent="0.55000000000000004">
      <c r="B1253" s="30" t="s">
        <v>2574</v>
      </c>
      <c r="C1253" s="30" t="s">
        <v>2575</v>
      </c>
      <c r="D1253" s="32">
        <v>60232</v>
      </c>
      <c r="E1253" s="30" t="s">
        <v>20</v>
      </c>
      <c r="F1253" s="30"/>
      <c r="G1253" s="30"/>
      <c r="H1253" s="30" t="s">
        <v>75</v>
      </c>
      <c r="I1253" s="31" t="s">
        <v>29</v>
      </c>
    </row>
    <row r="1254" spans="2:9" s="6" customFormat="1" ht="11.25" customHeight="1" x14ac:dyDescent="0.55000000000000004">
      <c r="B1254" s="30" t="s">
        <v>2576</v>
      </c>
      <c r="C1254" s="30" t="s">
        <v>2577</v>
      </c>
      <c r="D1254" s="32">
        <v>60232</v>
      </c>
      <c r="E1254" s="30" t="s">
        <v>20</v>
      </c>
      <c r="F1254" s="30"/>
      <c r="G1254" s="30"/>
      <c r="H1254" s="30" t="s">
        <v>75</v>
      </c>
      <c r="I1254" s="31" t="s">
        <v>29</v>
      </c>
    </row>
    <row r="1255" spans="2:9" s="6" customFormat="1" ht="11.25" customHeight="1" x14ac:dyDescent="0.55000000000000004">
      <c r="B1255" s="30" t="s">
        <v>2578</v>
      </c>
      <c r="C1255" s="30" t="s">
        <v>2579</v>
      </c>
      <c r="D1255" s="32">
        <v>83550</v>
      </c>
      <c r="E1255" s="30" t="s">
        <v>20</v>
      </c>
      <c r="F1255" s="30" t="s">
        <v>884</v>
      </c>
      <c r="G1255" s="30" t="s">
        <v>35</v>
      </c>
      <c r="H1255" s="30" t="s">
        <v>75</v>
      </c>
      <c r="I1255" s="31">
        <v>19582.38</v>
      </c>
    </row>
    <row r="1256" spans="2:9" s="6" customFormat="1" ht="11.25" customHeight="1" x14ac:dyDescent="0.55000000000000004">
      <c r="B1256" s="30" t="s">
        <v>2580</v>
      </c>
      <c r="C1256" s="30" t="s">
        <v>2581</v>
      </c>
      <c r="D1256" s="32">
        <v>77470</v>
      </c>
      <c r="E1256" s="30" t="s">
        <v>15</v>
      </c>
      <c r="F1256" s="30"/>
      <c r="G1256" s="30"/>
      <c r="H1256" s="30"/>
      <c r="I1256" s="31" t="s">
        <v>29</v>
      </c>
    </row>
    <row r="1257" spans="2:9" s="6" customFormat="1" ht="11.25" customHeight="1" x14ac:dyDescent="0.55000000000000004">
      <c r="B1257" s="30" t="s">
        <v>2582</v>
      </c>
      <c r="C1257" s="30" t="s">
        <v>2583</v>
      </c>
      <c r="D1257" s="32">
        <v>76694</v>
      </c>
      <c r="E1257" s="30" t="s">
        <v>20</v>
      </c>
      <c r="F1257" s="30" t="s">
        <v>884</v>
      </c>
      <c r="G1257" s="30" t="s">
        <v>25</v>
      </c>
      <c r="H1257" s="30" t="s">
        <v>75</v>
      </c>
      <c r="I1257" s="31">
        <v>144105.25599999999</v>
      </c>
    </row>
    <row r="1258" spans="2:9" s="6" customFormat="1" ht="11.25" customHeight="1" x14ac:dyDescent="0.55000000000000004">
      <c r="B1258" s="30" t="s">
        <v>2584</v>
      </c>
      <c r="C1258" s="30" t="s">
        <v>2585</v>
      </c>
      <c r="D1258" s="32">
        <v>68934</v>
      </c>
      <c r="E1258" s="30" t="s">
        <v>15</v>
      </c>
      <c r="F1258" s="30"/>
      <c r="G1258" s="30"/>
      <c r="H1258" s="30" t="s">
        <v>239</v>
      </c>
      <c r="I1258" s="31" t="s">
        <v>29</v>
      </c>
    </row>
    <row r="1259" spans="2:9" s="6" customFormat="1" ht="11.25" customHeight="1" x14ac:dyDescent="0.55000000000000004">
      <c r="B1259" s="30" t="s">
        <v>2586</v>
      </c>
      <c r="C1259" s="30" t="s">
        <v>2587</v>
      </c>
      <c r="D1259" s="32">
        <v>68934</v>
      </c>
      <c r="E1259" s="30" t="s">
        <v>15</v>
      </c>
      <c r="F1259" s="30"/>
      <c r="G1259" s="30"/>
      <c r="H1259" s="30" t="s">
        <v>239</v>
      </c>
      <c r="I1259" s="31" t="s">
        <v>29</v>
      </c>
    </row>
    <row r="1260" spans="2:9" s="6" customFormat="1" ht="11.25" customHeight="1" x14ac:dyDescent="0.55000000000000004">
      <c r="B1260" s="30" t="s">
        <v>2588</v>
      </c>
      <c r="C1260" s="30" t="s">
        <v>2589</v>
      </c>
      <c r="D1260" s="32">
        <v>65692</v>
      </c>
      <c r="E1260" s="30" t="s">
        <v>15</v>
      </c>
      <c r="F1260" s="30" t="s">
        <v>182</v>
      </c>
      <c r="G1260" s="30"/>
      <c r="H1260" s="30" t="s">
        <v>113</v>
      </c>
      <c r="I1260" s="31" t="s">
        <v>29</v>
      </c>
    </row>
    <row r="1261" spans="2:9" s="6" customFormat="1" ht="11.25" customHeight="1" x14ac:dyDescent="0.55000000000000004">
      <c r="B1261" s="30" t="s">
        <v>2590</v>
      </c>
      <c r="C1261" s="30" t="s">
        <v>2591</v>
      </c>
      <c r="D1261" s="32">
        <v>99759</v>
      </c>
      <c r="E1261" s="30" t="s">
        <v>15</v>
      </c>
      <c r="F1261" s="30"/>
      <c r="G1261" s="30"/>
      <c r="H1261" s="30" t="s">
        <v>113</v>
      </c>
      <c r="I1261" s="31" t="s">
        <v>29</v>
      </c>
    </row>
    <row r="1262" spans="2:9" s="6" customFormat="1" ht="11.25" customHeight="1" x14ac:dyDescent="0.55000000000000004">
      <c r="B1262" s="30" t="s">
        <v>2592</v>
      </c>
      <c r="C1262" s="30" t="s">
        <v>2593</v>
      </c>
      <c r="D1262" s="32">
        <v>62090</v>
      </c>
      <c r="E1262" s="30" t="s">
        <v>15</v>
      </c>
      <c r="F1262" s="30"/>
      <c r="G1262" s="30"/>
      <c r="H1262" s="30" t="s">
        <v>22</v>
      </c>
      <c r="I1262" s="31" t="s">
        <v>29</v>
      </c>
    </row>
    <row r="1263" spans="2:9" s="6" customFormat="1" ht="11.25" customHeight="1" x14ac:dyDescent="0.55000000000000004">
      <c r="B1263" s="30" t="s">
        <v>2594</v>
      </c>
      <c r="C1263" s="30" t="s">
        <v>2595</v>
      </c>
      <c r="D1263" s="32">
        <v>60640</v>
      </c>
      <c r="E1263" s="30" t="s">
        <v>15</v>
      </c>
      <c r="F1263" s="30"/>
      <c r="G1263" s="30"/>
      <c r="H1263" s="30" t="s">
        <v>105</v>
      </c>
      <c r="I1263" s="31" t="s">
        <v>29</v>
      </c>
    </row>
    <row r="1264" spans="2:9" s="6" customFormat="1" ht="11.25" customHeight="1" x14ac:dyDescent="0.55000000000000004">
      <c r="B1264" s="30" t="s">
        <v>1613</v>
      </c>
      <c r="C1264" s="30" t="s">
        <v>2596</v>
      </c>
      <c r="D1264" s="32" t="s">
        <v>29</v>
      </c>
      <c r="E1264" s="30" t="s">
        <v>20</v>
      </c>
      <c r="F1264" s="30" t="s">
        <v>1613</v>
      </c>
      <c r="G1264" s="30" t="s">
        <v>80</v>
      </c>
      <c r="H1264" s="30" t="s">
        <v>66</v>
      </c>
      <c r="I1264" s="31">
        <v>68381.490999999995</v>
      </c>
    </row>
    <row r="1265" spans="2:9" s="6" customFormat="1" ht="11.25" customHeight="1" x14ac:dyDescent="0.55000000000000004">
      <c r="B1265" s="30" t="s">
        <v>2597</v>
      </c>
      <c r="C1265" s="30" t="s">
        <v>2598</v>
      </c>
      <c r="D1265" s="32">
        <v>65722</v>
      </c>
      <c r="E1265" s="30" t="s">
        <v>20</v>
      </c>
      <c r="F1265" s="30" t="s">
        <v>293</v>
      </c>
      <c r="G1265" s="30" t="s">
        <v>39</v>
      </c>
      <c r="H1265" s="30" t="s">
        <v>113</v>
      </c>
      <c r="I1265" s="31">
        <v>367867.44</v>
      </c>
    </row>
    <row r="1266" spans="2:9" s="6" customFormat="1" ht="11.25" customHeight="1" x14ac:dyDescent="0.55000000000000004">
      <c r="B1266" s="30" t="s">
        <v>2599</v>
      </c>
      <c r="C1266" s="30" t="s">
        <v>2600</v>
      </c>
      <c r="D1266" s="32">
        <v>16473</v>
      </c>
      <c r="E1266" s="30" t="s">
        <v>20</v>
      </c>
      <c r="F1266" s="30" t="s">
        <v>1393</v>
      </c>
      <c r="G1266" s="30" t="s">
        <v>16</v>
      </c>
      <c r="H1266" s="30" t="s">
        <v>124</v>
      </c>
      <c r="I1266" s="31">
        <v>6283.7510000000002</v>
      </c>
    </row>
    <row r="1267" spans="2:9" s="6" customFormat="1" ht="11.25" customHeight="1" x14ac:dyDescent="0.55000000000000004">
      <c r="B1267" s="30" t="s">
        <v>2601</v>
      </c>
      <c r="C1267" s="30" t="s">
        <v>2602</v>
      </c>
      <c r="D1267" s="32">
        <v>73504</v>
      </c>
      <c r="E1267" s="30" t="s">
        <v>20</v>
      </c>
      <c r="F1267" s="30" t="s">
        <v>1393</v>
      </c>
      <c r="G1267" s="30" t="s">
        <v>35</v>
      </c>
      <c r="H1267" s="30" t="s">
        <v>124</v>
      </c>
      <c r="I1267" s="31">
        <v>127474.037</v>
      </c>
    </row>
    <row r="1268" spans="2:9" s="6" customFormat="1" ht="11.25" customHeight="1" x14ac:dyDescent="0.55000000000000004">
      <c r="B1268" s="30" t="s">
        <v>2603</v>
      </c>
      <c r="C1268" s="30" t="s">
        <v>2604</v>
      </c>
      <c r="D1268" s="32">
        <v>93580</v>
      </c>
      <c r="E1268" s="30" t="s">
        <v>20</v>
      </c>
      <c r="F1268" s="30"/>
      <c r="G1268" s="30" t="s">
        <v>35</v>
      </c>
      <c r="H1268" s="30" t="s">
        <v>2498</v>
      </c>
      <c r="I1268" s="31">
        <v>395383.065</v>
      </c>
    </row>
    <row r="1269" spans="2:9" s="6" customFormat="1" ht="11.25" customHeight="1" x14ac:dyDescent="0.55000000000000004">
      <c r="B1269" s="30" t="s">
        <v>2605</v>
      </c>
      <c r="C1269" s="30" t="s">
        <v>2606</v>
      </c>
      <c r="D1269" s="32">
        <v>82619</v>
      </c>
      <c r="E1269" s="30" t="s">
        <v>15</v>
      </c>
      <c r="F1269" s="30"/>
      <c r="G1269" s="30"/>
      <c r="H1269" s="30" t="s">
        <v>22</v>
      </c>
      <c r="I1269" s="31" t="s">
        <v>29</v>
      </c>
    </row>
    <row r="1270" spans="2:9" s="6" customFormat="1" ht="11.25" customHeight="1" x14ac:dyDescent="0.55000000000000004">
      <c r="B1270" s="30" t="s">
        <v>2607</v>
      </c>
      <c r="C1270" s="30" t="s">
        <v>2608</v>
      </c>
      <c r="D1270" s="32">
        <v>82260</v>
      </c>
      <c r="E1270" s="30" t="s">
        <v>15</v>
      </c>
      <c r="F1270" s="30"/>
      <c r="G1270" s="30"/>
      <c r="H1270" s="30" t="s">
        <v>113</v>
      </c>
      <c r="I1270" s="31" t="s">
        <v>29</v>
      </c>
    </row>
    <row r="1271" spans="2:9" s="6" customFormat="1" ht="11.25" customHeight="1" x14ac:dyDescent="0.55000000000000004">
      <c r="B1271" s="30" t="s">
        <v>2609</v>
      </c>
      <c r="C1271" s="30" t="s">
        <v>2610</v>
      </c>
      <c r="D1271" s="32">
        <v>65781</v>
      </c>
      <c r="E1271" s="30" t="s">
        <v>20</v>
      </c>
      <c r="F1271" s="30" t="s">
        <v>1822</v>
      </c>
      <c r="G1271" s="30" t="s">
        <v>21</v>
      </c>
      <c r="H1271" s="30" t="s">
        <v>146</v>
      </c>
      <c r="I1271" s="31">
        <v>201921.94099999999</v>
      </c>
    </row>
    <row r="1272" spans="2:9" s="6" customFormat="1" ht="11.25" customHeight="1" x14ac:dyDescent="0.55000000000000004">
      <c r="B1272" s="30" t="s">
        <v>2611</v>
      </c>
      <c r="C1272" s="30" t="s">
        <v>2612</v>
      </c>
      <c r="D1272" s="32">
        <v>60023</v>
      </c>
      <c r="E1272" s="30" t="s">
        <v>15</v>
      </c>
      <c r="F1272" s="30"/>
      <c r="G1272" s="30"/>
      <c r="H1272" s="30" t="s">
        <v>108</v>
      </c>
      <c r="I1272" s="31" t="s">
        <v>29</v>
      </c>
    </row>
    <row r="1273" spans="2:9" s="6" customFormat="1" ht="11.25" customHeight="1" x14ac:dyDescent="0.55000000000000004">
      <c r="B1273" s="30" t="s">
        <v>2613</v>
      </c>
      <c r="C1273" s="30" t="s">
        <v>2614</v>
      </c>
      <c r="D1273" s="32">
        <v>75208</v>
      </c>
      <c r="E1273" s="30" t="s">
        <v>20</v>
      </c>
      <c r="F1273" s="30" t="s">
        <v>1000</v>
      </c>
      <c r="G1273" s="30" t="s">
        <v>35</v>
      </c>
      <c r="H1273" s="30" t="s">
        <v>113</v>
      </c>
      <c r="I1273" s="31">
        <v>10831.474</v>
      </c>
    </row>
    <row r="1274" spans="2:9" s="6" customFormat="1" ht="11.25" customHeight="1" x14ac:dyDescent="0.55000000000000004">
      <c r="B1274" s="30" t="s">
        <v>2615</v>
      </c>
      <c r="C1274" s="30" t="s">
        <v>2616</v>
      </c>
      <c r="D1274" s="32">
        <v>75159</v>
      </c>
      <c r="E1274" s="30" t="s">
        <v>20</v>
      </c>
      <c r="F1274" s="30"/>
      <c r="G1274" s="30" t="s">
        <v>35</v>
      </c>
      <c r="H1274" s="30" t="s">
        <v>66</v>
      </c>
      <c r="I1274" s="31" t="s">
        <v>29</v>
      </c>
    </row>
    <row r="1275" spans="2:9" s="6" customFormat="1" ht="11.25" customHeight="1" x14ac:dyDescent="0.55000000000000004">
      <c r="B1275" s="30" t="s">
        <v>2617</v>
      </c>
      <c r="C1275" s="30" t="s">
        <v>2618</v>
      </c>
      <c r="D1275" s="32">
        <v>80489</v>
      </c>
      <c r="E1275" s="30" t="s">
        <v>15</v>
      </c>
      <c r="F1275" s="30"/>
      <c r="G1275" s="30"/>
      <c r="H1275" s="30" t="s">
        <v>105</v>
      </c>
      <c r="I1275" s="31" t="s">
        <v>29</v>
      </c>
    </row>
    <row r="1276" spans="2:9" s="6" customFormat="1" ht="11.25" customHeight="1" x14ac:dyDescent="0.55000000000000004">
      <c r="B1276" s="30" t="s">
        <v>2619</v>
      </c>
      <c r="C1276" s="30" t="s">
        <v>2620</v>
      </c>
      <c r="D1276" s="32">
        <v>65870</v>
      </c>
      <c r="E1276" s="30" t="s">
        <v>20</v>
      </c>
      <c r="F1276" s="30" t="s">
        <v>992</v>
      </c>
      <c r="G1276" s="30" t="s">
        <v>155</v>
      </c>
      <c r="H1276" s="30" t="s">
        <v>113</v>
      </c>
      <c r="I1276" s="31">
        <v>647343.01899999997</v>
      </c>
    </row>
    <row r="1277" spans="2:9" s="6" customFormat="1" ht="11.25" customHeight="1" x14ac:dyDescent="0.55000000000000004">
      <c r="B1277" s="30" t="s">
        <v>2621</v>
      </c>
      <c r="C1277" s="30" t="s">
        <v>2622</v>
      </c>
      <c r="D1277" s="32">
        <v>67083</v>
      </c>
      <c r="E1277" s="30" t="s">
        <v>20</v>
      </c>
      <c r="F1277" s="30" t="s">
        <v>563</v>
      </c>
      <c r="G1277" s="30" t="s">
        <v>35</v>
      </c>
      <c r="H1277" s="30" t="s">
        <v>313</v>
      </c>
      <c r="I1277" s="31">
        <v>144079.55000000002</v>
      </c>
    </row>
    <row r="1278" spans="2:9" s="6" customFormat="1" ht="11.25" customHeight="1" x14ac:dyDescent="0.55000000000000004">
      <c r="B1278" s="30" t="s">
        <v>992</v>
      </c>
      <c r="C1278" s="30" t="s">
        <v>2623</v>
      </c>
      <c r="D1278" s="32" t="s">
        <v>29</v>
      </c>
      <c r="E1278" s="30" t="s">
        <v>20</v>
      </c>
      <c r="F1278" s="30" t="s">
        <v>992</v>
      </c>
      <c r="G1278" s="30" t="s">
        <v>88</v>
      </c>
      <c r="H1278" s="30" t="s">
        <v>113</v>
      </c>
      <c r="I1278" s="31">
        <v>2578644.878</v>
      </c>
    </row>
    <row r="1279" spans="2:9" s="6" customFormat="1" ht="11.25" customHeight="1" x14ac:dyDescent="0.55000000000000004">
      <c r="B1279" s="30" t="s">
        <v>2624</v>
      </c>
      <c r="C1279" s="30" t="s">
        <v>2625</v>
      </c>
      <c r="D1279" s="32">
        <v>61883</v>
      </c>
      <c r="E1279" s="30" t="s">
        <v>20</v>
      </c>
      <c r="F1279" s="30" t="s">
        <v>992</v>
      </c>
      <c r="G1279" s="30" t="s">
        <v>39</v>
      </c>
      <c r="H1279" s="30" t="s">
        <v>113</v>
      </c>
      <c r="I1279" s="31">
        <v>737784.18900000001</v>
      </c>
    </row>
    <row r="1280" spans="2:9" s="6" customFormat="1" ht="11.25" customHeight="1" x14ac:dyDescent="0.55000000000000004">
      <c r="B1280" s="30" t="s">
        <v>2626</v>
      </c>
      <c r="C1280" s="30" t="s">
        <v>2627</v>
      </c>
      <c r="D1280" s="32">
        <v>87793</v>
      </c>
      <c r="E1280" s="30" t="s">
        <v>15</v>
      </c>
      <c r="F1280" s="30" t="s">
        <v>2322</v>
      </c>
      <c r="G1280" s="30"/>
      <c r="H1280" s="30" t="s">
        <v>582</v>
      </c>
      <c r="I1280" s="31" t="s">
        <v>29</v>
      </c>
    </row>
    <row r="1281" spans="2:9" s="6" customFormat="1" ht="11.25" customHeight="1" x14ac:dyDescent="0.55000000000000004">
      <c r="B1281" s="30" t="s">
        <v>2628</v>
      </c>
      <c r="C1281" s="30" t="s">
        <v>2629</v>
      </c>
      <c r="D1281" s="32">
        <v>87793</v>
      </c>
      <c r="E1281" s="30" t="s">
        <v>15</v>
      </c>
      <c r="F1281" s="30"/>
      <c r="G1281" s="30"/>
      <c r="H1281" s="30" t="s">
        <v>582</v>
      </c>
      <c r="I1281" s="31" t="s">
        <v>29</v>
      </c>
    </row>
    <row r="1282" spans="2:9" s="6" customFormat="1" ht="11.25" customHeight="1" x14ac:dyDescent="0.55000000000000004">
      <c r="B1282" s="30" t="s">
        <v>2630</v>
      </c>
      <c r="C1282" s="30" t="s">
        <v>2631</v>
      </c>
      <c r="D1282" s="32">
        <v>90425</v>
      </c>
      <c r="E1282" s="30" t="s">
        <v>15</v>
      </c>
      <c r="F1282" s="30" t="s">
        <v>2322</v>
      </c>
      <c r="G1282" s="30"/>
      <c r="H1282" s="30" t="s">
        <v>582</v>
      </c>
      <c r="I1282" s="31" t="s">
        <v>29</v>
      </c>
    </row>
    <row r="1283" spans="2:9" s="6" customFormat="1" ht="11.25" customHeight="1" x14ac:dyDescent="0.55000000000000004">
      <c r="B1283" s="30" t="s">
        <v>2632</v>
      </c>
      <c r="C1283" s="30" t="s">
        <v>2633</v>
      </c>
      <c r="D1283" s="32">
        <v>90425</v>
      </c>
      <c r="E1283" s="30" t="s">
        <v>15</v>
      </c>
      <c r="F1283" s="30"/>
      <c r="G1283" s="30"/>
      <c r="H1283" s="30" t="s">
        <v>582</v>
      </c>
      <c r="I1283" s="31" t="s">
        <v>29</v>
      </c>
    </row>
    <row r="1284" spans="2:9" s="6" customFormat="1" ht="11.25" customHeight="1" x14ac:dyDescent="0.55000000000000004">
      <c r="B1284" s="30" t="s">
        <v>2634</v>
      </c>
      <c r="C1284" s="30" t="s">
        <v>2635</v>
      </c>
      <c r="D1284" s="32">
        <v>80616</v>
      </c>
      <c r="E1284" s="30" t="s">
        <v>15</v>
      </c>
      <c r="F1284" s="30" t="s">
        <v>2322</v>
      </c>
      <c r="G1284" s="30"/>
      <c r="H1284" s="30"/>
      <c r="I1284" s="31" t="s">
        <v>29</v>
      </c>
    </row>
    <row r="1285" spans="2:9" s="6" customFormat="1" ht="11.25" customHeight="1" x14ac:dyDescent="0.55000000000000004">
      <c r="B1285" s="30" t="s">
        <v>2636</v>
      </c>
      <c r="C1285" s="30" t="s">
        <v>2637</v>
      </c>
      <c r="D1285" s="32">
        <v>98078</v>
      </c>
      <c r="E1285" s="30" t="s">
        <v>15</v>
      </c>
      <c r="F1285" s="30" t="s">
        <v>2322</v>
      </c>
      <c r="G1285" s="30"/>
      <c r="H1285" s="30"/>
      <c r="I1285" s="31" t="s">
        <v>29</v>
      </c>
    </row>
    <row r="1286" spans="2:9" s="6" customFormat="1" ht="11.25" customHeight="1" x14ac:dyDescent="0.55000000000000004">
      <c r="B1286" s="30" t="s">
        <v>2638</v>
      </c>
      <c r="C1286" s="30" t="s">
        <v>2639</v>
      </c>
      <c r="D1286" s="32">
        <v>77054</v>
      </c>
      <c r="E1286" s="30" t="s">
        <v>20</v>
      </c>
      <c r="F1286" s="30"/>
      <c r="G1286" s="30" t="s">
        <v>21</v>
      </c>
      <c r="H1286" s="30" t="s">
        <v>130</v>
      </c>
      <c r="I1286" s="31" t="s">
        <v>29</v>
      </c>
    </row>
    <row r="1287" spans="2:9" s="6" customFormat="1" ht="11.25" customHeight="1" x14ac:dyDescent="0.55000000000000004">
      <c r="B1287" s="30" t="s">
        <v>2640</v>
      </c>
      <c r="C1287" s="30" t="s">
        <v>2641</v>
      </c>
      <c r="D1287" s="32">
        <v>77054</v>
      </c>
      <c r="E1287" s="30" t="s">
        <v>20</v>
      </c>
      <c r="F1287" s="30"/>
      <c r="G1287" s="30"/>
      <c r="H1287" s="30" t="s">
        <v>130</v>
      </c>
      <c r="I1287" s="31" t="s">
        <v>29</v>
      </c>
    </row>
    <row r="1288" spans="2:9" s="6" customFormat="1" ht="11.25" customHeight="1" x14ac:dyDescent="0.55000000000000004">
      <c r="B1288" s="30" t="s">
        <v>2642</v>
      </c>
      <c r="C1288" s="30" t="s">
        <v>2643</v>
      </c>
      <c r="D1288" s="32">
        <v>86966</v>
      </c>
      <c r="E1288" s="30" t="s">
        <v>15</v>
      </c>
      <c r="F1288" s="30"/>
      <c r="G1288" s="30"/>
      <c r="H1288" s="30" t="s">
        <v>22</v>
      </c>
      <c r="I1288" s="31" t="s">
        <v>29</v>
      </c>
    </row>
    <row r="1289" spans="2:9" s="6" customFormat="1" ht="11.25" customHeight="1" x14ac:dyDescent="0.55000000000000004">
      <c r="B1289" s="30" t="s">
        <v>2644</v>
      </c>
      <c r="C1289" s="30" t="s">
        <v>2645</v>
      </c>
      <c r="D1289" s="32">
        <v>92851</v>
      </c>
      <c r="E1289" s="30" t="s">
        <v>15</v>
      </c>
      <c r="F1289" s="30"/>
      <c r="G1289" s="30"/>
      <c r="H1289" s="30" t="s">
        <v>385</v>
      </c>
      <c r="I1289" s="31" t="s">
        <v>29</v>
      </c>
    </row>
    <row r="1290" spans="2:9" s="6" customFormat="1" ht="11.25" customHeight="1" x14ac:dyDescent="0.55000000000000004">
      <c r="B1290" s="30" t="s">
        <v>2646</v>
      </c>
      <c r="C1290" s="30" t="s">
        <v>2647</v>
      </c>
      <c r="D1290" s="32">
        <v>87394</v>
      </c>
      <c r="E1290" s="30" t="s">
        <v>20</v>
      </c>
      <c r="F1290" s="30"/>
      <c r="G1290" s="30" t="s">
        <v>80</v>
      </c>
      <c r="H1290" s="30" t="s">
        <v>500</v>
      </c>
      <c r="I1290" s="31">
        <v>5645.6440000000002</v>
      </c>
    </row>
    <row r="1291" spans="2:9" s="6" customFormat="1" ht="11.25" customHeight="1" x14ac:dyDescent="0.55000000000000004">
      <c r="B1291" s="30" t="s">
        <v>2648</v>
      </c>
      <c r="C1291" s="30" t="s">
        <v>2649</v>
      </c>
      <c r="D1291" s="32">
        <v>71072</v>
      </c>
      <c r="E1291" s="30" t="s">
        <v>15</v>
      </c>
      <c r="F1291" s="30" t="s">
        <v>481</v>
      </c>
      <c r="G1291" s="30" t="s">
        <v>35</v>
      </c>
      <c r="H1291" s="30" t="s">
        <v>262</v>
      </c>
      <c r="I1291" s="31" t="s">
        <v>29</v>
      </c>
    </row>
    <row r="1292" spans="2:9" s="6" customFormat="1" ht="11.25" customHeight="1" x14ac:dyDescent="0.55000000000000004">
      <c r="B1292" s="30" t="s">
        <v>2650</v>
      </c>
      <c r="C1292" s="30" t="s">
        <v>2651</v>
      </c>
      <c r="D1292" s="32">
        <v>98990</v>
      </c>
      <c r="E1292" s="30" t="s">
        <v>15</v>
      </c>
      <c r="F1292" s="30"/>
      <c r="G1292" s="30"/>
      <c r="H1292" s="30" t="s">
        <v>48</v>
      </c>
      <c r="I1292" s="31" t="s">
        <v>29</v>
      </c>
    </row>
    <row r="1293" spans="2:9" s="6" customFormat="1" ht="11.25" customHeight="1" x14ac:dyDescent="0.55000000000000004">
      <c r="B1293" s="30" t="s">
        <v>2652</v>
      </c>
      <c r="C1293" s="30" t="s">
        <v>2653</v>
      </c>
      <c r="D1293" s="32">
        <v>81752</v>
      </c>
      <c r="E1293" s="30" t="s">
        <v>15</v>
      </c>
      <c r="F1293" s="30"/>
      <c r="G1293" s="30"/>
      <c r="H1293" s="30" t="s">
        <v>52</v>
      </c>
      <c r="I1293" s="31" t="s">
        <v>29</v>
      </c>
    </row>
    <row r="1294" spans="2:9" s="6" customFormat="1" ht="11.25" customHeight="1" x14ac:dyDescent="0.55000000000000004">
      <c r="B1294" s="30" t="s">
        <v>2654</v>
      </c>
      <c r="C1294" s="30" t="s">
        <v>2655</v>
      </c>
      <c r="D1294" s="32">
        <v>65935</v>
      </c>
      <c r="E1294" s="30" t="s">
        <v>20</v>
      </c>
      <c r="F1294" s="30" t="s">
        <v>872</v>
      </c>
      <c r="G1294" s="30" t="s">
        <v>265</v>
      </c>
      <c r="H1294" s="30" t="s">
        <v>582</v>
      </c>
      <c r="I1294" s="31">
        <v>268249285.89500001</v>
      </c>
    </row>
    <row r="1295" spans="2:9" s="6" customFormat="1" ht="11.25" customHeight="1" x14ac:dyDescent="0.55000000000000004">
      <c r="B1295" s="30" t="s">
        <v>2656</v>
      </c>
      <c r="C1295" s="30" t="s">
        <v>2657</v>
      </c>
      <c r="D1295" s="32">
        <v>65935</v>
      </c>
      <c r="E1295" s="30" t="s">
        <v>20</v>
      </c>
      <c r="F1295" s="30"/>
      <c r="G1295" s="30"/>
      <c r="H1295" s="30" t="s">
        <v>582</v>
      </c>
      <c r="I1295" s="31" t="s">
        <v>29</v>
      </c>
    </row>
    <row r="1296" spans="2:9" s="6" customFormat="1" ht="11.25" customHeight="1" x14ac:dyDescent="0.55000000000000004">
      <c r="B1296" s="30" t="s">
        <v>2658</v>
      </c>
      <c r="C1296" s="30" t="s">
        <v>2659</v>
      </c>
      <c r="D1296" s="32">
        <v>65935</v>
      </c>
      <c r="E1296" s="30" t="s">
        <v>20</v>
      </c>
      <c r="F1296" s="30"/>
      <c r="G1296" s="30"/>
      <c r="H1296" s="30" t="s">
        <v>582</v>
      </c>
      <c r="I1296" s="31" t="s">
        <v>29</v>
      </c>
    </row>
    <row r="1297" spans="2:9" s="6" customFormat="1" ht="11.25" customHeight="1" x14ac:dyDescent="0.55000000000000004">
      <c r="B1297" s="30" t="s">
        <v>872</v>
      </c>
      <c r="C1297" s="30" t="s">
        <v>2660</v>
      </c>
      <c r="D1297" s="32" t="s">
        <v>29</v>
      </c>
      <c r="E1297" s="30" t="s">
        <v>20</v>
      </c>
      <c r="F1297" s="30" t="s">
        <v>872</v>
      </c>
      <c r="G1297" s="30" t="s">
        <v>265</v>
      </c>
      <c r="H1297" s="30" t="s">
        <v>582</v>
      </c>
      <c r="I1297" s="31">
        <v>279977589.07700002</v>
      </c>
    </row>
    <row r="1298" spans="2:9" s="6" customFormat="1" ht="11.25" customHeight="1" x14ac:dyDescent="0.55000000000000004">
      <c r="B1298" s="30" t="s">
        <v>2661</v>
      </c>
      <c r="C1298" s="30" t="s">
        <v>2662</v>
      </c>
      <c r="D1298" s="32" t="s">
        <v>29</v>
      </c>
      <c r="E1298" s="30" t="s">
        <v>20</v>
      </c>
      <c r="F1298" s="30"/>
      <c r="G1298" s="30" t="s">
        <v>265</v>
      </c>
      <c r="H1298" s="30" t="s">
        <v>582</v>
      </c>
      <c r="I1298" s="31" t="s">
        <v>29</v>
      </c>
    </row>
    <row r="1299" spans="2:9" s="6" customFormat="1" ht="11.25" customHeight="1" x14ac:dyDescent="0.55000000000000004">
      <c r="B1299" s="30" t="s">
        <v>2663</v>
      </c>
      <c r="C1299" s="30" t="s">
        <v>2664</v>
      </c>
      <c r="D1299" s="32">
        <v>69040</v>
      </c>
      <c r="E1299" s="30" t="s">
        <v>15</v>
      </c>
      <c r="F1299" s="30"/>
      <c r="G1299" s="30"/>
      <c r="H1299" s="30" t="s">
        <v>2307</v>
      </c>
      <c r="I1299" s="31" t="s">
        <v>29</v>
      </c>
    </row>
    <row r="1300" spans="2:9" s="6" customFormat="1" ht="11.25" customHeight="1" x14ac:dyDescent="0.55000000000000004">
      <c r="B1300" s="30" t="s">
        <v>2665</v>
      </c>
      <c r="C1300" s="30" t="s">
        <v>2666</v>
      </c>
      <c r="D1300" s="32">
        <v>90476</v>
      </c>
      <c r="E1300" s="30" t="s">
        <v>15</v>
      </c>
      <c r="F1300" s="30"/>
      <c r="G1300" s="30"/>
      <c r="H1300" s="30" t="s">
        <v>500</v>
      </c>
      <c r="I1300" s="31" t="s">
        <v>29</v>
      </c>
    </row>
    <row r="1301" spans="2:9" s="6" customFormat="1" ht="11.25" customHeight="1" x14ac:dyDescent="0.55000000000000004">
      <c r="B1301" s="30" t="s">
        <v>942</v>
      </c>
      <c r="C1301" s="30" t="s">
        <v>2667</v>
      </c>
      <c r="D1301" s="32" t="s">
        <v>29</v>
      </c>
      <c r="E1301" s="30" t="s">
        <v>20</v>
      </c>
      <c r="F1301" s="30" t="s">
        <v>942</v>
      </c>
      <c r="G1301" s="30" t="s">
        <v>35</v>
      </c>
      <c r="H1301" s="30" t="s">
        <v>113</v>
      </c>
      <c r="I1301" s="31">
        <v>108327.783</v>
      </c>
    </row>
    <row r="1302" spans="2:9" s="6" customFormat="1" ht="11.25" customHeight="1" x14ac:dyDescent="0.55000000000000004">
      <c r="B1302" s="30" t="s">
        <v>2668</v>
      </c>
      <c r="C1302" s="30" t="s">
        <v>2669</v>
      </c>
      <c r="D1302" s="32">
        <v>87750</v>
      </c>
      <c r="E1302" s="30" t="s">
        <v>15</v>
      </c>
      <c r="F1302" s="30" t="s">
        <v>307</v>
      </c>
      <c r="G1302" s="30" t="s">
        <v>25</v>
      </c>
      <c r="H1302" s="30" t="s">
        <v>66</v>
      </c>
      <c r="I1302" s="31" t="s">
        <v>29</v>
      </c>
    </row>
    <row r="1303" spans="2:9" s="6" customFormat="1" ht="11.25" customHeight="1" x14ac:dyDescent="0.55000000000000004">
      <c r="B1303" s="30" t="s">
        <v>2670</v>
      </c>
      <c r="C1303" s="30" t="s">
        <v>2671</v>
      </c>
      <c r="D1303" s="32">
        <v>69728</v>
      </c>
      <c r="E1303" s="30" t="s">
        <v>15</v>
      </c>
      <c r="F1303" s="30"/>
      <c r="G1303" s="30"/>
      <c r="H1303" s="30" t="s">
        <v>385</v>
      </c>
      <c r="I1303" s="31" t="s">
        <v>29</v>
      </c>
    </row>
    <row r="1304" spans="2:9" s="6" customFormat="1" ht="11.25" customHeight="1" x14ac:dyDescent="0.55000000000000004">
      <c r="B1304" s="30" t="s">
        <v>2672</v>
      </c>
      <c r="C1304" s="30" t="s">
        <v>2673</v>
      </c>
      <c r="D1304" s="32">
        <v>69728</v>
      </c>
      <c r="E1304" s="30" t="s">
        <v>15</v>
      </c>
      <c r="F1304" s="30"/>
      <c r="G1304" s="30"/>
      <c r="H1304" s="30" t="s">
        <v>385</v>
      </c>
      <c r="I1304" s="31" t="s">
        <v>29</v>
      </c>
    </row>
    <row r="1305" spans="2:9" s="6" customFormat="1" ht="11.25" customHeight="1" x14ac:dyDescent="0.55000000000000004">
      <c r="B1305" s="30" t="s">
        <v>2674</v>
      </c>
      <c r="C1305" s="30" t="s">
        <v>2675</v>
      </c>
      <c r="D1305" s="32">
        <v>84468</v>
      </c>
      <c r="E1305" s="30" t="s">
        <v>15</v>
      </c>
      <c r="F1305" s="30"/>
      <c r="G1305" s="30"/>
      <c r="H1305" s="30" t="s">
        <v>92</v>
      </c>
      <c r="I1305" s="31" t="s">
        <v>29</v>
      </c>
    </row>
    <row r="1306" spans="2:9" s="6" customFormat="1" ht="11.25" customHeight="1" x14ac:dyDescent="0.55000000000000004">
      <c r="B1306" s="30" t="s">
        <v>2676</v>
      </c>
      <c r="C1306" s="30" t="s">
        <v>2677</v>
      </c>
      <c r="D1306" s="32">
        <v>60187</v>
      </c>
      <c r="E1306" s="30" t="s">
        <v>15</v>
      </c>
      <c r="F1306" s="30"/>
      <c r="G1306" s="30"/>
      <c r="H1306" s="30" t="s">
        <v>22</v>
      </c>
      <c r="I1306" s="31" t="s">
        <v>29</v>
      </c>
    </row>
    <row r="1307" spans="2:9" s="6" customFormat="1" ht="11.25" customHeight="1" x14ac:dyDescent="0.55000000000000004">
      <c r="B1307" s="30" t="s">
        <v>2678</v>
      </c>
      <c r="C1307" s="30" t="s">
        <v>2679</v>
      </c>
      <c r="D1307" s="32">
        <v>68020</v>
      </c>
      <c r="E1307" s="30" t="s">
        <v>15</v>
      </c>
      <c r="F1307" s="30"/>
      <c r="G1307" s="30" t="s">
        <v>16</v>
      </c>
      <c r="H1307" s="30" t="s">
        <v>113</v>
      </c>
      <c r="I1307" s="31" t="s">
        <v>29</v>
      </c>
    </row>
    <row r="1308" spans="2:9" s="6" customFormat="1" ht="11.25" customHeight="1" x14ac:dyDescent="0.55000000000000004">
      <c r="B1308" s="30" t="s">
        <v>2680</v>
      </c>
      <c r="C1308" s="30" t="s">
        <v>2681</v>
      </c>
      <c r="D1308" s="32">
        <v>71557</v>
      </c>
      <c r="E1308" s="30" t="s">
        <v>15</v>
      </c>
      <c r="F1308" s="30"/>
      <c r="G1308" s="30"/>
      <c r="H1308" s="30" t="s">
        <v>22</v>
      </c>
      <c r="I1308" s="31" t="s">
        <v>29</v>
      </c>
    </row>
    <row r="1309" spans="2:9" s="6" customFormat="1" ht="11.25" customHeight="1" x14ac:dyDescent="0.55000000000000004">
      <c r="B1309" s="30" t="s">
        <v>2682</v>
      </c>
      <c r="C1309" s="30" t="s">
        <v>2683</v>
      </c>
      <c r="D1309" s="32">
        <v>13789</v>
      </c>
      <c r="E1309" s="30" t="s">
        <v>15</v>
      </c>
      <c r="F1309" s="30"/>
      <c r="G1309" s="30" t="s">
        <v>16</v>
      </c>
      <c r="H1309" s="30" t="s">
        <v>30</v>
      </c>
      <c r="I1309" s="31" t="s">
        <v>29</v>
      </c>
    </row>
    <row r="1310" spans="2:9" s="6" customFormat="1" ht="11.25" customHeight="1" x14ac:dyDescent="0.55000000000000004">
      <c r="B1310" s="30" t="s">
        <v>2684</v>
      </c>
      <c r="C1310" s="30" t="s">
        <v>2685</v>
      </c>
      <c r="D1310" s="32">
        <v>60030</v>
      </c>
      <c r="E1310" s="30" t="s">
        <v>20</v>
      </c>
      <c r="F1310" s="30"/>
      <c r="G1310" s="30" t="s">
        <v>21</v>
      </c>
      <c r="H1310" s="30" t="s">
        <v>130</v>
      </c>
      <c r="I1310" s="31" t="s">
        <v>29</v>
      </c>
    </row>
    <row r="1311" spans="2:9" s="6" customFormat="1" ht="11.25" customHeight="1" x14ac:dyDescent="0.55000000000000004">
      <c r="B1311" s="30" t="s">
        <v>2686</v>
      </c>
      <c r="C1311" s="30" t="s">
        <v>2687</v>
      </c>
      <c r="D1311" s="32">
        <v>94590</v>
      </c>
      <c r="E1311" s="30" t="s">
        <v>15</v>
      </c>
      <c r="F1311" s="30"/>
      <c r="G1311" s="30"/>
      <c r="H1311" s="30" t="s">
        <v>113</v>
      </c>
      <c r="I1311" s="31" t="s">
        <v>29</v>
      </c>
    </row>
    <row r="1312" spans="2:9" s="6" customFormat="1" ht="11.25" customHeight="1" x14ac:dyDescent="0.55000000000000004">
      <c r="B1312" s="30" t="s">
        <v>2688</v>
      </c>
      <c r="C1312" s="30" t="s">
        <v>2689</v>
      </c>
      <c r="D1312" s="32">
        <v>74322</v>
      </c>
      <c r="E1312" s="30" t="s">
        <v>20</v>
      </c>
      <c r="F1312" s="30"/>
      <c r="G1312" s="30" t="s">
        <v>21</v>
      </c>
      <c r="H1312" s="30" t="s">
        <v>313</v>
      </c>
      <c r="I1312" s="31">
        <v>15411.187</v>
      </c>
    </row>
    <row r="1313" spans="2:9" s="6" customFormat="1" ht="11.25" customHeight="1" x14ac:dyDescent="0.55000000000000004">
      <c r="B1313" s="30" t="s">
        <v>2690</v>
      </c>
      <c r="C1313" s="30" t="s">
        <v>2691</v>
      </c>
      <c r="D1313" s="32" t="s">
        <v>29</v>
      </c>
      <c r="E1313" s="30" t="s">
        <v>20</v>
      </c>
      <c r="F1313" s="30" t="s">
        <v>2690</v>
      </c>
      <c r="G1313" s="30" t="s">
        <v>39</v>
      </c>
      <c r="H1313" s="30" t="s">
        <v>124</v>
      </c>
      <c r="I1313" s="31">
        <v>2180108.8769999999</v>
      </c>
    </row>
    <row r="1314" spans="2:9" s="6" customFormat="1" ht="11.25" customHeight="1" x14ac:dyDescent="0.55000000000000004">
      <c r="B1314" s="30" t="s">
        <v>2692</v>
      </c>
      <c r="C1314" s="30" t="s">
        <v>2693</v>
      </c>
      <c r="D1314" s="32">
        <v>69515</v>
      </c>
      <c r="E1314" s="30" t="s">
        <v>20</v>
      </c>
      <c r="F1314" s="30" t="s">
        <v>2690</v>
      </c>
      <c r="G1314" s="30" t="s">
        <v>16</v>
      </c>
      <c r="H1314" s="30" t="s">
        <v>124</v>
      </c>
      <c r="I1314" s="31">
        <v>1126887.6969999999</v>
      </c>
    </row>
    <row r="1315" spans="2:9" s="6" customFormat="1" ht="11.25" customHeight="1" x14ac:dyDescent="0.55000000000000004">
      <c r="B1315" s="30" t="s">
        <v>2694</v>
      </c>
      <c r="C1315" s="30" t="s">
        <v>2695</v>
      </c>
      <c r="D1315" s="32">
        <v>12967</v>
      </c>
      <c r="E1315" s="30" t="s">
        <v>20</v>
      </c>
      <c r="F1315" s="30" t="s">
        <v>2690</v>
      </c>
      <c r="G1315" s="30" t="s">
        <v>39</v>
      </c>
      <c r="H1315" s="30" t="s">
        <v>124</v>
      </c>
      <c r="I1315" s="31">
        <v>63301.08</v>
      </c>
    </row>
    <row r="1316" spans="2:9" s="6" customFormat="1" ht="11.25" customHeight="1" x14ac:dyDescent="0.55000000000000004">
      <c r="B1316" s="30" t="s">
        <v>2696</v>
      </c>
      <c r="C1316" s="30" t="s">
        <v>2697</v>
      </c>
      <c r="D1316" s="32">
        <v>83437</v>
      </c>
      <c r="E1316" s="30" t="s">
        <v>20</v>
      </c>
      <c r="F1316" s="30" t="s">
        <v>2690</v>
      </c>
      <c r="G1316" s="30" t="s">
        <v>39</v>
      </c>
      <c r="H1316" s="30" t="s">
        <v>124</v>
      </c>
      <c r="I1316" s="31">
        <v>996917.67099999997</v>
      </c>
    </row>
    <row r="1317" spans="2:9" s="6" customFormat="1" ht="11.25" customHeight="1" x14ac:dyDescent="0.55000000000000004">
      <c r="B1317" s="30" t="s">
        <v>2698</v>
      </c>
      <c r="C1317" s="30" t="s">
        <v>2699</v>
      </c>
      <c r="D1317" s="32">
        <v>60226</v>
      </c>
      <c r="E1317" s="30" t="s">
        <v>15</v>
      </c>
      <c r="F1317" s="30"/>
      <c r="G1317" s="30"/>
      <c r="H1317" s="30" t="s">
        <v>113</v>
      </c>
      <c r="I1317" s="31" t="s">
        <v>29</v>
      </c>
    </row>
    <row r="1318" spans="2:9" s="6" customFormat="1" ht="11.25" customHeight="1" x14ac:dyDescent="0.55000000000000004">
      <c r="B1318" s="30" t="s">
        <v>2700</v>
      </c>
      <c r="C1318" s="30" t="s">
        <v>2701</v>
      </c>
      <c r="D1318" s="32">
        <v>86991</v>
      </c>
      <c r="E1318" s="30" t="s">
        <v>15</v>
      </c>
      <c r="F1318" s="30" t="s">
        <v>759</v>
      </c>
      <c r="G1318" s="30"/>
      <c r="H1318" s="30" t="s">
        <v>313</v>
      </c>
      <c r="I1318" s="31" t="s">
        <v>29</v>
      </c>
    </row>
    <row r="1319" spans="2:9" s="6" customFormat="1" ht="11.25" customHeight="1" x14ac:dyDescent="0.55000000000000004">
      <c r="B1319" s="30" t="s">
        <v>2702</v>
      </c>
      <c r="C1319" s="30" t="s">
        <v>2703</v>
      </c>
      <c r="D1319" s="32">
        <v>79987</v>
      </c>
      <c r="E1319" s="30" t="s">
        <v>20</v>
      </c>
      <c r="F1319" s="30" t="s">
        <v>331</v>
      </c>
      <c r="G1319" s="30" t="s">
        <v>16</v>
      </c>
      <c r="H1319" s="30" t="s">
        <v>63</v>
      </c>
      <c r="I1319" s="31">
        <v>48375.164000000004</v>
      </c>
    </row>
    <row r="1320" spans="2:9" s="6" customFormat="1" ht="11.25" customHeight="1" x14ac:dyDescent="0.55000000000000004">
      <c r="B1320" s="30" t="s">
        <v>2704</v>
      </c>
      <c r="C1320" s="30" t="s">
        <v>2705</v>
      </c>
      <c r="D1320" s="32">
        <v>31119</v>
      </c>
      <c r="E1320" s="30" t="s">
        <v>20</v>
      </c>
      <c r="F1320" s="30" t="s">
        <v>331</v>
      </c>
      <c r="G1320" s="30" t="s">
        <v>35</v>
      </c>
      <c r="H1320" s="30" t="s">
        <v>63</v>
      </c>
      <c r="I1320" s="31">
        <v>52699.85</v>
      </c>
    </row>
    <row r="1321" spans="2:9" s="6" customFormat="1" ht="11.25" customHeight="1" x14ac:dyDescent="0.55000000000000004">
      <c r="B1321" s="30" t="s">
        <v>2706</v>
      </c>
      <c r="C1321" s="30" t="s">
        <v>2707</v>
      </c>
      <c r="D1321" s="32">
        <v>65641</v>
      </c>
      <c r="E1321" s="30" t="s">
        <v>20</v>
      </c>
      <c r="F1321" s="30" t="s">
        <v>331</v>
      </c>
      <c r="G1321" s="30" t="s">
        <v>16</v>
      </c>
      <c r="H1321" s="30" t="s">
        <v>63</v>
      </c>
      <c r="I1321" s="31">
        <v>14487.19</v>
      </c>
    </row>
    <row r="1322" spans="2:9" s="6" customFormat="1" ht="11.25" customHeight="1" x14ac:dyDescent="0.55000000000000004">
      <c r="B1322" s="30" t="s">
        <v>2708</v>
      </c>
      <c r="C1322" s="30" t="s">
        <v>2709</v>
      </c>
      <c r="D1322" s="32">
        <v>62375</v>
      </c>
      <c r="E1322" s="30" t="s">
        <v>20</v>
      </c>
      <c r="F1322" s="30"/>
      <c r="G1322" s="30" t="s">
        <v>25</v>
      </c>
      <c r="H1322" s="30" t="s">
        <v>313</v>
      </c>
      <c r="I1322" s="31">
        <v>48054.705999999998</v>
      </c>
    </row>
    <row r="1323" spans="2:9" s="6" customFormat="1" ht="11.25" customHeight="1" x14ac:dyDescent="0.55000000000000004">
      <c r="B1323" s="30" t="s">
        <v>2710</v>
      </c>
      <c r="C1323" s="30" t="s">
        <v>2711</v>
      </c>
      <c r="D1323" s="32">
        <v>97055</v>
      </c>
      <c r="E1323" s="30" t="s">
        <v>15</v>
      </c>
      <c r="F1323" s="30" t="s">
        <v>149</v>
      </c>
      <c r="G1323" s="30" t="s">
        <v>21</v>
      </c>
      <c r="H1323" s="30" t="s">
        <v>113</v>
      </c>
      <c r="I1323" s="31" t="s">
        <v>29</v>
      </c>
    </row>
    <row r="1324" spans="2:9" s="6" customFormat="1" ht="11.25" customHeight="1" x14ac:dyDescent="0.55000000000000004">
      <c r="B1324" s="30" t="s">
        <v>2712</v>
      </c>
      <c r="C1324" s="30" t="s">
        <v>2713</v>
      </c>
      <c r="D1324" s="32">
        <v>97055</v>
      </c>
      <c r="E1324" s="30" t="s">
        <v>15</v>
      </c>
      <c r="F1324" s="30"/>
      <c r="G1324" s="30"/>
      <c r="H1324" s="30" t="s">
        <v>113</v>
      </c>
      <c r="I1324" s="31" t="s">
        <v>29</v>
      </c>
    </row>
    <row r="1325" spans="2:9" s="6" customFormat="1" ht="11.25" customHeight="1" x14ac:dyDescent="0.55000000000000004">
      <c r="B1325" s="30" t="s">
        <v>2714</v>
      </c>
      <c r="C1325" s="30" t="s">
        <v>2715</v>
      </c>
      <c r="D1325" s="32">
        <v>97055</v>
      </c>
      <c r="E1325" s="30" t="s">
        <v>15</v>
      </c>
      <c r="F1325" s="30"/>
      <c r="G1325" s="30"/>
      <c r="H1325" s="30" t="s">
        <v>113</v>
      </c>
      <c r="I1325" s="31" t="s">
        <v>29</v>
      </c>
    </row>
    <row r="1326" spans="2:9" s="6" customFormat="1" ht="11.25" customHeight="1" x14ac:dyDescent="0.55000000000000004">
      <c r="B1326" s="30" t="s">
        <v>2716</v>
      </c>
      <c r="C1326" s="30" t="s">
        <v>2717</v>
      </c>
      <c r="D1326" s="32">
        <v>75221</v>
      </c>
      <c r="E1326" s="30" t="s">
        <v>20</v>
      </c>
      <c r="F1326" s="30"/>
      <c r="G1326" s="30" t="s">
        <v>35</v>
      </c>
      <c r="H1326" s="30" t="s">
        <v>66</v>
      </c>
      <c r="I1326" s="31" t="s">
        <v>29</v>
      </c>
    </row>
    <row r="1327" spans="2:9" s="6" customFormat="1" ht="11.25" customHeight="1" x14ac:dyDescent="0.55000000000000004">
      <c r="B1327" s="30" t="s">
        <v>2718</v>
      </c>
      <c r="C1327" s="30" t="s">
        <v>2719</v>
      </c>
      <c r="D1327" s="32">
        <v>75949</v>
      </c>
      <c r="E1327" s="30" t="s">
        <v>15</v>
      </c>
      <c r="F1327" s="30"/>
      <c r="G1327" s="30"/>
      <c r="H1327" s="30" t="s">
        <v>22</v>
      </c>
      <c r="I1327" s="31" t="s">
        <v>29</v>
      </c>
    </row>
    <row r="1328" spans="2:9" s="6" customFormat="1" ht="11.25" customHeight="1" x14ac:dyDescent="0.55000000000000004">
      <c r="B1328" s="30" t="s">
        <v>2720</v>
      </c>
      <c r="C1328" s="30" t="s">
        <v>2721</v>
      </c>
      <c r="D1328" s="32">
        <v>92452</v>
      </c>
      <c r="E1328" s="30" t="s">
        <v>15</v>
      </c>
      <c r="F1328" s="30"/>
      <c r="G1328" s="30" t="s">
        <v>80</v>
      </c>
      <c r="H1328" s="30" t="s">
        <v>75</v>
      </c>
      <c r="I1328" s="31" t="s">
        <v>29</v>
      </c>
    </row>
    <row r="1329" spans="2:9" s="6" customFormat="1" ht="11.25" customHeight="1" x14ac:dyDescent="0.55000000000000004">
      <c r="B1329" s="30" t="s">
        <v>2722</v>
      </c>
      <c r="C1329" s="30" t="s">
        <v>2723</v>
      </c>
      <c r="D1329" s="32">
        <v>88420</v>
      </c>
      <c r="E1329" s="30" t="s">
        <v>15</v>
      </c>
      <c r="F1329" s="30" t="s">
        <v>759</v>
      </c>
      <c r="G1329" s="30"/>
      <c r="H1329" s="30" t="s">
        <v>45</v>
      </c>
      <c r="I1329" s="31" t="s">
        <v>29</v>
      </c>
    </row>
    <row r="1330" spans="2:9" s="6" customFormat="1" ht="11.25" customHeight="1" x14ac:dyDescent="0.55000000000000004">
      <c r="B1330" s="30" t="s">
        <v>2724</v>
      </c>
      <c r="C1330" s="30" t="s">
        <v>2725</v>
      </c>
      <c r="D1330" s="32">
        <v>86126</v>
      </c>
      <c r="E1330" s="30" t="s">
        <v>20</v>
      </c>
      <c r="F1330" s="30" t="s">
        <v>1071</v>
      </c>
      <c r="G1330" s="30" t="s">
        <v>16</v>
      </c>
      <c r="H1330" s="30" t="s">
        <v>146</v>
      </c>
      <c r="I1330" s="31">
        <v>244473.69899999999</v>
      </c>
    </row>
    <row r="1331" spans="2:9" s="6" customFormat="1" ht="11.25" customHeight="1" x14ac:dyDescent="0.55000000000000004">
      <c r="B1331" s="30" t="s">
        <v>2726</v>
      </c>
      <c r="C1331" s="30" t="s">
        <v>2727</v>
      </c>
      <c r="D1331" s="32">
        <v>86126</v>
      </c>
      <c r="E1331" s="30" t="s">
        <v>20</v>
      </c>
      <c r="F1331" s="30"/>
      <c r="G1331" s="30"/>
      <c r="H1331" s="30" t="s">
        <v>146</v>
      </c>
      <c r="I1331" s="31" t="s">
        <v>29</v>
      </c>
    </row>
    <row r="1332" spans="2:9" s="6" customFormat="1" ht="11.25" customHeight="1" x14ac:dyDescent="0.55000000000000004">
      <c r="B1332" s="30" t="s">
        <v>2728</v>
      </c>
      <c r="C1332" s="30" t="s">
        <v>2729</v>
      </c>
      <c r="D1332" s="32">
        <v>86126</v>
      </c>
      <c r="E1332" s="30" t="s">
        <v>20</v>
      </c>
      <c r="F1332" s="30"/>
      <c r="G1332" s="30"/>
      <c r="H1332" s="30" t="s">
        <v>146</v>
      </c>
      <c r="I1332" s="31" t="s">
        <v>29</v>
      </c>
    </row>
    <row r="1333" spans="2:9" s="6" customFormat="1" ht="11.25" customHeight="1" x14ac:dyDescent="0.55000000000000004">
      <c r="B1333" s="30" t="s">
        <v>2730</v>
      </c>
      <c r="C1333" s="30" t="s">
        <v>2731</v>
      </c>
      <c r="D1333" s="32">
        <v>83798</v>
      </c>
      <c r="E1333" s="30" t="s">
        <v>20</v>
      </c>
      <c r="F1333" s="30" t="s">
        <v>1670</v>
      </c>
      <c r="G1333" s="30" t="s">
        <v>39</v>
      </c>
      <c r="H1333" s="30" t="s">
        <v>89</v>
      </c>
      <c r="I1333" s="31">
        <v>1145.778</v>
      </c>
    </row>
    <row r="1334" spans="2:9" s="6" customFormat="1" ht="11.25" customHeight="1" x14ac:dyDescent="0.55000000000000004">
      <c r="B1334" s="30" t="s">
        <v>2732</v>
      </c>
      <c r="C1334" s="30" t="s">
        <v>2733</v>
      </c>
      <c r="D1334" s="32">
        <v>94773</v>
      </c>
      <c r="E1334" s="30" t="s">
        <v>15</v>
      </c>
      <c r="F1334" s="30"/>
      <c r="G1334" s="30"/>
      <c r="H1334" s="30" t="s">
        <v>22</v>
      </c>
      <c r="I1334" s="31" t="s">
        <v>29</v>
      </c>
    </row>
    <row r="1335" spans="2:9" s="6" customFormat="1" ht="11.25" customHeight="1" x14ac:dyDescent="0.55000000000000004">
      <c r="B1335" s="30" t="s">
        <v>2734</v>
      </c>
      <c r="C1335" s="30" t="s">
        <v>2735</v>
      </c>
      <c r="D1335" s="32">
        <v>91499</v>
      </c>
      <c r="E1335" s="30" t="s">
        <v>20</v>
      </c>
      <c r="F1335" s="30"/>
      <c r="G1335" s="30" t="s">
        <v>35</v>
      </c>
      <c r="H1335" s="30" t="s">
        <v>66</v>
      </c>
      <c r="I1335" s="31" t="s">
        <v>29</v>
      </c>
    </row>
    <row r="1336" spans="2:9" s="6" customFormat="1" ht="11.25" customHeight="1" x14ac:dyDescent="0.55000000000000004">
      <c r="B1336" s="30" t="s">
        <v>2736</v>
      </c>
      <c r="C1336" s="30" t="s">
        <v>2737</v>
      </c>
      <c r="D1336" s="32">
        <v>74926</v>
      </c>
      <c r="E1336" s="30" t="s">
        <v>15</v>
      </c>
      <c r="F1336" s="30"/>
      <c r="G1336" s="30" t="s">
        <v>35</v>
      </c>
      <c r="H1336" s="30" t="s">
        <v>113</v>
      </c>
      <c r="I1336" s="31" t="s">
        <v>29</v>
      </c>
    </row>
    <row r="1337" spans="2:9" s="6" customFormat="1" ht="11.25" customHeight="1" x14ac:dyDescent="0.55000000000000004">
      <c r="B1337" s="30" t="s">
        <v>2738</v>
      </c>
      <c r="C1337" s="30" t="s">
        <v>2739</v>
      </c>
      <c r="D1337" s="32">
        <v>60109</v>
      </c>
      <c r="E1337" s="30" t="s">
        <v>15</v>
      </c>
      <c r="F1337" s="30" t="s">
        <v>2114</v>
      </c>
      <c r="G1337" s="30"/>
      <c r="H1337" s="30" t="s">
        <v>113</v>
      </c>
      <c r="I1337" s="31" t="s">
        <v>29</v>
      </c>
    </row>
    <row r="1338" spans="2:9" s="6" customFormat="1" ht="11.25" customHeight="1" x14ac:dyDescent="0.55000000000000004">
      <c r="B1338" s="30" t="s">
        <v>2740</v>
      </c>
      <c r="C1338" s="30" t="s">
        <v>2741</v>
      </c>
      <c r="D1338" s="32">
        <v>71749</v>
      </c>
      <c r="E1338" s="30" t="s">
        <v>15</v>
      </c>
      <c r="F1338" s="30"/>
      <c r="G1338" s="30"/>
      <c r="H1338" s="30" t="s">
        <v>239</v>
      </c>
      <c r="I1338" s="31" t="s">
        <v>29</v>
      </c>
    </row>
    <row r="1339" spans="2:9" s="6" customFormat="1" ht="11.25" customHeight="1" x14ac:dyDescent="0.55000000000000004">
      <c r="B1339" s="30" t="s">
        <v>2742</v>
      </c>
      <c r="C1339" s="30" t="s">
        <v>2743</v>
      </c>
      <c r="D1339" s="32">
        <v>66451</v>
      </c>
      <c r="E1339" s="30" t="s">
        <v>15</v>
      </c>
      <c r="F1339" s="30"/>
      <c r="G1339" s="30"/>
      <c r="H1339" s="30" t="s">
        <v>113</v>
      </c>
      <c r="I1339" s="31" t="s">
        <v>29</v>
      </c>
    </row>
    <row r="1340" spans="2:9" s="6" customFormat="1" ht="11.25" customHeight="1" x14ac:dyDescent="0.55000000000000004">
      <c r="B1340" s="30" t="s">
        <v>2744</v>
      </c>
      <c r="C1340" s="30" t="s">
        <v>2745</v>
      </c>
      <c r="D1340" s="32">
        <v>65951</v>
      </c>
      <c r="E1340" s="30" t="s">
        <v>20</v>
      </c>
      <c r="F1340" s="30"/>
      <c r="G1340" s="30" t="s">
        <v>16</v>
      </c>
      <c r="H1340" s="30" t="s">
        <v>96</v>
      </c>
      <c r="I1340" s="31">
        <v>59209.175999999999</v>
      </c>
    </row>
    <row r="1341" spans="2:9" s="6" customFormat="1" ht="11.25" customHeight="1" x14ac:dyDescent="0.55000000000000004">
      <c r="B1341" s="30" t="s">
        <v>2746</v>
      </c>
      <c r="C1341" s="30" t="s">
        <v>2747</v>
      </c>
      <c r="D1341" s="32">
        <v>74462</v>
      </c>
      <c r="E1341" s="30" t="s">
        <v>15</v>
      </c>
      <c r="F1341" s="30"/>
      <c r="G1341" s="30"/>
      <c r="H1341" s="30" t="s">
        <v>22</v>
      </c>
      <c r="I1341" s="31" t="s">
        <v>29</v>
      </c>
    </row>
    <row r="1342" spans="2:9" s="6" customFormat="1" ht="11.25" customHeight="1" x14ac:dyDescent="0.55000000000000004">
      <c r="B1342" s="30" t="s">
        <v>428</v>
      </c>
      <c r="C1342" s="30" t="s">
        <v>2748</v>
      </c>
      <c r="D1342" s="32" t="s">
        <v>29</v>
      </c>
      <c r="E1342" s="30" t="s">
        <v>20</v>
      </c>
      <c r="F1342" s="30" t="s">
        <v>428</v>
      </c>
      <c r="G1342" s="30" t="s">
        <v>265</v>
      </c>
      <c r="H1342" s="30" t="s">
        <v>124</v>
      </c>
      <c r="I1342" s="31">
        <v>427561094.41000003</v>
      </c>
    </row>
    <row r="1343" spans="2:9" s="6" customFormat="1" ht="11.25" customHeight="1" x14ac:dyDescent="0.55000000000000004">
      <c r="B1343" s="30" t="s">
        <v>2749</v>
      </c>
      <c r="C1343" s="30" t="s">
        <v>2750</v>
      </c>
      <c r="D1343" s="32" t="s">
        <v>29</v>
      </c>
      <c r="E1343" s="30" t="s">
        <v>20</v>
      </c>
      <c r="F1343" s="30"/>
      <c r="G1343" s="30"/>
      <c r="H1343" s="30" t="s">
        <v>124</v>
      </c>
      <c r="I1343" s="31" t="s">
        <v>29</v>
      </c>
    </row>
    <row r="1344" spans="2:9" s="6" customFormat="1" ht="11.25" customHeight="1" x14ac:dyDescent="0.55000000000000004">
      <c r="B1344" s="30" t="s">
        <v>2751</v>
      </c>
      <c r="C1344" s="30" t="s">
        <v>2752</v>
      </c>
      <c r="D1344" s="32">
        <v>13649</v>
      </c>
      <c r="E1344" s="30" t="s">
        <v>20</v>
      </c>
      <c r="F1344" s="30" t="s">
        <v>428</v>
      </c>
      <c r="G1344" s="30" t="s">
        <v>16</v>
      </c>
      <c r="H1344" s="30"/>
      <c r="I1344" s="31" t="s">
        <v>29</v>
      </c>
    </row>
    <row r="1345" spans="2:9" s="6" customFormat="1" ht="11.25" customHeight="1" x14ac:dyDescent="0.55000000000000004">
      <c r="B1345" s="30" t="s">
        <v>2753</v>
      </c>
      <c r="C1345" s="30" t="s">
        <v>2754</v>
      </c>
      <c r="D1345" s="32">
        <v>11211</v>
      </c>
      <c r="E1345" s="30" t="s">
        <v>15</v>
      </c>
      <c r="F1345" s="30"/>
      <c r="G1345" s="30"/>
      <c r="H1345" s="30"/>
      <c r="I1345" s="31" t="s">
        <v>29</v>
      </c>
    </row>
    <row r="1346" spans="2:9" s="6" customFormat="1" ht="11.25" customHeight="1" x14ac:dyDescent="0.55000000000000004">
      <c r="B1346" s="30" t="s">
        <v>2755</v>
      </c>
      <c r="C1346" s="30" t="s">
        <v>2756</v>
      </c>
      <c r="D1346" s="32">
        <v>93513</v>
      </c>
      <c r="E1346" s="30" t="s">
        <v>15</v>
      </c>
      <c r="F1346" s="30" t="s">
        <v>843</v>
      </c>
      <c r="G1346" s="30" t="s">
        <v>16</v>
      </c>
      <c r="H1346" s="30" t="s">
        <v>239</v>
      </c>
      <c r="I1346" s="31" t="s">
        <v>29</v>
      </c>
    </row>
    <row r="1347" spans="2:9" s="6" customFormat="1" ht="11.25" customHeight="1" x14ac:dyDescent="0.55000000000000004">
      <c r="B1347" s="30" t="s">
        <v>2757</v>
      </c>
      <c r="C1347" s="30" t="s">
        <v>2758</v>
      </c>
      <c r="D1347" s="32">
        <v>93513</v>
      </c>
      <c r="E1347" s="30" t="s">
        <v>15</v>
      </c>
      <c r="F1347" s="30"/>
      <c r="G1347" s="30"/>
      <c r="H1347" s="30" t="s">
        <v>239</v>
      </c>
      <c r="I1347" s="31" t="s">
        <v>29</v>
      </c>
    </row>
    <row r="1348" spans="2:9" s="6" customFormat="1" ht="11.25" customHeight="1" x14ac:dyDescent="0.55000000000000004">
      <c r="B1348" s="30" t="s">
        <v>2759</v>
      </c>
      <c r="C1348" s="30" t="s">
        <v>2760</v>
      </c>
      <c r="D1348" s="32">
        <v>93513</v>
      </c>
      <c r="E1348" s="30" t="s">
        <v>15</v>
      </c>
      <c r="F1348" s="30"/>
      <c r="G1348" s="30"/>
      <c r="H1348" s="30" t="s">
        <v>239</v>
      </c>
      <c r="I1348" s="31" t="s">
        <v>29</v>
      </c>
    </row>
    <row r="1349" spans="2:9" s="6" customFormat="1" ht="11.25" customHeight="1" x14ac:dyDescent="0.55000000000000004">
      <c r="B1349" s="30" t="s">
        <v>2761</v>
      </c>
      <c r="C1349" s="30" t="s">
        <v>2762</v>
      </c>
      <c r="D1349" s="32">
        <v>61050</v>
      </c>
      <c r="E1349" s="30" t="s">
        <v>15</v>
      </c>
      <c r="F1349" s="30" t="s">
        <v>843</v>
      </c>
      <c r="G1349" s="30" t="s">
        <v>155</v>
      </c>
      <c r="H1349" s="30" t="s">
        <v>239</v>
      </c>
      <c r="I1349" s="31" t="s">
        <v>29</v>
      </c>
    </row>
    <row r="1350" spans="2:9" s="6" customFormat="1" ht="11.25" customHeight="1" x14ac:dyDescent="0.55000000000000004">
      <c r="B1350" s="30" t="s">
        <v>2763</v>
      </c>
      <c r="C1350" s="30" t="s">
        <v>2764</v>
      </c>
      <c r="D1350" s="32">
        <v>61050</v>
      </c>
      <c r="E1350" s="30" t="s">
        <v>15</v>
      </c>
      <c r="F1350" s="30"/>
      <c r="G1350" s="30"/>
      <c r="H1350" s="30" t="s">
        <v>239</v>
      </c>
      <c r="I1350" s="31" t="s">
        <v>29</v>
      </c>
    </row>
    <row r="1351" spans="2:9" s="6" customFormat="1" ht="11.25" customHeight="1" x14ac:dyDescent="0.55000000000000004">
      <c r="B1351" s="30" t="s">
        <v>2765</v>
      </c>
      <c r="C1351" s="30" t="s">
        <v>2766</v>
      </c>
      <c r="D1351" s="32">
        <v>61050</v>
      </c>
      <c r="E1351" s="30" t="s">
        <v>15</v>
      </c>
      <c r="F1351" s="30"/>
      <c r="G1351" s="30"/>
      <c r="H1351" s="30" t="s">
        <v>239</v>
      </c>
      <c r="I1351" s="31" t="s">
        <v>29</v>
      </c>
    </row>
    <row r="1352" spans="2:9" s="6" customFormat="1" ht="11.25" customHeight="1" x14ac:dyDescent="0.55000000000000004">
      <c r="B1352" s="30" t="s">
        <v>2767</v>
      </c>
      <c r="C1352" s="30" t="s">
        <v>2768</v>
      </c>
      <c r="D1352" s="32">
        <v>81620</v>
      </c>
      <c r="E1352" s="30" t="s">
        <v>15</v>
      </c>
      <c r="F1352" s="30" t="s">
        <v>843</v>
      </c>
      <c r="G1352" s="30"/>
      <c r="H1352" s="30" t="s">
        <v>239</v>
      </c>
      <c r="I1352" s="31" t="s">
        <v>29</v>
      </c>
    </row>
    <row r="1353" spans="2:9" s="6" customFormat="1" ht="11.25" customHeight="1" x14ac:dyDescent="0.55000000000000004">
      <c r="B1353" s="30" t="s">
        <v>2769</v>
      </c>
      <c r="C1353" s="30" t="s">
        <v>2770</v>
      </c>
      <c r="D1353" s="32">
        <v>81620</v>
      </c>
      <c r="E1353" s="30" t="s">
        <v>15</v>
      </c>
      <c r="F1353" s="30"/>
      <c r="G1353" s="30"/>
      <c r="H1353" s="30" t="s">
        <v>239</v>
      </c>
      <c r="I1353" s="31" t="s">
        <v>29</v>
      </c>
    </row>
    <row r="1354" spans="2:9" s="6" customFormat="1" ht="11.25" customHeight="1" x14ac:dyDescent="0.55000000000000004">
      <c r="B1354" s="30" t="s">
        <v>2771</v>
      </c>
      <c r="C1354" s="30" t="s">
        <v>2772</v>
      </c>
      <c r="D1354" s="32">
        <v>80950</v>
      </c>
      <c r="E1354" s="30" t="s">
        <v>15</v>
      </c>
      <c r="F1354" s="30" t="s">
        <v>843</v>
      </c>
      <c r="G1354" s="30"/>
      <c r="H1354" s="30" t="s">
        <v>96</v>
      </c>
      <c r="I1354" s="31" t="s">
        <v>29</v>
      </c>
    </row>
    <row r="1355" spans="2:9" s="6" customFormat="1" ht="11.25" customHeight="1" x14ac:dyDescent="0.55000000000000004">
      <c r="B1355" s="30" t="s">
        <v>2773</v>
      </c>
      <c r="C1355" s="30" t="s">
        <v>2774</v>
      </c>
      <c r="D1355" s="32">
        <v>80950</v>
      </c>
      <c r="E1355" s="30" t="s">
        <v>15</v>
      </c>
      <c r="F1355" s="30"/>
      <c r="G1355" s="30"/>
      <c r="H1355" s="30" t="s">
        <v>96</v>
      </c>
      <c r="I1355" s="31" t="s">
        <v>29</v>
      </c>
    </row>
    <row r="1356" spans="2:9" s="6" customFormat="1" ht="11.25" customHeight="1" x14ac:dyDescent="0.55000000000000004">
      <c r="B1356" s="30" t="s">
        <v>2775</v>
      </c>
      <c r="C1356" s="30" t="s">
        <v>2776</v>
      </c>
      <c r="D1356" s="32">
        <v>65714</v>
      </c>
      <c r="E1356" s="30" t="s">
        <v>15</v>
      </c>
      <c r="F1356" s="30" t="s">
        <v>428</v>
      </c>
      <c r="G1356" s="30"/>
      <c r="H1356" s="30" t="s">
        <v>124</v>
      </c>
      <c r="I1356" s="31" t="s">
        <v>29</v>
      </c>
    </row>
    <row r="1357" spans="2:9" s="6" customFormat="1" ht="11.25" customHeight="1" x14ac:dyDescent="0.55000000000000004">
      <c r="B1357" s="30" t="s">
        <v>2777</v>
      </c>
      <c r="C1357" s="30" t="s">
        <v>2778</v>
      </c>
      <c r="D1357" s="32">
        <v>86428</v>
      </c>
      <c r="E1357" s="30" t="s">
        <v>15</v>
      </c>
      <c r="F1357" s="30" t="s">
        <v>428</v>
      </c>
      <c r="G1357" s="30"/>
      <c r="H1357" s="30" t="s">
        <v>124</v>
      </c>
      <c r="I1357" s="31" t="s">
        <v>29</v>
      </c>
    </row>
    <row r="1358" spans="2:9" s="6" customFormat="1" ht="11.25" customHeight="1" x14ac:dyDescent="0.55000000000000004">
      <c r="B1358" s="30" t="s">
        <v>2779</v>
      </c>
      <c r="C1358" s="30" t="s">
        <v>2780</v>
      </c>
      <c r="D1358" s="32">
        <v>65978</v>
      </c>
      <c r="E1358" s="30" t="s">
        <v>20</v>
      </c>
      <c r="F1358" s="30" t="s">
        <v>428</v>
      </c>
      <c r="G1358" s="30" t="s">
        <v>16</v>
      </c>
      <c r="H1358" s="30" t="s">
        <v>124</v>
      </c>
      <c r="I1358" s="31">
        <v>389508221.199</v>
      </c>
    </row>
    <row r="1359" spans="2:9" s="6" customFormat="1" ht="11.25" customHeight="1" x14ac:dyDescent="0.55000000000000004">
      <c r="B1359" s="30" t="s">
        <v>2781</v>
      </c>
      <c r="C1359" s="30" t="s">
        <v>2782</v>
      </c>
      <c r="D1359" s="32">
        <v>65978</v>
      </c>
      <c r="E1359" s="30" t="s">
        <v>20</v>
      </c>
      <c r="F1359" s="30"/>
      <c r="G1359" s="30"/>
      <c r="H1359" s="30" t="s">
        <v>124</v>
      </c>
      <c r="I1359" s="31" t="s">
        <v>29</v>
      </c>
    </row>
    <row r="1360" spans="2:9" s="6" customFormat="1" ht="11.25" customHeight="1" x14ac:dyDescent="0.55000000000000004">
      <c r="B1360" s="30" t="s">
        <v>2783</v>
      </c>
      <c r="C1360" s="30" t="s">
        <v>2784</v>
      </c>
      <c r="D1360" s="32">
        <v>65978</v>
      </c>
      <c r="E1360" s="30" t="s">
        <v>20</v>
      </c>
      <c r="F1360" s="30"/>
      <c r="G1360" s="30"/>
      <c r="H1360" s="30" t="s">
        <v>124</v>
      </c>
      <c r="I1360" s="31" t="s">
        <v>29</v>
      </c>
    </row>
    <row r="1361" spans="2:9" s="6" customFormat="1" ht="11.25" customHeight="1" x14ac:dyDescent="0.55000000000000004">
      <c r="B1361" s="30" t="s">
        <v>2785</v>
      </c>
      <c r="C1361" s="30" t="s">
        <v>2786</v>
      </c>
      <c r="D1361" s="32">
        <v>97136</v>
      </c>
      <c r="E1361" s="30" t="s">
        <v>20</v>
      </c>
      <c r="F1361" s="30" t="s">
        <v>428</v>
      </c>
      <c r="G1361" s="30" t="s">
        <v>155</v>
      </c>
      <c r="H1361" s="30" t="s">
        <v>124</v>
      </c>
      <c r="I1361" s="31">
        <v>26314677.486000001</v>
      </c>
    </row>
    <row r="1362" spans="2:9" s="6" customFormat="1" ht="11.25" customHeight="1" x14ac:dyDescent="0.55000000000000004">
      <c r="B1362" s="30" t="s">
        <v>2787</v>
      </c>
      <c r="C1362" s="30" t="s">
        <v>2788</v>
      </c>
      <c r="D1362" s="32">
        <v>97136</v>
      </c>
      <c r="E1362" s="30" t="s">
        <v>20</v>
      </c>
      <c r="F1362" s="30"/>
      <c r="G1362" s="30"/>
      <c r="H1362" s="30" t="s">
        <v>124</v>
      </c>
      <c r="I1362" s="31" t="s">
        <v>29</v>
      </c>
    </row>
    <row r="1363" spans="2:9" s="6" customFormat="1" ht="11.25" customHeight="1" x14ac:dyDescent="0.55000000000000004">
      <c r="B1363" s="30" t="s">
        <v>2789</v>
      </c>
      <c r="C1363" s="30" t="s">
        <v>2790</v>
      </c>
      <c r="D1363" s="32">
        <v>97136</v>
      </c>
      <c r="E1363" s="30" t="s">
        <v>20</v>
      </c>
      <c r="F1363" s="30"/>
      <c r="G1363" s="30"/>
      <c r="H1363" s="30" t="s">
        <v>124</v>
      </c>
      <c r="I1363" s="31" t="s">
        <v>29</v>
      </c>
    </row>
    <row r="1364" spans="2:9" s="6" customFormat="1" ht="11.25" customHeight="1" x14ac:dyDescent="0.55000000000000004">
      <c r="B1364" s="30" t="s">
        <v>2791</v>
      </c>
      <c r="C1364" s="30" t="s">
        <v>2792</v>
      </c>
      <c r="D1364" s="32">
        <v>89429</v>
      </c>
      <c r="E1364" s="30" t="s">
        <v>15</v>
      </c>
      <c r="F1364" s="30" t="s">
        <v>290</v>
      </c>
      <c r="G1364" s="30"/>
      <c r="H1364" s="30" t="s">
        <v>239</v>
      </c>
      <c r="I1364" s="31" t="s">
        <v>29</v>
      </c>
    </row>
    <row r="1365" spans="2:9" s="6" customFormat="1" ht="11.25" customHeight="1" x14ac:dyDescent="0.55000000000000004">
      <c r="B1365" s="30" t="s">
        <v>2793</v>
      </c>
      <c r="C1365" s="30" t="s">
        <v>2794</v>
      </c>
      <c r="D1365" s="32">
        <v>93793</v>
      </c>
      <c r="E1365" s="30" t="s">
        <v>15</v>
      </c>
      <c r="F1365" s="30"/>
      <c r="G1365" s="30"/>
      <c r="H1365" s="30" t="s">
        <v>105</v>
      </c>
      <c r="I1365" s="31" t="s">
        <v>29</v>
      </c>
    </row>
    <row r="1366" spans="2:9" s="6" customFormat="1" ht="11.25" customHeight="1" x14ac:dyDescent="0.55000000000000004">
      <c r="B1366" s="30" t="s">
        <v>1022</v>
      </c>
      <c r="C1366" s="30" t="s">
        <v>2795</v>
      </c>
      <c r="D1366" s="32" t="s">
        <v>29</v>
      </c>
      <c r="E1366" s="30" t="s">
        <v>20</v>
      </c>
      <c r="F1366" s="30" t="s">
        <v>1022</v>
      </c>
      <c r="G1366" s="30" t="s">
        <v>35</v>
      </c>
      <c r="H1366" s="30" t="s">
        <v>30</v>
      </c>
      <c r="I1366" s="31">
        <v>2752972.648</v>
      </c>
    </row>
    <row r="1367" spans="2:9" s="6" customFormat="1" ht="11.25" customHeight="1" x14ac:dyDescent="0.55000000000000004">
      <c r="B1367" s="30" t="s">
        <v>2796</v>
      </c>
      <c r="C1367" s="30" t="s">
        <v>2797</v>
      </c>
      <c r="D1367" s="32">
        <v>11946</v>
      </c>
      <c r="E1367" s="30" t="s">
        <v>15</v>
      </c>
      <c r="F1367" s="30"/>
      <c r="G1367" s="30" t="s">
        <v>16</v>
      </c>
      <c r="H1367" s="30" t="s">
        <v>30</v>
      </c>
      <c r="I1367" s="31" t="s">
        <v>29</v>
      </c>
    </row>
    <row r="1368" spans="2:9" s="6" customFormat="1" ht="11.25" customHeight="1" x14ac:dyDescent="0.55000000000000004">
      <c r="B1368" s="30" t="s">
        <v>2798</v>
      </c>
      <c r="C1368" s="30" t="s">
        <v>2799</v>
      </c>
      <c r="D1368" s="32">
        <v>61891</v>
      </c>
      <c r="E1368" s="30" t="s">
        <v>15</v>
      </c>
      <c r="F1368" s="30" t="s">
        <v>1000</v>
      </c>
      <c r="G1368" s="30"/>
      <c r="H1368" s="30" t="s">
        <v>113</v>
      </c>
      <c r="I1368" s="31" t="s">
        <v>29</v>
      </c>
    </row>
    <row r="1369" spans="2:9" s="6" customFormat="1" ht="11.25" customHeight="1" x14ac:dyDescent="0.55000000000000004">
      <c r="B1369" s="30" t="s">
        <v>2800</v>
      </c>
      <c r="C1369" s="30" t="s">
        <v>2801</v>
      </c>
      <c r="D1369" s="32">
        <v>60185</v>
      </c>
      <c r="E1369" s="30" t="s">
        <v>15</v>
      </c>
      <c r="F1369" s="30"/>
      <c r="G1369" s="30"/>
      <c r="H1369" s="30" t="s">
        <v>22</v>
      </c>
      <c r="I1369" s="31" t="s">
        <v>29</v>
      </c>
    </row>
    <row r="1370" spans="2:9" s="6" customFormat="1" ht="11.25" customHeight="1" x14ac:dyDescent="0.55000000000000004">
      <c r="B1370" s="30" t="s">
        <v>2802</v>
      </c>
      <c r="C1370" s="30" t="s">
        <v>2803</v>
      </c>
      <c r="D1370" s="32">
        <v>90964</v>
      </c>
      <c r="E1370" s="30" t="s">
        <v>15</v>
      </c>
      <c r="F1370" s="30"/>
      <c r="G1370" s="30"/>
      <c r="H1370" s="30" t="s">
        <v>45</v>
      </c>
      <c r="I1370" s="31" t="s">
        <v>29</v>
      </c>
    </row>
    <row r="1371" spans="2:9" s="6" customFormat="1" ht="11.25" customHeight="1" x14ac:dyDescent="0.55000000000000004">
      <c r="B1371" s="30" t="s">
        <v>2804</v>
      </c>
      <c r="C1371" s="30" t="s">
        <v>2805</v>
      </c>
      <c r="D1371" s="32">
        <v>66028</v>
      </c>
      <c r="E1371" s="30" t="s">
        <v>15</v>
      </c>
      <c r="F1371" s="30" t="s">
        <v>331</v>
      </c>
      <c r="G1371" s="30"/>
      <c r="H1371" s="30" t="s">
        <v>156</v>
      </c>
      <c r="I1371" s="31" t="s">
        <v>29</v>
      </c>
    </row>
    <row r="1372" spans="2:9" s="6" customFormat="1" ht="11.25" customHeight="1" x14ac:dyDescent="0.55000000000000004">
      <c r="B1372" s="30" t="s">
        <v>2806</v>
      </c>
      <c r="C1372" s="30" t="s">
        <v>2807</v>
      </c>
      <c r="D1372" s="32">
        <v>11962</v>
      </c>
      <c r="E1372" s="30" t="s">
        <v>15</v>
      </c>
      <c r="F1372" s="30"/>
      <c r="G1372" s="30" t="s">
        <v>35</v>
      </c>
      <c r="H1372" s="30" t="s">
        <v>2808</v>
      </c>
      <c r="I1372" s="31" t="s">
        <v>29</v>
      </c>
    </row>
    <row r="1373" spans="2:9" s="6" customFormat="1" ht="11.25" customHeight="1" x14ac:dyDescent="0.55000000000000004">
      <c r="B1373" s="30" t="s">
        <v>2809</v>
      </c>
      <c r="C1373" s="30" t="s">
        <v>2810</v>
      </c>
      <c r="D1373" s="32">
        <v>88749</v>
      </c>
      <c r="E1373" s="30" t="s">
        <v>15</v>
      </c>
      <c r="F1373" s="30"/>
      <c r="G1373" s="30"/>
      <c r="H1373" s="30" t="s">
        <v>92</v>
      </c>
      <c r="I1373" s="31" t="s">
        <v>29</v>
      </c>
    </row>
    <row r="1374" spans="2:9" s="6" customFormat="1" ht="11.25" customHeight="1" x14ac:dyDescent="0.55000000000000004">
      <c r="B1374" s="30" t="s">
        <v>2811</v>
      </c>
      <c r="C1374" s="30" t="s">
        <v>2812</v>
      </c>
      <c r="D1374" s="32">
        <v>66036</v>
      </c>
      <c r="E1374" s="30" t="s">
        <v>15</v>
      </c>
      <c r="F1374" s="30" t="s">
        <v>182</v>
      </c>
      <c r="G1374" s="30"/>
      <c r="H1374" s="30" t="s">
        <v>313</v>
      </c>
      <c r="I1374" s="31" t="s">
        <v>29</v>
      </c>
    </row>
    <row r="1375" spans="2:9" s="6" customFormat="1" ht="11.25" customHeight="1" x14ac:dyDescent="0.55000000000000004">
      <c r="B1375" s="30" t="s">
        <v>2813</v>
      </c>
      <c r="C1375" s="30" t="s">
        <v>2814</v>
      </c>
      <c r="D1375" s="32">
        <v>66044</v>
      </c>
      <c r="E1375" s="30" t="s">
        <v>20</v>
      </c>
      <c r="F1375" s="30" t="s">
        <v>1054</v>
      </c>
      <c r="G1375" s="30" t="s">
        <v>155</v>
      </c>
      <c r="H1375" s="30" t="s">
        <v>63</v>
      </c>
      <c r="I1375" s="31">
        <v>60416250.450999998</v>
      </c>
    </row>
    <row r="1376" spans="2:9" s="6" customFormat="1" ht="11.25" customHeight="1" x14ac:dyDescent="0.55000000000000004">
      <c r="B1376" s="30" t="s">
        <v>2815</v>
      </c>
      <c r="C1376" s="30" t="s">
        <v>2816</v>
      </c>
      <c r="D1376" s="32">
        <v>66044</v>
      </c>
      <c r="E1376" s="30" t="s">
        <v>20</v>
      </c>
      <c r="F1376" s="30"/>
      <c r="G1376" s="30"/>
      <c r="H1376" s="30" t="s">
        <v>63</v>
      </c>
      <c r="I1376" s="31" t="s">
        <v>29</v>
      </c>
    </row>
    <row r="1377" spans="2:9" s="6" customFormat="1" ht="11.25" customHeight="1" x14ac:dyDescent="0.55000000000000004">
      <c r="B1377" s="30" t="s">
        <v>2817</v>
      </c>
      <c r="C1377" s="30" t="s">
        <v>2818</v>
      </c>
      <c r="D1377" s="32">
        <v>66044</v>
      </c>
      <c r="E1377" s="30" t="s">
        <v>20</v>
      </c>
      <c r="F1377" s="30"/>
      <c r="G1377" s="30"/>
      <c r="H1377" s="30" t="s">
        <v>63</v>
      </c>
      <c r="I1377" s="31" t="s">
        <v>29</v>
      </c>
    </row>
    <row r="1378" spans="2:9" s="6" customFormat="1" ht="11.25" customHeight="1" x14ac:dyDescent="0.55000000000000004">
      <c r="B1378" s="30" t="s">
        <v>2819</v>
      </c>
      <c r="C1378" s="30" t="s">
        <v>2820</v>
      </c>
      <c r="D1378" s="32">
        <v>66044</v>
      </c>
      <c r="E1378" s="30" t="s">
        <v>20</v>
      </c>
      <c r="F1378" s="30"/>
      <c r="G1378" s="30"/>
      <c r="H1378" s="30" t="s">
        <v>63</v>
      </c>
      <c r="I1378" s="31" t="s">
        <v>29</v>
      </c>
    </row>
    <row r="1379" spans="2:9" s="6" customFormat="1" ht="11.25" customHeight="1" x14ac:dyDescent="0.55000000000000004">
      <c r="B1379" s="30" t="s">
        <v>2821</v>
      </c>
      <c r="C1379" s="30" t="s">
        <v>2822</v>
      </c>
      <c r="D1379" s="32">
        <v>66087</v>
      </c>
      <c r="E1379" s="30" t="s">
        <v>20</v>
      </c>
      <c r="F1379" s="30" t="s">
        <v>149</v>
      </c>
      <c r="G1379" s="30" t="s">
        <v>21</v>
      </c>
      <c r="H1379" s="30" t="s">
        <v>113</v>
      </c>
      <c r="I1379" s="31">
        <v>63896.828000000001</v>
      </c>
    </row>
    <row r="1380" spans="2:9" s="6" customFormat="1" ht="11.25" customHeight="1" x14ac:dyDescent="0.55000000000000004">
      <c r="B1380" s="30" t="s">
        <v>2823</v>
      </c>
      <c r="C1380" s="30" t="s">
        <v>2824</v>
      </c>
      <c r="D1380" s="32">
        <v>66087</v>
      </c>
      <c r="E1380" s="30" t="s">
        <v>20</v>
      </c>
      <c r="F1380" s="30"/>
      <c r="G1380" s="30"/>
      <c r="H1380" s="30" t="s">
        <v>113</v>
      </c>
      <c r="I1380" s="31" t="s">
        <v>29</v>
      </c>
    </row>
    <row r="1381" spans="2:9" s="6" customFormat="1" ht="11.25" customHeight="1" x14ac:dyDescent="0.55000000000000004">
      <c r="B1381" s="30" t="s">
        <v>2825</v>
      </c>
      <c r="C1381" s="30" t="s">
        <v>2826</v>
      </c>
      <c r="D1381" s="32">
        <v>66087</v>
      </c>
      <c r="E1381" s="30" t="s">
        <v>20</v>
      </c>
      <c r="F1381" s="30"/>
      <c r="G1381" s="30"/>
      <c r="H1381" s="30" t="s">
        <v>113</v>
      </c>
      <c r="I1381" s="31" t="s">
        <v>29</v>
      </c>
    </row>
    <row r="1382" spans="2:9" s="6" customFormat="1" ht="11.25" customHeight="1" x14ac:dyDescent="0.55000000000000004">
      <c r="B1382" s="30" t="s">
        <v>2827</v>
      </c>
      <c r="C1382" s="30" t="s">
        <v>2828</v>
      </c>
      <c r="D1382" s="32">
        <v>66095</v>
      </c>
      <c r="E1382" s="30" t="s">
        <v>15</v>
      </c>
      <c r="F1382" s="30"/>
      <c r="G1382" s="30"/>
      <c r="H1382" s="30" t="s">
        <v>313</v>
      </c>
      <c r="I1382" s="31" t="s">
        <v>29</v>
      </c>
    </row>
    <row r="1383" spans="2:9" s="6" customFormat="1" ht="11.25" customHeight="1" x14ac:dyDescent="0.55000000000000004">
      <c r="B1383" s="30" t="s">
        <v>2829</v>
      </c>
      <c r="C1383" s="30" t="s">
        <v>2830</v>
      </c>
      <c r="D1383" s="32">
        <v>66109</v>
      </c>
      <c r="E1383" s="30" t="s">
        <v>20</v>
      </c>
      <c r="F1383" s="30" t="s">
        <v>1124</v>
      </c>
      <c r="G1383" s="30" t="s">
        <v>35</v>
      </c>
      <c r="H1383" s="30" t="s">
        <v>108</v>
      </c>
      <c r="I1383" s="31">
        <v>231359.269</v>
      </c>
    </row>
    <row r="1384" spans="2:9" s="6" customFormat="1" ht="11.25" customHeight="1" x14ac:dyDescent="0.55000000000000004">
      <c r="B1384" s="30" t="s">
        <v>2831</v>
      </c>
      <c r="C1384" s="30" t="s">
        <v>2832</v>
      </c>
      <c r="D1384" s="32">
        <v>73989</v>
      </c>
      <c r="E1384" s="30" t="s">
        <v>20</v>
      </c>
      <c r="F1384" s="30"/>
      <c r="G1384" s="30" t="s">
        <v>80</v>
      </c>
      <c r="H1384" s="30" t="s">
        <v>865</v>
      </c>
      <c r="I1384" s="31">
        <v>1746.769</v>
      </c>
    </row>
    <row r="1385" spans="2:9" s="6" customFormat="1" ht="11.25" customHeight="1" x14ac:dyDescent="0.55000000000000004">
      <c r="B1385" s="30" t="s">
        <v>2833</v>
      </c>
      <c r="C1385" s="30" t="s">
        <v>2834</v>
      </c>
      <c r="D1385" s="32">
        <v>12778</v>
      </c>
      <c r="E1385" s="30" t="s">
        <v>15</v>
      </c>
      <c r="F1385" s="30"/>
      <c r="G1385" s="30" t="s">
        <v>80</v>
      </c>
      <c r="H1385" s="30" t="s">
        <v>500</v>
      </c>
      <c r="I1385" s="31" t="s">
        <v>29</v>
      </c>
    </row>
    <row r="1386" spans="2:9" s="6" customFormat="1" ht="11.25" customHeight="1" x14ac:dyDescent="0.55000000000000004">
      <c r="B1386" s="30" t="s">
        <v>2835</v>
      </c>
      <c r="C1386" s="30" t="s">
        <v>2836</v>
      </c>
      <c r="D1386" s="32">
        <v>62774</v>
      </c>
      <c r="E1386" s="30" t="s">
        <v>15</v>
      </c>
      <c r="F1386" s="30"/>
      <c r="G1386" s="30"/>
      <c r="H1386" s="30" t="s">
        <v>146</v>
      </c>
      <c r="I1386" s="31" t="s">
        <v>29</v>
      </c>
    </row>
    <row r="1387" spans="2:9" s="6" customFormat="1" ht="11.25" customHeight="1" x14ac:dyDescent="0.55000000000000004">
      <c r="B1387" s="30" t="s">
        <v>2837</v>
      </c>
      <c r="C1387" s="30" t="s">
        <v>2838</v>
      </c>
      <c r="D1387" s="32">
        <v>66125</v>
      </c>
      <c r="E1387" s="30" t="s">
        <v>15</v>
      </c>
      <c r="F1387" s="30" t="s">
        <v>185</v>
      </c>
      <c r="G1387" s="30"/>
      <c r="H1387" s="30" t="s">
        <v>146</v>
      </c>
      <c r="I1387" s="31" t="s">
        <v>29</v>
      </c>
    </row>
    <row r="1388" spans="2:9" s="6" customFormat="1" ht="11.25" customHeight="1" x14ac:dyDescent="0.55000000000000004">
      <c r="B1388" s="30" t="s">
        <v>2839</v>
      </c>
      <c r="C1388" s="30" t="s">
        <v>2840</v>
      </c>
      <c r="D1388" s="32">
        <v>64912</v>
      </c>
      <c r="E1388" s="30" t="s">
        <v>15</v>
      </c>
      <c r="F1388" s="30"/>
      <c r="G1388" s="30"/>
      <c r="H1388" s="30" t="s">
        <v>105</v>
      </c>
      <c r="I1388" s="31" t="s">
        <v>29</v>
      </c>
    </row>
    <row r="1389" spans="2:9" s="6" customFormat="1" ht="11.25" customHeight="1" x14ac:dyDescent="0.55000000000000004">
      <c r="B1389" s="30" t="s">
        <v>2841</v>
      </c>
      <c r="C1389" s="30" t="s">
        <v>2842</v>
      </c>
      <c r="D1389" s="32">
        <v>66168</v>
      </c>
      <c r="E1389" s="30" t="s">
        <v>20</v>
      </c>
      <c r="F1389" s="30" t="s">
        <v>465</v>
      </c>
      <c r="G1389" s="30" t="s">
        <v>265</v>
      </c>
      <c r="H1389" s="30" t="s">
        <v>156</v>
      </c>
      <c r="I1389" s="31">
        <v>56377324.162</v>
      </c>
    </row>
    <row r="1390" spans="2:9" s="6" customFormat="1" ht="11.25" customHeight="1" x14ac:dyDescent="0.55000000000000004">
      <c r="B1390" s="30" t="s">
        <v>2843</v>
      </c>
      <c r="C1390" s="30" t="s">
        <v>2844</v>
      </c>
      <c r="D1390" s="32">
        <v>66168</v>
      </c>
      <c r="E1390" s="30" t="s">
        <v>20</v>
      </c>
      <c r="F1390" s="30"/>
      <c r="G1390" s="30"/>
      <c r="H1390" s="30" t="s">
        <v>156</v>
      </c>
      <c r="I1390" s="31" t="s">
        <v>29</v>
      </c>
    </row>
    <row r="1391" spans="2:9" s="6" customFormat="1" ht="11.25" customHeight="1" x14ac:dyDescent="0.55000000000000004">
      <c r="B1391" s="30" t="s">
        <v>2845</v>
      </c>
      <c r="C1391" s="30" t="s">
        <v>2846</v>
      </c>
      <c r="D1391" s="32">
        <v>66168</v>
      </c>
      <c r="E1391" s="30" t="s">
        <v>20</v>
      </c>
      <c r="F1391" s="30"/>
      <c r="G1391" s="30"/>
      <c r="H1391" s="30" t="s">
        <v>156</v>
      </c>
      <c r="I1391" s="31" t="s">
        <v>29</v>
      </c>
    </row>
    <row r="1392" spans="2:9" s="6" customFormat="1" ht="11.25" customHeight="1" x14ac:dyDescent="0.55000000000000004">
      <c r="B1392" s="30" t="s">
        <v>2847</v>
      </c>
      <c r="C1392" s="30" t="s">
        <v>2848</v>
      </c>
      <c r="D1392" s="32">
        <v>78760</v>
      </c>
      <c r="E1392" s="30" t="s">
        <v>15</v>
      </c>
      <c r="F1392" s="30"/>
      <c r="G1392" s="30"/>
      <c r="H1392" s="30" t="s">
        <v>22</v>
      </c>
      <c r="I1392" s="31" t="s">
        <v>29</v>
      </c>
    </row>
    <row r="1393" spans="2:9" s="6" customFormat="1" ht="11.25" customHeight="1" x14ac:dyDescent="0.55000000000000004">
      <c r="B1393" s="30" t="s">
        <v>2849</v>
      </c>
      <c r="C1393" s="30" t="s">
        <v>2850</v>
      </c>
      <c r="D1393" s="32">
        <v>93726</v>
      </c>
      <c r="E1393" s="30" t="s">
        <v>15</v>
      </c>
      <c r="F1393" s="30" t="s">
        <v>182</v>
      </c>
      <c r="G1393" s="30"/>
      <c r="H1393" s="30" t="s">
        <v>124</v>
      </c>
      <c r="I1393" s="31" t="s">
        <v>29</v>
      </c>
    </row>
    <row r="1394" spans="2:9" s="6" customFormat="1" ht="11.25" customHeight="1" x14ac:dyDescent="0.55000000000000004">
      <c r="B1394" s="30" t="s">
        <v>2851</v>
      </c>
      <c r="C1394" s="30" t="s">
        <v>2852</v>
      </c>
      <c r="D1394" s="32">
        <v>75388</v>
      </c>
      <c r="E1394" s="30" t="s">
        <v>15</v>
      </c>
      <c r="F1394" s="30" t="s">
        <v>182</v>
      </c>
      <c r="G1394" s="30"/>
      <c r="H1394" s="30" t="s">
        <v>113</v>
      </c>
      <c r="I1394" s="31" t="s">
        <v>29</v>
      </c>
    </row>
    <row r="1395" spans="2:9" s="6" customFormat="1" ht="11.25" customHeight="1" x14ac:dyDescent="0.55000000000000004">
      <c r="B1395" s="30" t="s">
        <v>1505</v>
      </c>
      <c r="C1395" s="30" t="s">
        <v>2853</v>
      </c>
      <c r="D1395" s="32" t="s">
        <v>29</v>
      </c>
      <c r="E1395" s="30" t="s">
        <v>20</v>
      </c>
      <c r="F1395" s="30" t="s">
        <v>1505</v>
      </c>
      <c r="G1395" s="30" t="s">
        <v>35</v>
      </c>
      <c r="H1395" s="30" t="s">
        <v>500</v>
      </c>
      <c r="I1395" s="31">
        <v>635884.20400000003</v>
      </c>
    </row>
    <row r="1396" spans="2:9" s="6" customFormat="1" ht="11.25" customHeight="1" x14ac:dyDescent="0.55000000000000004">
      <c r="B1396" s="30" t="s">
        <v>2854</v>
      </c>
      <c r="C1396" s="30" t="s">
        <v>2855</v>
      </c>
      <c r="D1396" s="32">
        <v>70416</v>
      </c>
      <c r="E1396" s="30" t="s">
        <v>20</v>
      </c>
      <c r="F1396" s="30" t="s">
        <v>872</v>
      </c>
      <c r="G1396" s="30" t="s">
        <v>35</v>
      </c>
      <c r="H1396" s="30" t="s">
        <v>582</v>
      </c>
      <c r="I1396" s="31">
        <v>5117785.4330000002</v>
      </c>
    </row>
    <row r="1397" spans="2:9" s="6" customFormat="1" ht="11.25" customHeight="1" x14ac:dyDescent="0.55000000000000004">
      <c r="B1397" s="30" t="s">
        <v>2856</v>
      </c>
      <c r="C1397" s="30" t="s">
        <v>2857</v>
      </c>
      <c r="D1397" s="32">
        <v>70416</v>
      </c>
      <c r="E1397" s="30" t="s">
        <v>20</v>
      </c>
      <c r="F1397" s="30"/>
      <c r="G1397" s="30"/>
      <c r="H1397" s="30" t="s">
        <v>582</v>
      </c>
      <c r="I1397" s="31" t="s">
        <v>29</v>
      </c>
    </row>
    <row r="1398" spans="2:9" s="6" customFormat="1" ht="11.25" customHeight="1" x14ac:dyDescent="0.55000000000000004">
      <c r="B1398" s="30" t="s">
        <v>2858</v>
      </c>
      <c r="C1398" s="30" t="s">
        <v>2859</v>
      </c>
      <c r="D1398" s="32">
        <v>70416</v>
      </c>
      <c r="E1398" s="30" t="s">
        <v>20</v>
      </c>
      <c r="F1398" s="30"/>
      <c r="G1398" s="30"/>
      <c r="H1398" s="30" t="s">
        <v>582</v>
      </c>
      <c r="I1398" s="31" t="s">
        <v>29</v>
      </c>
    </row>
    <row r="1399" spans="2:9" s="6" customFormat="1" ht="11.25" customHeight="1" x14ac:dyDescent="0.55000000000000004">
      <c r="B1399" s="30" t="s">
        <v>2860</v>
      </c>
      <c r="C1399" s="30" t="s">
        <v>2861</v>
      </c>
      <c r="D1399" s="32">
        <v>63398</v>
      </c>
      <c r="E1399" s="30" t="s">
        <v>15</v>
      </c>
      <c r="F1399" s="30" t="s">
        <v>563</v>
      </c>
      <c r="G1399" s="30"/>
      <c r="H1399" s="30" t="s">
        <v>22</v>
      </c>
      <c r="I1399" s="31" t="s">
        <v>29</v>
      </c>
    </row>
    <row r="1400" spans="2:9" s="6" customFormat="1" ht="11.25" customHeight="1" x14ac:dyDescent="0.55000000000000004">
      <c r="B1400" s="30" t="s">
        <v>2862</v>
      </c>
      <c r="C1400" s="30" t="s">
        <v>2863</v>
      </c>
      <c r="D1400" s="32">
        <v>88226</v>
      </c>
      <c r="E1400" s="30" t="s">
        <v>15</v>
      </c>
      <c r="F1400" s="30"/>
      <c r="G1400" s="30" t="s">
        <v>16</v>
      </c>
      <c r="H1400" s="30" t="s">
        <v>313</v>
      </c>
      <c r="I1400" s="31" t="s">
        <v>29</v>
      </c>
    </row>
    <row r="1401" spans="2:9" s="6" customFormat="1" ht="11.25" customHeight="1" x14ac:dyDescent="0.55000000000000004">
      <c r="B1401" s="30" t="s">
        <v>2864</v>
      </c>
      <c r="C1401" s="30" t="s">
        <v>2865</v>
      </c>
      <c r="D1401" s="32">
        <v>13778</v>
      </c>
      <c r="E1401" s="30" t="s">
        <v>20</v>
      </c>
      <c r="F1401" s="30"/>
      <c r="G1401" s="30" t="s">
        <v>16</v>
      </c>
      <c r="H1401" s="30" t="s">
        <v>113</v>
      </c>
      <c r="I1401" s="31">
        <v>9255.6920000000009</v>
      </c>
    </row>
    <row r="1402" spans="2:9" s="6" customFormat="1" ht="11.25" customHeight="1" x14ac:dyDescent="0.55000000000000004">
      <c r="B1402" s="30" t="s">
        <v>2866</v>
      </c>
      <c r="C1402" s="30" t="s">
        <v>2867</v>
      </c>
      <c r="D1402" s="32">
        <v>66265</v>
      </c>
      <c r="E1402" s="30" t="s">
        <v>20</v>
      </c>
      <c r="F1402" s="30" t="s">
        <v>2868</v>
      </c>
      <c r="G1402" s="30" t="s">
        <v>39</v>
      </c>
      <c r="H1402" s="30" t="s">
        <v>582</v>
      </c>
      <c r="I1402" s="31">
        <v>615388.56900000002</v>
      </c>
    </row>
    <row r="1403" spans="2:9" s="6" customFormat="1" ht="11.25" customHeight="1" x14ac:dyDescent="0.55000000000000004">
      <c r="B1403" s="30" t="s">
        <v>2869</v>
      </c>
      <c r="C1403" s="30" t="s">
        <v>2870</v>
      </c>
      <c r="D1403" s="32">
        <v>66265</v>
      </c>
      <c r="E1403" s="30" t="s">
        <v>20</v>
      </c>
      <c r="F1403" s="30"/>
      <c r="G1403" s="30"/>
      <c r="H1403" s="30" t="s">
        <v>582</v>
      </c>
      <c r="I1403" s="31" t="s">
        <v>29</v>
      </c>
    </row>
    <row r="1404" spans="2:9" s="6" customFormat="1" ht="11.25" customHeight="1" x14ac:dyDescent="0.55000000000000004">
      <c r="B1404" s="30" t="s">
        <v>2871</v>
      </c>
      <c r="C1404" s="30" t="s">
        <v>2872</v>
      </c>
      <c r="D1404" s="32">
        <v>66265</v>
      </c>
      <c r="E1404" s="30" t="s">
        <v>20</v>
      </c>
      <c r="F1404" s="30"/>
      <c r="G1404" s="30"/>
      <c r="H1404" s="30" t="s">
        <v>582</v>
      </c>
      <c r="I1404" s="31" t="s">
        <v>29</v>
      </c>
    </row>
    <row r="1405" spans="2:9" s="6" customFormat="1" ht="11.25" customHeight="1" x14ac:dyDescent="0.55000000000000004">
      <c r="B1405" s="30" t="s">
        <v>2873</v>
      </c>
      <c r="C1405" s="30" t="s">
        <v>2874</v>
      </c>
      <c r="D1405" s="32">
        <v>81442</v>
      </c>
      <c r="E1405" s="30" t="s">
        <v>20</v>
      </c>
      <c r="F1405" s="30"/>
      <c r="G1405" s="30" t="s">
        <v>21</v>
      </c>
      <c r="H1405" s="30" t="s">
        <v>179</v>
      </c>
      <c r="I1405" s="31">
        <v>16194.233</v>
      </c>
    </row>
    <row r="1406" spans="2:9" s="6" customFormat="1" ht="11.25" customHeight="1" x14ac:dyDescent="0.55000000000000004">
      <c r="B1406" s="30" t="s">
        <v>2875</v>
      </c>
      <c r="C1406" s="30" t="s">
        <v>2876</v>
      </c>
      <c r="D1406" s="32">
        <v>60012</v>
      </c>
      <c r="E1406" s="30" t="s">
        <v>15</v>
      </c>
      <c r="F1406" s="30"/>
      <c r="G1406" s="30"/>
      <c r="H1406" s="30" t="s">
        <v>811</v>
      </c>
      <c r="I1406" s="31" t="s">
        <v>29</v>
      </c>
    </row>
    <row r="1407" spans="2:9" s="6" customFormat="1" ht="11.25" customHeight="1" x14ac:dyDescent="0.55000000000000004">
      <c r="B1407" s="30" t="s">
        <v>2877</v>
      </c>
      <c r="C1407" s="30" t="s">
        <v>2878</v>
      </c>
      <c r="D1407" s="32">
        <v>66273</v>
      </c>
      <c r="E1407" s="30" t="s">
        <v>15</v>
      </c>
      <c r="F1407" s="30" t="s">
        <v>1424</v>
      </c>
      <c r="G1407" s="30"/>
      <c r="H1407" s="30" t="s">
        <v>22</v>
      </c>
      <c r="I1407" s="31" t="s">
        <v>29</v>
      </c>
    </row>
    <row r="1408" spans="2:9" s="6" customFormat="1" ht="11.25" customHeight="1" x14ac:dyDescent="0.55000000000000004">
      <c r="B1408" s="30" t="s">
        <v>2879</v>
      </c>
      <c r="C1408" s="30" t="s">
        <v>2880</v>
      </c>
      <c r="D1408" s="32">
        <v>11248</v>
      </c>
      <c r="E1408" s="30" t="s">
        <v>15</v>
      </c>
      <c r="F1408" s="30"/>
      <c r="G1408" s="30"/>
      <c r="H1408" s="30" t="s">
        <v>130</v>
      </c>
      <c r="I1408" s="31" t="s">
        <v>29</v>
      </c>
    </row>
    <row r="1409" spans="2:9" s="6" customFormat="1" ht="11.25" customHeight="1" x14ac:dyDescent="0.55000000000000004">
      <c r="B1409" s="30" t="s">
        <v>2885</v>
      </c>
      <c r="C1409" s="30" t="s">
        <v>2886</v>
      </c>
      <c r="D1409" s="32">
        <v>66370</v>
      </c>
      <c r="E1409" s="30" t="s">
        <v>20</v>
      </c>
      <c r="F1409" s="30" t="s">
        <v>970</v>
      </c>
      <c r="G1409" s="30" t="s">
        <v>35</v>
      </c>
      <c r="H1409" s="30" t="s">
        <v>124</v>
      </c>
      <c r="I1409" s="31">
        <v>6887226.9060000004</v>
      </c>
    </row>
    <row r="1410" spans="2:9" s="6" customFormat="1" ht="11.25" customHeight="1" x14ac:dyDescent="0.55000000000000004">
      <c r="B1410" s="30" t="s">
        <v>2887</v>
      </c>
      <c r="C1410" s="30" t="s">
        <v>2888</v>
      </c>
      <c r="D1410" s="32">
        <v>66370</v>
      </c>
      <c r="E1410" s="30" t="s">
        <v>20</v>
      </c>
      <c r="F1410" s="30"/>
      <c r="G1410" s="30"/>
      <c r="H1410" s="30" t="s">
        <v>124</v>
      </c>
      <c r="I1410" s="31" t="s">
        <v>29</v>
      </c>
    </row>
    <row r="1411" spans="2:9" s="6" customFormat="1" ht="11.25" customHeight="1" x14ac:dyDescent="0.55000000000000004">
      <c r="B1411" s="30" t="s">
        <v>2889</v>
      </c>
      <c r="C1411" s="30" t="s">
        <v>2890</v>
      </c>
      <c r="D1411" s="32">
        <v>66370</v>
      </c>
      <c r="E1411" s="30" t="s">
        <v>20</v>
      </c>
      <c r="F1411" s="30"/>
      <c r="G1411" s="30"/>
      <c r="H1411" s="30" t="s">
        <v>124</v>
      </c>
      <c r="I1411" s="31" t="s">
        <v>29</v>
      </c>
    </row>
    <row r="1412" spans="2:9" s="6" customFormat="1" ht="11.25" customHeight="1" x14ac:dyDescent="0.55000000000000004">
      <c r="B1412" s="30" t="s">
        <v>2891</v>
      </c>
      <c r="C1412" s="30" t="s">
        <v>2892</v>
      </c>
      <c r="D1412" s="32">
        <v>60026</v>
      </c>
      <c r="E1412" s="30" t="s">
        <v>15</v>
      </c>
      <c r="F1412" s="30"/>
      <c r="G1412" s="30"/>
      <c r="H1412" s="30" t="s">
        <v>22</v>
      </c>
      <c r="I1412" s="31" t="s">
        <v>29</v>
      </c>
    </row>
    <row r="1413" spans="2:9" s="6" customFormat="1" ht="11.25" customHeight="1" x14ac:dyDescent="0.55000000000000004">
      <c r="B1413" s="30" t="s">
        <v>2893</v>
      </c>
      <c r="C1413" s="30" t="s">
        <v>2894</v>
      </c>
      <c r="D1413" s="32">
        <v>66303</v>
      </c>
      <c r="E1413" s="30" t="s">
        <v>15</v>
      </c>
      <c r="F1413" s="30"/>
      <c r="G1413" s="30" t="s">
        <v>35</v>
      </c>
      <c r="H1413" s="30" t="s">
        <v>66</v>
      </c>
      <c r="I1413" s="31" t="s">
        <v>29</v>
      </c>
    </row>
    <row r="1414" spans="2:9" s="6" customFormat="1" ht="11.25" customHeight="1" x14ac:dyDescent="0.55000000000000004">
      <c r="B1414" s="30" t="s">
        <v>2895</v>
      </c>
      <c r="C1414" s="30" t="s">
        <v>2896</v>
      </c>
      <c r="D1414" s="32">
        <v>66311</v>
      </c>
      <c r="E1414" s="30" t="s">
        <v>20</v>
      </c>
      <c r="F1414" s="30"/>
      <c r="G1414" s="30" t="s">
        <v>35</v>
      </c>
      <c r="H1414" s="30" t="s">
        <v>313</v>
      </c>
      <c r="I1414" s="31">
        <v>595507.03399999999</v>
      </c>
    </row>
    <row r="1415" spans="2:9" s="6" customFormat="1" ht="11.25" customHeight="1" x14ac:dyDescent="0.55000000000000004">
      <c r="B1415" s="30" t="s">
        <v>2897</v>
      </c>
      <c r="C1415" s="30" t="s">
        <v>2898</v>
      </c>
      <c r="D1415" s="32">
        <v>84620</v>
      </c>
      <c r="E1415" s="30" t="s">
        <v>15</v>
      </c>
      <c r="F1415" s="30"/>
      <c r="G1415" s="30"/>
      <c r="H1415" s="30" t="s">
        <v>22</v>
      </c>
      <c r="I1415" s="31" t="s">
        <v>29</v>
      </c>
    </row>
    <row r="1416" spans="2:9" s="6" customFormat="1" ht="11.25" customHeight="1" x14ac:dyDescent="0.55000000000000004">
      <c r="B1416" s="30" t="s">
        <v>2899</v>
      </c>
      <c r="C1416" s="30" t="s">
        <v>2900</v>
      </c>
      <c r="D1416" s="32">
        <v>80020</v>
      </c>
      <c r="E1416" s="30" t="s">
        <v>20</v>
      </c>
      <c r="F1416" s="30" t="s">
        <v>2377</v>
      </c>
      <c r="G1416" s="30" t="s">
        <v>80</v>
      </c>
      <c r="H1416" s="30" t="s">
        <v>278</v>
      </c>
      <c r="I1416" s="31">
        <v>5658.0519999999997</v>
      </c>
    </row>
    <row r="1417" spans="2:9" s="6" customFormat="1" ht="11.25" customHeight="1" x14ac:dyDescent="0.55000000000000004">
      <c r="B1417" s="30" t="s">
        <v>2901</v>
      </c>
      <c r="C1417" s="30" t="s">
        <v>2902</v>
      </c>
      <c r="D1417" s="32">
        <v>83950</v>
      </c>
      <c r="E1417" s="30" t="s">
        <v>15</v>
      </c>
      <c r="F1417" s="30"/>
      <c r="G1417" s="30"/>
      <c r="H1417" s="30" t="s">
        <v>92</v>
      </c>
      <c r="I1417" s="31" t="s">
        <v>29</v>
      </c>
    </row>
    <row r="1418" spans="2:9" s="6" customFormat="1" ht="11.25" customHeight="1" x14ac:dyDescent="0.55000000000000004">
      <c r="B1418" s="30" t="s">
        <v>2903</v>
      </c>
      <c r="C1418" s="30" t="s">
        <v>2904</v>
      </c>
      <c r="D1418" s="32">
        <v>78310</v>
      </c>
      <c r="E1418" s="30" t="s">
        <v>15</v>
      </c>
      <c r="F1418" s="30" t="s">
        <v>307</v>
      </c>
      <c r="G1418" s="30"/>
      <c r="H1418" s="30" t="s">
        <v>108</v>
      </c>
      <c r="I1418" s="31" t="s">
        <v>29</v>
      </c>
    </row>
    <row r="1419" spans="2:9" s="6" customFormat="1" ht="11.25" customHeight="1" x14ac:dyDescent="0.55000000000000004">
      <c r="B1419" s="30" t="s">
        <v>2905</v>
      </c>
      <c r="C1419" s="30" t="s">
        <v>2906</v>
      </c>
      <c r="D1419" s="32">
        <v>83380</v>
      </c>
      <c r="E1419" s="30" t="s">
        <v>15</v>
      </c>
      <c r="F1419" s="30" t="s">
        <v>307</v>
      </c>
      <c r="G1419" s="30"/>
      <c r="H1419" s="30" t="s">
        <v>108</v>
      </c>
      <c r="I1419" s="31" t="s">
        <v>29</v>
      </c>
    </row>
    <row r="1420" spans="2:9" s="6" customFormat="1" ht="11.25" customHeight="1" x14ac:dyDescent="0.55000000000000004">
      <c r="B1420" s="30" t="s">
        <v>2907</v>
      </c>
      <c r="C1420" s="30" t="s">
        <v>2908</v>
      </c>
      <c r="D1420" s="32">
        <v>66222</v>
      </c>
      <c r="E1420" s="30" t="s">
        <v>15</v>
      </c>
      <c r="F1420" s="30"/>
      <c r="G1420" s="30" t="s">
        <v>35</v>
      </c>
      <c r="H1420" s="30" t="s">
        <v>113</v>
      </c>
      <c r="I1420" s="31" t="s">
        <v>29</v>
      </c>
    </row>
    <row r="1421" spans="2:9" s="6" customFormat="1" ht="11.25" customHeight="1" x14ac:dyDescent="0.55000000000000004">
      <c r="B1421" s="30" t="s">
        <v>2909</v>
      </c>
      <c r="C1421" s="30" t="s">
        <v>2910</v>
      </c>
      <c r="D1421" s="32">
        <v>75485</v>
      </c>
      <c r="E1421" s="30" t="s">
        <v>20</v>
      </c>
      <c r="F1421" s="30"/>
      <c r="G1421" s="30" t="s">
        <v>35</v>
      </c>
      <c r="H1421" s="30" t="s">
        <v>66</v>
      </c>
      <c r="I1421" s="31">
        <v>12392.993</v>
      </c>
    </row>
    <row r="1422" spans="2:9" s="6" customFormat="1" ht="11.25" customHeight="1" x14ac:dyDescent="0.55000000000000004">
      <c r="B1422" s="30" t="s">
        <v>2911</v>
      </c>
      <c r="C1422" s="30" t="s">
        <v>2912</v>
      </c>
      <c r="D1422" s="32">
        <v>72087</v>
      </c>
      <c r="E1422" s="30" t="s">
        <v>20</v>
      </c>
      <c r="F1422" s="30"/>
      <c r="G1422" s="30" t="s">
        <v>129</v>
      </c>
      <c r="H1422" s="30" t="s">
        <v>130</v>
      </c>
      <c r="I1422" s="31" t="s">
        <v>29</v>
      </c>
    </row>
    <row r="1423" spans="2:9" s="6" customFormat="1" ht="11.25" customHeight="1" x14ac:dyDescent="0.55000000000000004">
      <c r="B1423" s="30" t="s">
        <v>2913</v>
      </c>
      <c r="C1423" s="30" t="s">
        <v>2914</v>
      </c>
      <c r="D1423" s="32">
        <v>14174</v>
      </c>
      <c r="E1423" s="30" t="s">
        <v>20</v>
      </c>
      <c r="F1423" s="30" t="s">
        <v>591</v>
      </c>
      <c r="G1423" s="30" t="s">
        <v>16</v>
      </c>
      <c r="H1423" s="30" t="s">
        <v>108</v>
      </c>
      <c r="I1423" s="31" t="s">
        <v>29</v>
      </c>
    </row>
    <row r="1424" spans="2:9" s="6" customFormat="1" ht="11.25" customHeight="1" x14ac:dyDescent="0.55000000000000004">
      <c r="B1424" s="30" t="s">
        <v>2915</v>
      </c>
      <c r="C1424" s="30" t="s">
        <v>2916</v>
      </c>
      <c r="D1424" s="32">
        <v>66346</v>
      </c>
      <c r="E1424" s="30" t="s">
        <v>20</v>
      </c>
      <c r="F1424" s="30" t="s">
        <v>591</v>
      </c>
      <c r="G1424" s="30" t="s">
        <v>194</v>
      </c>
      <c r="H1424" s="30" t="s">
        <v>108</v>
      </c>
      <c r="I1424" s="31">
        <v>8006785.4350000005</v>
      </c>
    </row>
    <row r="1425" spans="2:9" s="6" customFormat="1" ht="11.25" customHeight="1" x14ac:dyDescent="0.55000000000000004">
      <c r="B1425" s="30" t="s">
        <v>591</v>
      </c>
      <c r="C1425" s="30" t="s">
        <v>2917</v>
      </c>
      <c r="D1425" s="32" t="s">
        <v>29</v>
      </c>
      <c r="E1425" s="30" t="s">
        <v>20</v>
      </c>
      <c r="F1425" s="30" t="s">
        <v>591</v>
      </c>
      <c r="G1425" s="30" t="s">
        <v>35</v>
      </c>
      <c r="H1425" s="30" t="s">
        <v>108</v>
      </c>
      <c r="I1425" s="31">
        <v>8016328.4340000004</v>
      </c>
    </row>
    <row r="1426" spans="2:9" s="6" customFormat="1" ht="11.25" customHeight="1" x14ac:dyDescent="0.55000000000000004">
      <c r="B1426" s="30" t="s">
        <v>2918</v>
      </c>
      <c r="C1426" s="30" t="s">
        <v>2919</v>
      </c>
      <c r="D1426" s="32">
        <v>69604</v>
      </c>
      <c r="E1426" s="30" t="s">
        <v>20</v>
      </c>
      <c r="F1426" s="30" t="s">
        <v>591</v>
      </c>
      <c r="G1426" s="30" t="s">
        <v>16</v>
      </c>
      <c r="H1426" s="30" t="s">
        <v>108</v>
      </c>
      <c r="I1426" s="31">
        <v>9542.9989999999998</v>
      </c>
    </row>
    <row r="1427" spans="2:9" s="6" customFormat="1" ht="11.25" customHeight="1" x14ac:dyDescent="0.55000000000000004">
      <c r="B1427" s="30" t="s">
        <v>2920</v>
      </c>
      <c r="C1427" s="30" t="s">
        <v>2921</v>
      </c>
      <c r="D1427" s="32">
        <v>69604</v>
      </c>
      <c r="E1427" s="30" t="s">
        <v>20</v>
      </c>
      <c r="F1427" s="30"/>
      <c r="G1427" s="30"/>
      <c r="H1427" s="30" t="s">
        <v>108</v>
      </c>
      <c r="I1427" s="31" t="s">
        <v>29</v>
      </c>
    </row>
    <row r="1428" spans="2:9" s="6" customFormat="1" ht="11.25" customHeight="1" x14ac:dyDescent="0.55000000000000004">
      <c r="B1428" s="30" t="s">
        <v>2922</v>
      </c>
      <c r="C1428" s="30" t="s">
        <v>2923</v>
      </c>
      <c r="D1428" s="32">
        <v>69604</v>
      </c>
      <c r="E1428" s="30" t="s">
        <v>20</v>
      </c>
      <c r="F1428" s="30"/>
      <c r="G1428" s="30"/>
      <c r="H1428" s="30" t="s">
        <v>108</v>
      </c>
      <c r="I1428" s="31" t="s">
        <v>29</v>
      </c>
    </row>
    <row r="1429" spans="2:9" s="6" customFormat="1" ht="11.25" customHeight="1" x14ac:dyDescent="0.55000000000000004">
      <c r="B1429" s="30" t="s">
        <v>2924</v>
      </c>
      <c r="C1429" s="30" t="s">
        <v>2925</v>
      </c>
      <c r="D1429" s="32">
        <v>70793</v>
      </c>
      <c r="E1429" s="30" t="s">
        <v>15</v>
      </c>
      <c r="F1429" s="30"/>
      <c r="G1429" s="30" t="s">
        <v>21</v>
      </c>
      <c r="H1429" s="30" t="s">
        <v>22</v>
      </c>
      <c r="I1429" s="31" t="s">
        <v>29</v>
      </c>
    </row>
    <row r="1430" spans="2:9" s="6" customFormat="1" ht="11.25" customHeight="1" x14ac:dyDescent="0.55000000000000004">
      <c r="B1430" s="30" t="s">
        <v>2926</v>
      </c>
      <c r="C1430" s="30" t="s">
        <v>2927</v>
      </c>
      <c r="D1430" s="32">
        <v>91804</v>
      </c>
      <c r="E1430" s="30" t="s">
        <v>15</v>
      </c>
      <c r="F1430" s="30"/>
      <c r="G1430" s="30"/>
      <c r="H1430" s="30" t="s">
        <v>113</v>
      </c>
      <c r="I1430" s="31" t="s">
        <v>29</v>
      </c>
    </row>
    <row r="1431" spans="2:9" s="6" customFormat="1" ht="11.25" customHeight="1" x14ac:dyDescent="0.55000000000000004">
      <c r="B1431" s="30" t="s">
        <v>2928</v>
      </c>
      <c r="C1431" s="30" t="s">
        <v>2929</v>
      </c>
      <c r="D1431" s="32">
        <v>88668</v>
      </c>
      <c r="E1431" s="30" t="s">
        <v>20</v>
      </c>
      <c r="F1431" s="30"/>
      <c r="G1431" s="30" t="s">
        <v>155</v>
      </c>
      <c r="H1431" s="30" t="s">
        <v>124</v>
      </c>
      <c r="I1431" s="31">
        <v>23658085.164000001</v>
      </c>
    </row>
    <row r="1432" spans="2:9" s="6" customFormat="1" ht="11.25" customHeight="1" x14ac:dyDescent="0.55000000000000004">
      <c r="B1432" s="30" t="s">
        <v>2930</v>
      </c>
      <c r="C1432" s="30" t="s">
        <v>2931</v>
      </c>
      <c r="D1432" s="32">
        <v>88668</v>
      </c>
      <c r="E1432" s="30" t="s">
        <v>20</v>
      </c>
      <c r="F1432" s="30"/>
      <c r="G1432" s="30"/>
      <c r="H1432" s="30" t="s">
        <v>124</v>
      </c>
      <c r="I1432" s="31" t="s">
        <v>29</v>
      </c>
    </row>
    <row r="1433" spans="2:9" s="6" customFormat="1" ht="11.25" customHeight="1" x14ac:dyDescent="0.55000000000000004">
      <c r="B1433" s="30" t="s">
        <v>2932</v>
      </c>
      <c r="C1433" s="30" t="s">
        <v>2933</v>
      </c>
      <c r="D1433" s="32">
        <v>88668</v>
      </c>
      <c r="E1433" s="30" t="s">
        <v>20</v>
      </c>
      <c r="F1433" s="30"/>
      <c r="G1433" s="30"/>
      <c r="H1433" s="30" t="s">
        <v>124</v>
      </c>
      <c r="I1433" s="31" t="s">
        <v>29</v>
      </c>
    </row>
    <row r="1434" spans="2:9" s="6" customFormat="1" ht="11.25" customHeight="1" x14ac:dyDescent="0.55000000000000004">
      <c r="B1434" s="30" t="s">
        <v>2934</v>
      </c>
      <c r="C1434" s="30" t="s">
        <v>2935</v>
      </c>
      <c r="D1434" s="32">
        <v>62669</v>
      </c>
      <c r="E1434" s="30" t="s">
        <v>15</v>
      </c>
      <c r="F1434" s="30" t="s">
        <v>1116</v>
      </c>
      <c r="G1434" s="30" t="s">
        <v>35</v>
      </c>
      <c r="H1434" s="30" t="s">
        <v>30</v>
      </c>
      <c r="I1434" s="31" t="s">
        <v>29</v>
      </c>
    </row>
    <row r="1435" spans="2:9" s="6" customFormat="1" ht="11.25" customHeight="1" x14ac:dyDescent="0.55000000000000004">
      <c r="B1435" s="30" t="s">
        <v>1159</v>
      </c>
      <c r="C1435" s="30" t="s">
        <v>2936</v>
      </c>
      <c r="D1435" s="32" t="s">
        <v>29</v>
      </c>
      <c r="E1435" s="30" t="s">
        <v>20</v>
      </c>
      <c r="F1435" s="30" t="s">
        <v>1159</v>
      </c>
      <c r="G1435" s="30" t="s">
        <v>39</v>
      </c>
      <c r="H1435" s="30" t="s">
        <v>40</v>
      </c>
      <c r="I1435" s="31">
        <v>34805813.218000002</v>
      </c>
    </row>
    <row r="1436" spans="2:9" s="6" customFormat="1" ht="11.25" customHeight="1" x14ac:dyDescent="0.55000000000000004">
      <c r="B1436" s="30" t="s">
        <v>2937</v>
      </c>
      <c r="C1436" s="30" t="s">
        <v>2938</v>
      </c>
      <c r="D1436" s="32" t="s">
        <v>29</v>
      </c>
      <c r="E1436" s="30" t="s">
        <v>20</v>
      </c>
      <c r="F1436" s="30"/>
      <c r="G1436" s="30" t="s">
        <v>39</v>
      </c>
      <c r="H1436" s="30" t="s">
        <v>40</v>
      </c>
      <c r="I1436" s="31" t="s">
        <v>29</v>
      </c>
    </row>
    <row r="1437" spans="2:9" s="6" customFormat="1" ht="11.25" customHeight="1" x14ac:dyDescent="0.55000000000000004">
      <c r="B1437" s="30" t="s">
        <v>2939</v>
      </c>
      <c r="C1437" s="30" t="s">
        <v>2940</v>
      </c>
      <c r="D1437" s="32">
        <v>71412</v>
      </c>
      <c r="E1437" s="30" t="s">
        <v>20</v>
      </c>
      <c r="F1437" s="30" t="s">
        <v>1159</v>
      </c>
      <c r="G1437" s="30" t="s">
        <v>39</v>
      </c>
      <c r="H1437" s="30" t="s">
        <v>40</v>
      </c>
      <c r="I1437" s="31">
        <v>9107411.4930000007</v>
      </c>
    </row>
    <row r="1438" spans="2:9" s="6" customFormat="1" ht="11.25" customHeight="1" x14ac:dyDescent="0.55000000000000004">
      <c r="B1438" s="30" t="s">
        <v>2941</v>
      </c>
      <c r="C1438" s="30" t="s">
        <v>2942</v>
      </c>
      <c r="D1438" s="32">
        <v>66397</v>
      </c>
      <c r="E1438" s="30" t="s">
        <v>20</v>
      </c>
      <c r="F1438" s="30" t="s">
        <v>2371</v>
      </c>
      <c r="G1438" s="30" t="s">
        <v>35</v>
      </c>
      <c r="H1438" s="30" t="s">
        <v>500</v>
      </c>
      <c r="I1438" s="31">
        <v>480540.65500000003</v>
      </c>
    </row>
    <row r="1439" spans="2:9" s="6" customFormat="1" ht="11.25" customHeight="1" x14ac:dyDescent="0.55000000000000004">
      <c r="B1439" s="30" t="s">
        <v>2943</v>
      </c>
      <c r="C1439" s="30" t="s">
        <v>2944</v>
      </c>
      <c r="D1439" s="32">
        <v>66419</v>
      </c>
      <c r="E1439" s="30" t="s">
        <v>15</v>
      </c>
      <c r="F1439" s="30" t="s">
        <v>1237</v>
      </c>
      <c r="G1439" s="30" t="s">
        <v>35</v>
      </c>
      <c r="H1439" s="30" t="s">
        <v>22</v>
      </c>
      <c r="I1439" s="31" t="s">
        <v>29</v>
      </c>
    </row>
    <row r="1440" spans="2:9" s="6" customFormat="1" ht="11.25" customHeight="1" x14ac:dyDescent="0.55000000000000004">
      <c r="B1440" s="30" t="s">
        <v>2945</v>
      </c>
      <c r="C1440" s="30" t="s">
        <v>2946</v>
      </c>
      <c r="D1440" s="32">
        <v>66419</v>
      </c>
      <c r="E1440" s="30" t="s">
        <v>15</v>
      </c>
      <c r="F1440" s="30"/>
      <c r="G1440" s="30"/>
      <c r="H1440" s="30" t="s">
        <v>22</v>
      </c>
      <c r="I1440" s="31" t="s">
        <v>29</v>
      </c>
    </row>
    <row r="1441" spans="2:9" s="6" customFormat="1" ht="11.25" customHeight="1" x14ac:dyDescent="0.55000000000000004">
      <c r="B1441" s="30" t="s">
        <v>2947</v>
      </c>
      <c r="C1441" s="30" t="s">
        <v>2948</v>
      </c>
      <c r="D1441" s="32">
        <v>66427</v>
      </c>
      <c r="E1441" s="30" t="s">
        <v>20</v>
      </c>
      <c r="F1441" s="30" t="s">
        <v>2200</v>
      </c>
      <c r="G1441" s="30" t="s">
        <v>35</v>
      </c>
      <c r="H1441" s="30" t="s">
        <v>22</v>
      </c>
      <c r="I1441" s="31">
        <v>2115968.3050000002</v>
      </c>
    </row>
    <row r="1442" spans="2:9" s="6" customFormat="1" ht="11.25" customHeight="1" x14ac:dyDescent="0.55000000000000004">
      <c r="B1442" s="30" t="s">
        <v>2949</v>
      </c>
      <c r="C1442" s="30" t="s">
        <v>2950</v>
      </c>
      <c r="D1442" s="32">
        <v>66427</v>
      </c>
      <c r="E1442" s="30" t="s">
        <v>20</v>
      </c>
      <c r="F1442" s="30"/>
      <c r="G1442" s="30"/>
      <c r="H1442" s="30" t="s">
        <v>22</v>
      </c>
      <c r="I1442" s="31" t="s">
        <v>29</v>
      </c>
    </row>
    <row r="1443" spans="2:9" s="6" customFormat="1" ht="11.25" customHeight="1" x14ac:dyDescent="0.55000000000000004">
      <c r="B1443" s="30" t="s">
        <v>2951</v>
      </c>
      <c r="C1443" s="30" t="s">
        <v>2952</v>
      </c>
      <c r="D1443" s="32">
        <v>79596</v>
      </c>
      <c r="E1443" s="30" t="s">
        <v>15</v>
      </c>
      <c r="F1443" s="30"/>
      <c r="G1443" s="30"/>
      <c r="H1443" s="30" t="s">
        <v>22</v>
      </c>
      <c r="I1443" s="31" t="s">
        <v>29</v>
      </c>
    </row>
    <row r="1444" spans="2:9" s="6" customFormat="1" ht="11.25" customHeight="1" x14ac:dyDescent="0.55000000000000004">
      <c r="B1444" s="30" t="s">
        <v>2953</v>
      </c>
      <c r="C1444" s="30" t="s">
        <v>2954</v>
      </c>
      <c r="D1444" s="32">
        <v>91286</v>
      </c>
      <c r="E1444" s="30" t="s">
        <v>15</v>
      </c>
      <c r="F1444" s="30" t="s">
        <v>2067</v>
      </c>
      <c r="G1444" s="30"/>
      <c r="H1444" s="30" t="s">
        <v>124</v>
      </c>
      <c r="I1444" s="31" t="s">
        <v>29</v>
      </c>
    </row>
    <row r="1445" spans="2:9" s="6" customFormat="1" ht="11.25" customHeight="1" x14ac:dyDescent="0.55000000000000004">
      <c r="B1445" s="30" t="s">
        <v>2955</v>
      </c>
      <c r="C1445" s="30" t="s">
        <v>2956</v>
      </c>
      <c r="D1445" s="32">
        <v>85456</v>
      </c>
      <c r="E1445" s="30" t="s">
        <v>15</v>
      </c>
      <c r="F1445" s="30" t="s">
        <v>1054</v>
      </c>
      <c r="G1445" s="30"/>
      <c r="H1445" s="30" t="s">
        <v>22</v>
      </c>
      <c r="I1445" s="31" t="s">
        <v>29</v>
      </c>
    </row>
    <row r="1446" spans="2:9" s="6" customFormat="1" ht="11.25" customHeight="1" x14ac:dyDescent="0.55000000000000004">
      <c r="B1446" s="30" t="s">
        <v>2957</v>
      </c>
      <c r="C1446" s="30" t="s">
        <v>2958</v>
      </c>
      <c r="D1446" s="32">
        <v>93734</v>
      </c>
      <c r="E1446" s="30" t="s">
        <v>20</v>
      </c>
      <c r="F1446" s="30" t="s">
        <v>481</v>
      </c>
      <c r="G1446" s="30" t="s">
        <v>155</v>
      </c>
      <c r="H1446" s="30" t="s">
        <v>96</v>
      </c>
      <c r="I1446" s="31">
        <v>275879.21500000003</v>
      </c>
    </row>
    <row r="1447" spans="2:9" s="6" customFormat="1" ht="11.25" customHeight="1" x14ac:dyDescent="0.55000000000000004">
      <c r="B1447" s="30" t="s">
        <v>2959</v>
      </c>
      <c r="C1447" s="30" t="s">
        <v>2960</v>
      </c>
      <c r="D1447" s="32">
        <v>93734</v>
      </c>
      <c r="E1447" s="30" t="s">
        <v>20</v>
      </c>
      <c r="F1447" s="30"/>
      <c r="G1447" s="30"/>
      <c r="H1447" s="30" t="s">
        <v>96</v>
      </c>
      <c r="I1447" s="31" t="s">
        <v>29</v>
      </c>
    </row>
    <row r="1448" spans="2:9" s="6" customFormat="1" ht="11.25" customHeight="1" x14ac:dyDescent="0.55000000000000004">
      <c r="B1448" s="30" t="s">
        <v>2961</v>
      </c>
      <c r="C1448" s="30" t="s">
        <v>2962</v>
      </c>
      <c r="D1448" s="32">
        <v>93734</v>
      </c>
      <c r="E1448" s="30" t="s">
        <v>20</v>
      </c>
      <c r="F1448" s="30"/>
      <c r="G1448" s="30"/>
      <c r="H1448" s="30" t="s">
        <v>96</v>
      </c>
      <c r="I1448" s="31" t="s">
        <v>29</v>
      </c>
    </row>
    <row r="1449" spans="2:9" s="6" customFormat="1" ht="11.25" customHeight="1" x14ac:dyDescent="0.55000000000000004">
      <c r="B1449" s="30" t="s">
        <v>2963</v>
      </c>
      <c r="C1449" s="30" t="s">
        <v>2964</v>
      </c>
      <c r="D1449" s="32">
        <v>68284</v>
      </c>
      <c r="E1449" s="30" t="s">
        <v>20</v>
      </c>
      <c r="F1449" s="30" t="s">
        <v>481</v>
      </c>
      <c r="G1449" s="30" t="s">
        <v>39</v>
      </c>
      <c r="H1449" s="30" t="s">
        <v>262</v>
      </c>
      <c r="I1449" s="31">
        <v>75529.231</v>
      </c>
    </row>
    <row r="1450" spans="2:9" s="6" customFormat="1" ht="11.25" customHeight="1" x14ac:dyDescent="0.55000000000000004">
      <c r="B1450" s="30" t="s">
        <v>2965</v>
      </c>
      <c r="C1450" s="30" t="s">
        <v>2966</v>
      </c>
      <c r="D1450" s="32">
        <v>62359</v>
      </c>
      <c r="E1450" s="30" t="s">
        <v>20</v>
      </c>
      <c r="F1450" s="30" t="s">
        <v>481</v>
      </c>
      <c r="G1450" s="30" t="s">
        <v>39</v>
      </c>
      <c r="H1450" s="30" t="s">
        <v>262</v>
      </c>
      <c r="I1450" s="31">
        <v>401796.29499999998</v>
      </c>
    </row>
    <row r="1451" spans="2:9" s="6" customFormat="1" ht="11.25" customHeight="1" x14ac:dyDescent="0.55000000000000004">
      <c r="B1451" s="30" t="s">
        <v>2967</v>
      </c>
      <c r="C1451" s="30" t="s">
        <v>2968</v>
      </c>
      <c r="D1451" s="32">
        <v>67814</v>
      </c>
      <c r="E1451" s="30" t="s">
        <v>20</v>
      </c>
      <c r="F1451" s="30" t="s">
        <v>481</v>
      </c>
      <c r="G1451" s="30" t="s">
        <v>35</v>
      </c>
      <c r="H1451" s="30" t="s">
        <v>96</v>
      </c>
      <c r="I1451" s="31">
        <v>11733899.586999999</v>
      </c>
    </row>
    <row r="1452" spans="2:9" s="6" customFormat="1" ht="11.25" customHeight="1" x14ac:dyDescent="0.55000000000000004">
      <c r="B1452" s="30" t="s">
        <v>2969</v>
      </c>
      <c r="C1452" s="30" t="s">
        <v>2970</v>
      </c>
      <c r="D1452" s="32">
        <v>67814</v>
      </c>
      <c r="E1452" s="30" t="s">
        <v>20</v>
      </c>
      <c r="F1452" s="30"/>
      <c r="G1452" s="30"/>
      <c r="H1452" s="30" t="s">
        <v>96</v>
      </c>
      <c r="I1452" s="31" t="s">
        <v>29</v>
      </c>
    </row>
    <row r="1453" spans="2:9" s="6" customFormat="1" ht="11.25" customHeight="1" x14ac:dyDescent="0.55000000000000004">
      <c r="B1453" s="30" t="s">
        <v>2971</v>
      </c>
      <c r="C1453" s="30" t="s">
        <v>2972</v>
      </c>
      <c r="D1453" s="32">
        <v>67814</v>
      </c>
      <c r="E1453" s="30" t="s">
        <v>20</v>
      </c>
      <c r="F1453" s="30"/>
      <c r="G1453" s="30"/>
      <c r="H1453" s="30" t="s">
        <v>96</v>
      </c>
      <c r="I1453" s="31" t="s">
        <v>29</v>
      </c>
    </row>
    <row r="1454" spans="2:9" s="6" customFormat="1" ht="11.25" customHeight="1" x14ac:dyDescent="0.55000000000000004">
      <c r="B1454" s="30" t="s">
        <v>481</v>
      </c>
      <c r="C1454" s="30" t="s">
        <v>2973</v>
      </c>
      <c r="D1454" s="32" t="s">
        <v>29</v>
      </c>
      <c r="E1454" s="30" t="s">
        <v>20</v>
      </c>
      <c r="F1454" s="30" t="s">
        <v>481</v>
      </c>
      <c r="G1454" s="30" t="s">
        <v>35</v>
      </c>
      <c r="H1454" s="30" t="s">
        <v>96</v>
      </c>
      <c r="I1454" s="31">
        <v>18418165.988000002</v>
      </c>
    </row>
    <row r="1455" spans="2:9" s="6" customFormat="1" ht="11.25" customHeight="1" x14ac:dyDescent="0.55000000000000004">
      <c r="B1455" s="30" t="s">
        <v>2974</v>
      </c>
      <c r="C1455" s="30" t="s">
        <v>2975</v>
      </c>
      <c r="D1455" s="32" t="s">
        <v>29</v>
      </c>
      <c r="E1455" s="30" t="s">
        <v>20</v>
      </c>
      <c r="F1455" s="30"/>
      <c r="G1455" s="30"/>
      <c r="H1455" s="30" t="s">
        <v>96</v>
      </c>
      <c r="I1455" s="31" t="s">
        <v>29</v>
      </c>
    </row>
    <row r="1456" spans="2:9" s="6" customFormat="1" ht="11.25" customHeight="1" x14ac:dyDescent="0.55000000000000004">
      <c r="B1456" s="30" t="s">
        <v>2976</v>
      </c>
      <c r="C1456" s="30" t="s">
        <v>2977</v>
      </c>
      <c r="D1456" s="32">
        <v>12273</v>
      </c>
      <c r="E1456" s="30" t="s">
        <v>15</v>
      </c>
      <c r="F1456" s="30"/>
      <c r="G1456" s="30" t="s">
        <v>155</v>
      </c>
      <c r="H1456" s="30" t="s">
        <v>239</v>
      </c>
      <c r="I1456" s="31" t="s">
        <v>29</v>
      </c>
    </row>
    <row r="1457" spans="2:9" s="6" customFormat="1" ht="11.25" customHeight="1" x14ac:dyDescent="0.55000000000000004">
      <c r="B1457" s="30" t="s">
        <v>2978</v>
      </c>
      <c r="C1457" s="30" t="s">
        <v>2979</v>
      </c>
      <c r="D1457" s="32">
        <v>61409</v>
      </c>
      <c r="E1457" s="30" t="s">
        <v>20</v>
      </c>
      <c r="F1457" s="30" t="s">
        <v>2980</v>
      </c>
      <c r="G1457" s="30" t="s">
        <v>25</v>
      </c>
      <c r="H1457" s="30" t="s">
        <v>124</v>
      </c>
      <c r="I1457" s="31">
        <v>592388.10600000003</v>
      </c>
    </row>
    <row r="1458" spans="2:9" s="6" customFormat="1" ht="11.25" customHeight="1" x14ac:dyDescent="0.55000000000000004">
      <c r="B1458" s="30" t="s">
        <v>2981</v>
      </c>
      <c r="C1458" s="30" t="s">
        <v>2982</v>
      </c>
      <c r="D1458" s="32">
        <v>61409</v>
      </c>
      <c r="E1458" s="30" t="s">
        <v>20</v>
      </c>
      <c r="F1458" s="30"/>
      <c r="G1458" s="30"/>
      <c r="H1458" s="30" t="s">
        <v>124</v>
      </c>
      <c r="I1458" s="31" t="s">
        <v>29</v>
      </c>
    </row>
    <row r="1459" spans="2:9" s="6" customFormat="1" ht="11.25" customHeight="1" x14ac:dyDescent="0.55000000000000004">
      <c r="B1459" s="30" t="s">
        <v>2983</v>
      </c>
      <c r="C1459" s="30" t="s">
        <v>2984</v>
      </c>
      <c r="D1459" s="32">
        <v>61409</v>
      </c>
      <c r="E1459" s="30" t="s">
        <v>20</v>
      </c>
      <c r="F1459" s="30"/>
      <c r="G1459" s="30"/>
      <c r="H1459" s="30" t="s">
        <v>124</v>
      </c>
      <c r="I1459" s="31" t="s">
        <v>29</v>
      </c>
    </row>
    <row r="1460" spans="2:9" s="6" customFormat="1" ht="11.25" customHeight="1" x14ac:dyDescent="0.55000000000000004">
      <c r="B1460" s="30" t="s">
        <v>2985</v>
      </c>
      <c r="C1460" s="30" t="s">
        <v>2986</v>
      </c>
      <c r="D1460" s="32">
        <v>67890</v>
      </c>
      <c r="E1460" s="30" t="s">
        <v>15</v>
      </c>
      <c r="F1460" s="30" t="s">
        <v>307</v>
      </c>
      <c r="G1460" s="30"/>
      <c r="H1460" s="30" t="s">
        <v>66</v>
      </c>
      <c r="I1460" s="31" t="s">
        <v>29</v>
      </c>
    </row>
    <row r="1461" spans="2:9" s="6" customFormat="1" ht="11.25" customHeight="1" x14ac:dyDescent="0.55000000000000004">
      <c r="B1461" s="30" t="s">
        <v>2987</v>
      </c>
      <c r="C1461" s="30" t="s">
        <v>2988</v>
      </c>
      <c r="D1461" s="32">
        <v>85073</v>
      </c>
      <c r="E1461" s="30" t="s">
        <v>15</v>
      </c>
      <c r="F1461" s="30"/>
      <c r="G1461" s="30"/>
      <c r="H1461" s="30" t="s">
        <v>105</v>
      </c>
      <c r="I1461" s="31" t="s">
        <v>29</v>
      </c>
    </row>
    <row r="1462" spans="2:9" s="6" customFormat="1" ht="11.25" customHeight="1" x14ac:dyDescent="0.55000000000000004">
      <c r="B1462" s="30" t="s">
        <v>2989</v>
      </c>
      <c r="C1462" s="30" t="s">
        <v>2990</v>
      </c>
      <c r="D1462" s="32">
        <v>66532</v>
      </c>
      <c r="E1462" s="30" t="s">
        <v>20</v>
      </c>
      <c r="F1462" s="30" t="s">
        <v>344</v>
      </c>
      <c r="G1462" s="30" t="s">
        <v>35</v>
      </c>
      <c r="H1462" s="30" t="s">
        <v>113</v>
      </c>
      <c r="I1462" s="31">
        <v>428524.80800000002</v>
      </c>
    </row>
    <row r="1463" spans="2:9" s="6" customFormat="1" ht="11.25" customHeight="1" x14ac:dyDescent="0.55000000000000004">
      <c r="B1463" s="30" t="s">
        <v>344</v>
      </c>
      <c r="C1463" s="30" t="s">
        <v>2991</v>
      </c>
      <c r="D1463" s="32" t="s">
        <v>29</v>
      </c>
      <c r="E1463" s="30" t="s">
        <v>20</v>
      </c>
      <c r="F1463" s="30" t="s">
        <v>344</v>
      </c>
      <c r="G1463" s="30" t="s">
        <v>35</v>
      </c>
      <c r="H1463" s="30" t="s">
        <v>113</v>
      </c>
      <c r="I1463" s="31">
        <v>431241.40600000002</v>
      </c>
    </row>
    <row r="1464" spans="2:9" s="6" customFormat="1" ht="11.25" customHeight="1" x14ac:dyDescent="0.55000000000000004">
      <c r="B1464" s="30" t="s">
        <v>2992</v>
      </c>
      <c r="C1464" s="30" t="s">
        <v>2993</v>
      </c>
      <c r="D1464" s="32">
        <v>65510</v>
      </c>
      <c r="E1464" s="30" t="s">
        <v>15</v>
      </c>
      <c r="F1464" s="30"/>
      <c r="G1464" s="30"/>
      <c r="H1464" s="30" t="s">
        <v>113</v>
      </c>
      <c r="I1464" s="31" t="s">
        <v>29</v>
      </c>
    </row>
    <row r="1465" spans="2:9" s="6" customFormat="1" ht="11.25" customHeight="1" x14ac:dyDescent="0.55000000000000004">
      <c r="B1465" s="30" t="s">
        <v>2994</v>
      </c>
      <c r="C1465" s="30" t="s">
        <v>2995</v>
      </c>
      <c r="D1465" s="32">
        <v>66559</v>
      </c>
      <c r="E1465" s="30" t="s">
        <v>15</v>
      </c>
      <c r="F1465" s="30" t="s">
        <v>709</v>
      </c>
      <c r="G1465" s="30"/>
      <c r="H1465" s="30" t="s">
        <v>150</v>
      </c>
      <c r="I1465" s="31" t="s">
        <v>29</v>
      </c>
    </row>
    <row r="1466" spans="2:9" s="6" customFormat="1" ht="11.25" customHeight="1" x14ac:dyDescent="0.55000000000000004">
      <c r="B1466" s="30" t="s">
        <v>2996</v>
      </c>
      <c r="C1466" s="30" t="s">
        <v>2997</v>
      </c>
      <c r="D1466" s="32">
        <v>90956</v>
      </c>
      <c r="E1466" s="30" t="s">
        <v>15</v>
      </c>
      <c r="F1466" s="30"/>
      <c r="G1466" s="30" t="s">
        <v>39</v>
      </c>
      <c r="H1466" s="30" t="s">
        <v>86</v>
      </c>
      <c r="I1466" s="31" t="s">
        <v>29</v>
      </c>
    </row>
    <row r="1467" spans="2:9" s="6" customFormat="1" ht="11.25" customHeight="1" x14ac:dyDescent="0.55000000000000004">
      <c r="B1467" s="30" t="s">
        <v>2998</v>
      </c>
      <c r="C1467" s="30" t="s">
        <v>2999</v>
      </c>
      <c r="D1467" s="32">
        <v>98205</v>
      </c>
      <c r="E1467" s="30" t="s">
        <v>20</v>
      </c>
      <c r="F1467" s="30" t="s">
        <v>149</v>
      </c>
      <c r="G1467" s="30" t="s">
        <v>39</v>
      </c>
      <c r="H1467" s="30" t="s">
        <v>113</v>
      </c>
      <c r="I1467" s="31">
        <v>70833.505000000005</v>
      </c>
    </row>
    <row r="1468" spans="2:9" s="6" customFormat="1" ht="11.25" customHeight="1" x14ac:dyDescent="0.55000000000000004">
      <c r="B1468" s="30" t="s">
        <v>1343</v>
      </c>
      <c r="C1468" s="30" t="s">
        <v>3000</v>
      </c>
      <c r="D1468" s="32" t="s">
        <v>29</v>
      </c>
      <c r="E1468" s="30" t="s">
        <v>20</v>
      </c>
      <c r="F1468" s="30" t="s">
        <v>1343</v>
      </c>
      <c r="G1468" s="30" t="s">
        <v>35</v>
      </c>
      <c r="H1468" s="30" t="s">
        <v>124</v>
      </c>
      <c r="I1468" s="31">
        <v>116798.027</v>
      </c>
    </row>
    <row r="1469" spans="2:9" s="6" customFormat="1" ht="11.25" customHeight="1" x14ac:dyDescent="0.55000000000000004">
      <c r="B1469" s="30" t="s">
        <v>3001</v>
      </c>
      <c r="C1469" s="30" t="s">
        <v>3002</v>
      </c>
      <c r="D1469" s="32">
        <v>64572</v>
      </c>
      <c r="E1469" s="30" t="s">
        <v>15</v>
      </c>
      <c r="F1469" s="30" t="s">
        <v>709</v>
      </c>
      <c r="G1469" s="30"/>
      <c r="H1469" s="30" t="s">
        <v>150</v>
      </c>
      <c r="I1469" s="31" t="s">
        <v>29</v>
      </c>
    </row>
    <row r="1470" spans="2:9" s="6" customFormat="1" ht="11.25" customHeight="1" x14ac:dyDescent="0.55000000000000004">
      <c r="B1470" s="30" t="s">
        <v>185</v>
      </c>
      <c r="C1470" s="30" t="s">
        <v>3003</v>
      </c>
      <c r="D1470" s="32" t="s">
        <v>29</v>
      </c>
      <c r="E1470" s="30" t="s">
        <v>20</v>
      </c>
      <c r="F1470" s="30" t="s">
        <v>185</v>
      </c>
      <c r="G1470" s="30" t="s">
        <v>25</v>
      </c>
      <c r="H1470" s="30" t="s">
        <v>146</v>
      </c>
      <c r="I1470" s="31">
        <v>4699584.551</v>
      </c>
    </row>
    <row r="1471" spans="2:9" s="6" customFormat="1" ht="11.25" customHeight="1" x14ac:dyDescent="0.55000000000000004">
      <c r="B1471" s="30" t="s">
        <v>3004</v>
      </c>
      <c r="C1471" s="30" t="s">
        <v>3005</v>
      </c>
      <c r="D1471" s="32">
        <v>66583</v>
      </c>
      <c r="E1471" s="30" t="s">
        <v>20</v>
      </c>
      <c r="F1471" s="30" t="s">
        <v>185</v>
      </c>
      <c r="G1471" s="30" t="s">
        <v>25</v>
      </c>
      <c r="H1471" s="30" t="s">
        <v>146</v>
      </c>
      <c r="I1471" s="31">
        <v>4301641.8310000002</v>
      </c>
    </row>
    <row r="1472" spans="2:9" s="6" customFormat="1" ht="11.25" customHeight="1" x14ac:dyDescent="0.55000000000000004">
      <c r="B1472" s="30" t="s">
        <v>3006</v>
      </c>
      <c r="C1472" s="30" t="s">
        <v>3007</v>
      </c>
      <c r="D1472" s="32">
        <v>82538</v>
      </c>
      <c r="E1472" s="30" t="s">
        <v>20</v>
      </c>
      <c r="F1472" s="30" t="s">
        <v>1343</v>
      </c>
      <c r="G1472" s="30" t="s">
        <v>35</v>
      </c>
      <c r="H1472" s="30" t="s">
        <v>113</v>
      </c>
      <c r="I1472" s="31">
        <v>87247.122000000003</v>
      </c>
    </row>
    <row r="1473" spans="2:9" s="6" customFormat="1" ht="11.25" customHeight="1" x14ac:dyDescent="0.55000000000000004">
      <c r="B1473" s="30" t="s">
        <v>3008</v>
      </c>
      <c r="C1473" s="30" t="s">
        <v>3009</v>
      </c>
      <c r="D1473" s="32">
        <v>86916</v>
      </c>
      <c r="E1473" s="30" t="s">
        <v>15</v>
      </c>
      <c r="F1473" s="30"/>
      <c r="G1473" s="30"/>
      <c r="H1473" s="30" t="s">
        <v>113</v>
      </c>
      <c r="I1473" s="31" t="s">
        <v>29</v>
      </c>
    </row>
    <row r="1474" spans="2:9" s="6" customFormat="1" ht="11.25" customHeight="1" x14ac:dyDescent="0.55000000000000004">
      <c r="B1474" s="30" t="s">
        <v>3010</v>
      </c>
      <c r="C1474" s="30" t="s">
        <v>3011</v>
      </c>
      <c r="D1474" s="32">
        <v>10093</v>
      </c>
      <c r="E1474" s="30" t="s">
        <v>20</v>
      </c>
      <c r="F1474" s="30" t="s">
        <v>396</v>
      </c>
      <c r="G1474" s="30" t="s">
        <v>35</v>
      </c>
      <c r="H1474" s="30" t="s">
        <v>124</v>
      </c>
      <c r="I1474" s="31">
        <v>305910.80499999999</v>
      </c>
    </row>
    <row r="1475" spans="2:9" s="6" customFormat="1" ht="11.25" customHeight="1" x14ac:dyDescent="0.55000000000000004">
      <c r="B1475" s="30" t="s">
        <v>3012</v>
      </c>
      <c r="C1475" s="30" t="s">
        <v>3013</v>
      </c>
      <c r="D1475" s="32">
        <v>75264</v>
      </c>
      <c r="E1475" s="30" t="s">
        <v>20</v>
      </c>
      <c r="F1475" s="30" t="s">
        <v>1127</v>
      </c>
      <c r="G1475" s="30" t="s">
        <v>155</v>
      </c>
      <c r="H1475" s="30" t="s">
        <v>313</v>
      </c>
      <c r="I1475" s="31">
        <v>4484103.9869999997</v>
      </c>
    </row>
    <row r="1476" spans="2:9" s="6" customFormat="1" ht="11.25" customHeight="1" x14ac:dyDescent="0.55000000000000004">
      <c r="B1476" s="30" t="s">
        <v>3014</v>
      </c>
      <c r="C1476" s="30" t="s">
        <v>3015</v>
      </c>
      <c r="D1476" s="32">
        <v>75264</v>
      </c>
      <c r="E1476" s="30" t="s">
        <v>20</v>
      </c>
      <c r="F1476" s="30"/>
      <c r="G1476" s="30"/>
      <c r="H1476" s="30" t="s">
        <v>313</v>
      </c>
      <c r="I1476" s="31" t="s">
        <v>29</v>
      </c>
    </row>
    <row r="1477" spans="2:9" s="6" customFormat="1" ht="11.25" customHeight="1" x14ac:dyDescent="0.55000000000000004">
      <c r="B1477" s="30" t="s">
        <v>3016</v>
      </c>
      <c r="C1477" s="30" t="s">
        <v>3017</v>
      </c>
      <c r="D1477" s="32">
        <v>75264</v>
      </c>
      <c r="E1477" s="30" t="s">
        <v>20</v>
      </c>
      <c r="F1477" s="30"/>
      <c r="G1477" s="30"/>
      <c r="H1477" s="30" t="s">
        <v>313</v>
      </c>
      <c r="I1477" s="31" t="s">
        <v>29</v>
      </c>
    </row>
    <row r="1478" spans="2:9" s="6" customFormat="1" ht="11.25" customHeight="1" x14ac:dyDescent="0.55000000000000004">
      <c r="B1478" s="30" t="s">
        <v>3018</v>
      </c>
      <c r="C1478" s="30" t="s">
        <v>3019</v>
      </c>
      <c r="D1478" s="32">
        <v>67130</v>
      </c>
      <c r="E1478" s="30" t="s">
        <v>15</v>
      </c>
      <c r="F1478" s="30"/>
      <c r="G1478" s="30"/>
      <c r="H1478" s="30" t="s">
        <v>150</v>
      </c>
      <c r="I1478" s="31" t="s">
        <v>29</v>
      </c>
    </row>
    <row r="1479" spans="2:9" s="6" customFormat="1" ht="11.25" customHeight="1" x14ac:dyDescent="0.55000000000000004">
      <c r="B1479" s="30" t="s">
        <v>2474</v>
      </c>
      <c r="C1479" s="30" t="s">
        <v>3020</v>
      </c>
      <c r="D1479" s="32" t="s">
        <v>29</v>
      </c>
      <c r="E1479" s="30" t="s">
        <v>20</v>
      </c>
      <c r="F1479" s="30" t="s">
        <v>2474</v>
      </c>
      <c r="G1479" s="30" t="s">
        <v>265</v>
      </c>
      <c r="H1479" s="30" t="s">
        <v>3021</v>
      </c>
      <c r="I1479" s="31">
        <v>31464760.763</v>
      </c>
    </row>
    <row r="1480" spans="2:9" s="6" customFormat="1" ht="11.25" customHeight="1" x14ac:dyDescent="0.55000000000000004">
      <c r="B1480" s="30" t="s">
        <v>3022</v>
      </c>
      <c r="C1480" s="30" t="s">
        <v>3023</v>
      </c>
      <c r="D1480" s="32">
        <v>66680</v>
      </c>
      <c r="E1480" s="30" t="s">
        <v>20</v>
      </c>
      <c r="F1480" s="30" t="s">
        <v>2474</v>
      </c>
      <c r="G1480" s="30" t="s">
        <v>35</v>
      </c>
      <c r="H1480" s="30" t="s">
        <v>3021</v>
      </c>
      <c r="I1480" s="31">
        <v>10102738.743000001</v>
      </c>
    </row>
    <row r="1481" spans="2:9" s="6" customFormat="1" ht="11.25" customHeight="1" x14ac:dyDescent="0.55000000000000004">
      <c r="B1481" s="30" t="s">
        <v>3024</v>
      </c>
      <c r="C1481" s="30" t="s">
        <v>3025</v>
      </c>
      <c r="D1481" s="32">
        <v>66680</v>
      </c>
      <c r="E1481" s="30" t="s">
        <v>20</v>
      </c>
      <c r="F1481" s="30"/>
      <c r="G1481" s="30"/>
      <c r="H1481" s="30" t="s">
        <v>3021</v>
      </c>
      <c r="I1481" s="31" t="s">
        <v>29</v>
      </c>
    </row>
    <row r="1482" spans="2:9" s="6" customFormat="1" ht="11.25" customHeight="1" x14ac:dyDescent="0.55000000000000004">
      <c r="B1482" s="30" t="s">
        <v>3026</v>
      </c>
      <c r="C1482" s="30" t="s">
        <v>3027</v>
      </c>
      <c r="D1482" s="32">
        <v>66680</v>
      </c>
      <c r="E1482" s="30" t="s">
        <v>20</v>
      </c>
      <c r="F1482" s="30"/>
      <c r="G1482" s="30"/>
      <c r="H1482" s="30" t="s">
        <v>3021</v>
      </c>
      <c r="I1482" s="31" t="s">
        <v>29</v>
      </c>
    </row>
    <row r="1483" spans="2:9" s="6" customFormat="1" ht="11.25" customHeight="1" x14ac:dyDescent="0.55000000000000004">
      <c r="B1483" s="30" t="s">
        <v>3028</v>
      </c>
      <c r="C1483" s="30" t="s">
        <v>3029</v>
      </c>
      <c r="D1483" s="32">
        <v>60075</v>
      </c>
      <c r="E1483" s="30" t="s">
        <v>15</v>
      </c>
      <c r="F1483" s="30"/>
      <c r="G1483" s="30"/>
      <c r="H1483" s="30" t="s">
        <v>150</v>
      </c>
      <c r="I1483" s="31" t="s">
        <v>29</v>
      </c>
    </row>
    <row r="1484" spans="2:9" s="6" customFormat="1" ht="11.25" customHeight="1" x14ac:dyDescent="0.55000000000000004">
      <c r="B1484" s="30" t="s">
        <v>3030</v>
      </c>
      <c r="C1484" s="30" t="s">
        <v>3031</v>
      </c>
      <c r="D1484" s="32">
        <v>75744</v>
      </c>
      <c r="E1484" s="30" t="s">
        <v>15</v>
      </c>
      <c r="F1484" s="30" t="s">
        <v>1116</v>
      </c>
      <c r="G1484" s="30" t="s">
        <v>35</v>
      </c>
      <c r="H1484" s="30" t="s">
        <v>124</v>
      </c>
      <c r="I1484" s="31" t="s">
        <v>29</v>
      </c>
    </row>
    <row r="1485" spans="2:9" s="6" customFormat="1" ht="11.25" customHeight="1" x14ac:dyDescent="0.55000000000000004">
      <c r="B1485" s="30" t="s">
        <v>3032</v>
      </c>
      <c r="C1485" s="30" t="s">
        <v>3033</v>
      </c>
      <c r="D1485" s="32">
        <v>85472</v>
      </c>
      <c r="E1485" s="30" t="s">
        <v>20</v>
      </c>
      <c r="F1485" s="30" t="s">
        <v>3034</v>
      </c>
      <c r="G1485" s="30" t="s">
        <v>16</v>
      </c>
      <c r="H1485" s="30" t="s">
        <v>313</v>
      </c>
      <c r="I1485" s="31">
        <v>463305.27900000004</v>
      </c>
    </row>
    <row r="1486" spans="2:9" s="6" customFormat="1" ht="11.25" customHeight="1" x14ac:dyDescent="0.55000000000000004">
      <c r="B1486" s="30" t="s">
        <v>3035</v>
      </c>
      <c r="C1486" s="30" t="s">
        <v>3036</v>
      </c>
      <c r="D1486" s="32">
        <v>85472</v>
      </c>
      <c r="E1486" s="30" t="s">
        <v>20</v>
      </c>
      <c r="F1486" s="30"/>
      <c r="G1486" s="30"/>
      <c r="H1486" s="30" t="s">
        <v>313</v>
      </c>
      <c r="I1486" s="31" t="s">
        <v>29</v>
      </c>
    </row>
    <row r="1487" spans="2:9" s="6" customFormat="1" ht="11.25" customHeight="1" x14ac:dyDescent="0.55000000000000004">
      <c r="B1487" s="30" t="s">
        <v>3037</v>
      </c>
      <c r="C1487" s="30" t="s">
        <v>3038</v>
      </c>
      <c r="D1487" s="32">
        <v>85472</v>
      </c>
      <c r="E1487" s="30" t="s">
        <v>20</v>
      </c>
      <c r="F1487" s="30"/>
      <c r="G1487" s="30"/>
      <c r="H1487" s="30" t="s">
        <v>313</v>
      </c>
      <c r="I1487" s="31" t="s">
        <v>29</v>
      </c>
    </row>
    <row r="1488" spans="2:9" s="6" customFormat="1" ht="11.25" customHeight="1" x14ac:dyDescent="0.55000000000000004">
      <c r="B1488" s="30" t="s">
        <v>3039</v>
      </c>
      <c r="C1488" s="30" t="s">
        <v>3040</v>
      </c>
      <c r="D1488" s="32">
        <v>66788</v>
      </c>
      <c r="E1488" s="30" t="s">
        <v>20</v>
      </c>
      <c r="F1488" s="30"/>
      <c r="G1488" s="30" t="s">
        <v>35</v>
      </c>
      <c r="H1488" s="30" t="s">
        <v>48</v>
      </c>
      <c r="I1488" s="31">
        <v>59254.114000000001</v>
      </c>
    </row>
    <row r="1489" spans="2:9" s="6" customFormat="1" ht="11.25" customHeight="1" x14ac:dyDescent="0.55000000000000004">
      <c r="B1489" s="30" t="s">
        <v>3041</v>
      </c>
      <c r="C1489" s="30" t="s">
        <v>3042</v>
      </c>
      <c r="D1489" s="32">
        <v>60593</v>
      </c>
      <c r="E1489" s="30" t="s">
        <v>15</v>
      </c>
      <c r="F1489" s="30"/>
      <c r="G1489" s="30" t="s">
        <v>39</v>
      </c>
      <c r="H1489" s="30" t="s">
        <v>500</v>
      </c>
      <c r="I1489" s="31" t="s">
        <v>29</v>
      </c>
    </row>
    <row r="1490" spans="2:9" s="6" customFormat="1" ht="11.25" customHeight="1" x14ac:dyDescent="0.55000000000000004">
      <c r="B1490" s="30" t="s">
        <v>3043</v>
      </c>
      <c r="C1490" s="30" t="s">
        <v>3044</v>
      </c>
      <c r="D1490" s="32">
        <v>75663</v>
      </c>
      <c r="E1490" s="30" t="s">
        <v>15</v>
      </c>
      <c r="F1490" s="30"/>
      <c r="G1490" s="30"/>
      <c r="H1490" s="30" t="s">
        <v>655</v>
      </c>
      <c r="I1490" s="31" t="s">
        <v>29</v>
      </c>
    </row>
    <row r="1491" spans="2:9" s="6" customFormat="1" ht="11.25" customHeight="1" x14ac:dyDescent="0.55000000000000004">
      <c r="B1491" s="30" t="s">
        <v>3045</v>
      </c>
      <c r="C1491" s="30" t="s">
        <v>3046</v>
      </c>
      <c r="D1491" s="32">
        <v>66826</v>
      </c>
      <c r="E1491" s="30" t="s">
        <v>15</v>
      </c>
      <c r="F1491" s="30"/>
      <c r="G1491" s="30"/>
      <c r="H1491" s="30" t="s">
        <v>63</v>
      </c>
      <c r="I1491" s="31" t="s">
        <v>29</v>
      </c>
    </row>
    <row r="1492" spans="2:9" s="6" customFormat="1" ht="11.25" customHeight="1" x14ac:dyDescent="0.55000000000000004">
      <c r="B1492" s="30" t="s">
        <v>3047</v>
      </c>
      <c r="C1492" s="30" t="s">
        <v>3048</v>
      </c>
      <c r="D1492" s="32">
        <v>66826</v>
      </c>
      <c r="E1492" s="30" t="s">
        <v>15</v>
      </c>
      <c r="F1492" s="30"/>
      <c r="G1492" s="30"/>
      <c r="H1492" s="30" t="s">
        <v>63</v>
      </c>
      <c r="I1492" s="31" t="s">
        <v>29</v>
      </c>
    </row>
    <row r="1493" spans="2:9" s="6" customFormat="1" ht="11.25" customHeight="1" x14ac:dyDescent="0.55000000000000004">
      <c r="B1493" s="30" t="s">
        <v>3049</v>
      </c>
      <c r="C1493" s="30" t="s">
        <v>3050</v>
      </c>
      <c r="D1493" s="32">
        <v>66850</v>
      </c>
      <c r="E1493" s="30" t="s">
        <v>20</v>
      </c>
      <c r="F1493" s="30" t="s">
        <v>3051</v>
      </c>
      <c r="G1493" s="30" t="s">
        <v>265</v>
      </c>
      <c r="H1493" s="30" t="s">
        <v>113</v>
      </c>
      <c r="I1493" s="31">
        <v>10792617.514</v>
      </c>
    </row>
    <row r="1494" spans="2:9" s="6" customFormat="1" ht="11.25" customHeight="1" x14ac:dyDescent="0.55000000000000004">
      <c r="B1494" s="30" t="s">
        <v>3051</v>
      </c>
      <c r="C1494" s="30" t="s">
        <v>3052</v>
      </c>
      <c r="D1494" s="32" t="s">
        <v>29</v>
      </c>
      <c r="E1494" s="30" t="s">
        <v>20</v>
      </c>
      <c r="F1494" s="30" t="s">
        <v>3051</v>
      </c>
      <c r="G1494" s="30" t="s">
        <v>265</v>
      </c>
      <c r="H1494" s="30" t="s">
        <v>113</v>
      </c>
      <c r="I1494" s="31">
        <v>11379467.414000001</v>
      </c>
    </row>
    <row r="1495" spans="2:9" s="6" customFormat="1" ht="11.25" customHeight="1" x14ac:dyDescent="0.55000000000000004">
      <c r="B1495" s="30" t="s">
        <v>3053</v>
      </c>
      <c r="C1495" s="30" t="s">
        <v>3054</v>
      </c>
      <c r="D1495" s="32">
        <v>90522</v>
      </c>
      <c r="E1495" s="30" t="s">
        <v>15</v>
      </c>
      <c r="F1495" s="30" t="s">
        <v>2371</v>
      </c>
      <c r="G1495" s="30"/>
      <c r="H1495" s="30" t="s">
        <v>45</v>
      </c>
      <c r="I1495" s="31" t="s">
        <v>29</v>
      </c>
    </row>
    <row r="1496" spans="2:9" s="6" customFormat="1" ht="11.25" customHeight="1" x14ac:dyDescent="0.55000000000000004">
      <c r="B1496" s="30" t="s">
        <v>3055</v>
      </c>
      <c r="C1496" s="30" t="s">
        <v>3056</v>
      </c>
      <c r="D1496" s="32">
        <v>69299</v>
      </c>
      <c r="E1496" s="30" t="s">
        <v>15</v>
      </c>
      <c r="F1496" s="30"/>
      <c r="G1496" s="30"/>
      <c r="H1496" s="30" t="s">
        <v>686</v>
      </c>
      <c r="I1496" s="31" t="s">
        <v>29</v>
      </c>
    </row>
    <row r="1497" spans="2:9" s="6" customFormat="1" ht="11.25" customHeight="1" x14ac:dyDescent="0.55000000000000004">
      <c r="B1497" s="30" t="s">
        <v>1415</v>
      </c>
      <c r="C1497" s="30" t="s">
        <v>3057</v>
      </c>
      <c r="D1497" s="32" t="s">
        <v>29</v>
      </c>
      <c r="E1497" s="30" t="s">
        <v>20</v>
      </c>
      <c r="F1497" s="30" t="s">
        <v>1415</v>
      </c>
      <c r="G1497" s="30" t="s">
        <v>155</v>
      </c>
      <c r="H1497" s="30" t="s">
        <v>313</v>
      </c>
      <c r="I1497" s="31">
        <v>195158237.91300002</v>
      </c>
    </row>
    <row r="1498" spans="2:9" s="6" customFormat="1" ht="11.25" customHeight="1" x14ac:dyDescent="0.55000000000000004">
      <c r="B1498" s="30" t="s">
        <v>3058</v>
      </c>
      <c r="C1498" s="30" t="s">
        <v>3059</v>
      </c>
      <c r="D1498" s="32" t="s">
        <v>29</v>
      </c>
      <c r="E1498" s="30" t="s">
        <v>20</v>
      </c>
      <c r="F1498" s="30"/>
      <c r="G1498" s="30"/>
      <c r="H1498" s="30" t="s">
        <v>313</v>
      </c>
      <c r="I1498" s="31" t="s">
        <v>29</v>
      </c>
    </row>
    <row r="1499" spans="2:9" s="6" customFormat="1" ht="11.25" customHeight="1" x14ac:dyDescent="0.55000000000000004">
      <c r="B1499" s="30" t="s">
        <v>3060</v>
      </c>
      <c r="C1499" s="30" t="s">
        <v>3061</v>
      </c>
      <c r="D1499" s="32">
        <v>92657</v>
      </c>
      <c r="E1499" s="30" t="s">
        <v>20</v>
      </c>
      <c r="F1499" s="30" t="s">
        <v>1415</v>
      </c>
      <c r="G1499" s="30" t="s">
        <v>155</v>
      </c>
      <c r="H1499" s="30" t="s">
        <v>313</v>
      </c>
      <c r="I1499" s="31">
        <v>34069652.057999998</v>
      </c>
    </row>
    <row r="1500" spans="2:9" s="6" customFormat="1" ht="11.25" customHeight="1" x14ac:dyDescent="0.55000000000000004">
      <c r="B1500" s="30" t="s">
        <v>3062</v>
      </c>
      <c r="C1500" s="30" t="s">
        <v>3063</v>
      </c>
      <c r="D1500" s="32">
        <v>92657</v>
      </c>
      <c r="E1500" s="30" t="s">
        <v>20</v>
      </c>
      <c r="F1500" s="30"/>
      <c r="G1500" s="30"/>
      <c r="H1500" s="30" t="s">
        <v>313</v>
      </c>
      <c r="I1500" s="31" t="s">
        <v>29</v>
      </c>
    </row>
    <row r="1501" spans="2:9" s="6" customFormat="1" ht="11.25" customHeight="1" x14ac:dyDescent="0.55000000000000004">
      <c r="B1501" s="30" t="s">
        <v>3064</v>
      </c>
      <c r="C1501" s="30" t="s">
        <v>3065</v>
      </c>
      <c r="D1501" s="32">
        <v>92657</v>
      </c>
      <c r="E1501" s="30" t="s">
        <v>20</v>
      </c>
      <c r="F1501" s="30"/>
      <c r="G1501" s="30"/>
      <c r="H1501" s="30" t="s">
        <v>313</v>
      </c>
      <c r="I1501" s="31" t="s">
        <v>29</v>
      </c>
    </row>
    <row r="1502" spans="2:9" s="6" customFormat="1" ht="11.25" customHeight="1" x14ac:dyDescent="0.55000000000000004">
      <c r="B1502" s="30" t="s">
        <v>3066</v>
      </c>
      <c r="C1502" s="30" t="s">
        <v>3067</v>
      </c>
      <c r="D1502" s="32">
        <v>68225</v>
      </c>
      <c r="E1502" s="30" t="s">
        <v>15</v>
      </c>
      <c r="F1502" s="30" t="s">
        <v>1415</v>
      </c>
      <c r="G1502" s="30" t="s">
        <v>35</v>
      </c>
      <c r="H1502" s="30" t="s">
        <v>313</v>
      </c>
      <c r="I1502" s="31" t="s">
        <v>29</v>
      </c>
    </row>
    <row r="1503" spans="2:9" s="6" customFormat="1" ht="11.25" customHeight="1" x14ac:dyDescent="0.55000000000000004">
      <c r="B1503" s="30" t="s">
        <v>3068</v>
      </c>
      <c r="C1503" s="30" t="s">
        <v>3069</v>
      </c>
      <c r="D1503" s="32">
        <v>68225</v>
      </c>
      <c r="E1503" s="30" t="s">
        <v>15</v>
      </c>
      <c r="F1503" s="30"/>
      <c r="G1503" s="30"/>
      <c r="H1503" s="30" t="s">
        <v>313</v>
      </c>
      <c r="I1503" s="31" t="s">
        <v>29</v>
      </c>
    </row>
    <row r="1504" spans="2:9" s="6" customFormat="1" ht="11.25" customHeight="1" x14ac:dyDescent="0.55000000000000004">
      <c r="B1504" s="30" t="s">
        <v>3070</v>
      </c>
      <c r="C1504" s="30" t="s">
        <v>3071</v>
      </c>
      <c r="D1504" s="32">
        <v>79570</v>
      </c>
      <c r="E1504" s="30" t="s">
        <v>15</v>
      </c>
      <c r="F1504" s="30"/>
      <c r="G1504" s="30" t="s">
        <v>25</v>
      </c>
      <c r="H1504" s="30" t="s">
        <v>75</v>
      </c>
      <c r="I1504" s="31" t="s">
        <v>29</v>
      </c>
    </row>
    <row r="1505" spans="2:9" s="6" customFormat="1" ht="11.25" customHeight="1" x14ac:dyDescent="0.55000000000000004">
      <c r="B1505" s="30" t="s">
        <v>3072</v>
      </c>
      <c r="C1505" s="30" t="s">
        <v>3073</v>
      </c>
      <c r="D1505" s="32">
        <v>66869</v>
      </c>
      <c r="E1505" s="30" t="s">
        <v>20</v>
      </c>
      <c r="F1505" s="30" t="s">
        <v>1415</v>
      </c>
      <c r="G1505" s="30" t="s">
        <v>155</v>
      </c>
      <c r="H1505" s="30" t="s">
        <v>313</v>
      </c>
      <c r="I1505" s="31">
        <v>155132804.79899999</v>
      </c>
    </row>
    <row r="1506" spans="2:9" s="6" customFormat="1" ht="11.25" customHeight="1" x14ac:dyDescent="0.55000000000000004">
      <c r="B1506" s="30" t="s">
        <v>3074</v>
      </c>
      <c r="C1506" s="30" t="s">
        <v>3075</v>
      </c>
      <c r="D1506" s="32">
        <v>66869</v>
      </c>
      <c r="E1506" s="30" t="s">
        <v>20</v>
      </c>
      <c r="F1506" s="30"/>
      <c r="G1506" s="30"/>
      <c r="H1506" s="30" t="s">
        <v>313</v>
      </c>
      <c r="I1506" s="31" t="s">
        <v>29</v>
      </c>
    </row>
    <row r="1507" spans="2:9" s="6" customFormat="1" ht="11.25" customHeight="1" x14ac:dyDescent="0.55000000000000004">
      <c r="B1507" s="30" t="s">
        <v>3076</v>
      </c>
      <c r="C1507" s="30" t="s">
        <v>3077</v>
      </c>
      <c r="D1507" s="32">
        <v>66869</v>
      </c>
      <c r="E1507" s="30" t="s">
        <v>20</v>
      </c>
      <c r="F1507" s="30"/>
      <c r="G1507" s="30"/>
      <c r="H1507" s="30" t="s">
        <v>313</v>
      </c>
      <c r="I1507" s="31" t="s">
        <v>29</v>
      </c>
    </row>
    <row r="1508" spans="2:9" s="6" customFormat="1" ht="11.25" customHeight="1" x14ac:dyDescent="0.55000000000000004">
      <c r="B1508" s="30" t="s">
        <v>3078</v>
      </c>
      <c r="C1508" s="30" t="s">
        <v>3079</v>
      </c>
      <c r="D1508" s="32">
        <v>69370</v>
      </c>
      <c r="E1508" s="30" t="s">
        <v>15</v>
      </c>
      <c r="F1508" s="30"/>
      <c r="G1508" s="30"/>
      <c r="H1508" s="30" t="s">
        <v>66</v>
      </c>
      <c r="I1508" s="31" t="s">
        <v>29</v>
      </c>
    </row>
    <row r="1509" spans="2:9" s="6" customFormat="1" ht="11.25" customHeight="1" x14ac:dyDescent="0.55000000000000004">
      <c r="B1509" s="30" t="s">
        <v>3080</v>
      </c>
      <c r="C1509" s="30" t="s">
        <v>3081</v>
      </c>
      <c r="D1509" s="32">
        <v>86959</v>
      </c>
      <c r="E1509" s="30" t="s">
        <v>20</v>
      </c>
      <c r="F1509" s="30"/>
      <c r="G1509" s="30" t="s">
        <v>39</v>
      </c>
      <c r="H1509" s="30" t="s">
        <v>113</v>
      </c>
      <c r="I1509" s="31">
        <v>15961.805</v>
      </c>
    </row>
    <row r="1510" spans="2:9" s="6" customFormat="1" ht="11.25" customHeight="1" x14ac:dyDescent="0.55000000000000004">
      <c r="B1510" s="30" t="s">
        <v>3082</v>
      </c>
      <c r="C1510" s="30" t="s">
        <v>3083</v>
      </c>
      <c r="D1510" s="32">
        <v>66540</v>
      </c>
      <c r="E1510" s="30" t="s">
        <v>20</v>
      </c>
      <c r="F1510" s="30" t="s">
        <v>526</v>
      </c>
      <c r="G1510" s="30" t="s">
        <v>35</v>
      </c>
      <c r="H1510" s="30" t="s">
        <v>500</v>
      </c>
      <c r="I1510" s="31">
        <v>169833.83300000001</v>
      </c>
    </row>
    <row r="1511" spans="2:9" s="6" customFormat="1" ht="11.25" customHeight="1" x14ac:dyDescent="0.55000000000000004">
      <c r="B1511" s="30" t="s">
        <v>3084</v>
      </c>
      <c r="C1511" s="30" t="s">
        <v>3085</v>
      </c>
      <c r="D1511" s="32">
        <v>75671</v>
      </c>
      <c r="E1511" s="30" t="s">
        <v>15</v>
      </c>
      <c r="F1511" s="30"/>
      <c r="G1511" s="30" t="s">
        <v>25</v>
      </c>
      <c r="H1511" s="30" t="s">
        <v>150</v>
      </c>
      <c r="I1511" s="31" t="s">
        <v>29</v>
      </c>
    </row>
    <row r="1512" spans="2:9" s="6" customFormat="1" ht="11.25" customHeight="1" x14ac:dyDescent="0.55000000000000004">
      <c r="B1512" s="30" t="s">
        <v>3086</v>
      </c>
      <c r="C1512" s="30" t="s">
        <v>3087</v>
      </c>
      <c r="D1512" s="32">
        <v>66702</v>
      </c>
      <c r="E1512" s="30" t="s">
        <v>15</v>
      </c>
      <c r="F1512" s="30"/>
      <c r="G1512" s="30" t="s">
        <v>194</v>
      </c>
      <c r="H1512" s="30" t="s">
        <v>313</v>
      </c>
      <c r="I1512" s="31" t="s">
        <v>29</v>
      </c>
    </row>
    <row r="1513" spans="2:9" s="6" customFormat="1" ht="11.25" customHeight="1" x14ac:dyDescent="0.55000000000000004">
      <c r="B1513" s="30" t="s">
        <v>3088</v>
      </c>
      <c r="C1513" s="30" t="s">
        <v>3089</v>
      </c>
      <c r="D1513" s="32">
        <v>60145</v>
      </c>
      <c r="E1513" s="30" t="s">
        <v>15</v>
      </c>
      <c r="F1513" s="30"/>
      <c r="G1513" s="30"/>
      <c r="H1513" s="30" t="s">
        <v>150</v>
      </c>
      <c r="I1513" s="31" t="s">
        <v>29</v>
      </c>
    </row>
    <row r="1514" spans="2:9" s="6" customFormat="1" ht="11.25" customHeight="1" x14ac:dyDescent="0.55000000000000004">
      <c r="B1514" s="30" t="s">
        <v>3090</v>
      </c>
      <c r="C1514" s="30" t="s">
        <v>3091</v>
      </c>
      <c r="D1514" s="32">
        <v>66796</v>
      </c>
      <c r="E1514" s="30" t="s">
        <v>15</v>
      </c>
      <c r="F1514" s="30" t="s">
        <v>1000</v>
      </c>
      <c r="G1514" s="30"/>
      <c r="H1514" s="30" t="s">
        <v>113</v>
      </c>
      <c r="I1514" s="31" t="s">
        <v>29</v>
      </c>
    </row>
    <row r="1515" spans="2:9" s="6" customFormat="1" ht="11.25" customHeight="1" x14ac:dyDescent="0.55000000000000004">
      <c r="B1515" s="30" t="s">
        <v>3092</v>
      </c>
      <c r="C1515" s="30" t="s">
        <v>3093</v>
      </c>
      <c r="D1515" s="32">
        <v>75760</v>
      </c>
      <c r="E1515" s="30" t="s">
        <v>15</v>
      </c>
      <c r="F1515" s="30"/>
      <c r="G1515" s="30"/>
      <c r="H1515" s="30" t="s">
        <v>66</v>
      </c>
      <c r="I1515" s="31" t="s">
        <v>29</v>
      </c>
    </row>
    <row r="1516" spans="2:9" s="6" customFormat="1" ht="11.25" customHeight="1" x14ac:dyDescent="0.55000000000000004">
      <c r="B1516" s="30" t="s">
        <v>3094</v>
      </c>
      <c r="C1516" s="30" t="s">
        <v>3095</v>
      </c>
      <c r="D1516" s="32">
        <v>87963</v>
      </c>
      <c r="E1516" s="30" t="s">
        <v>20</v>
      </c>
      <c r="F1516" s="30" t="s">
        <v>1384</v>
      </c>
      <c r="G1516" s="30" t="s">
        <v>39</v>
      </c>
      <c r="H1516" s="30" t="s">
        <v>113</v>
      </c>
      <c r="I1516" s="31">
        <v>541016.73199999996</v>
      </c>
    </row>
    <row r="1517" spans="2:9" s="6" customFormat="1" ht="11.25" customHeight="1" x14ac:dyDescent="0.55000000000000004">
      <c r="B1517" s="30" t="s">
        <v>3096</v>
      </c>
      <c r="C1517" s="30" t="s">
        <v>3097</v>
      </c>
      <c r="D1517" s="32">
        <v>70750</v>
      </c>
      <c r="E1517" s="30" t="s">
        <v>15</v>
      </c>
      <c r="F1517" s="30" t="s">
        <v>1415</v>
      </c>
      <c r="G1517" s="30" t="s">
        <v>35</v>
      </c>
      <c r="H1517" s="30" t="s">
        <v>313</v>
      </c>
      <c r="I1517" s="31" t="s">
        <v>29</v>
      </c>
    </row>
    <row r="1518" spans="2:9" s="6" customFormat="1" ht="11.25" customHeight="1" x14ac:dyDescent="0.55000000000000004">
      <c r="B1518" s="30" t="s">
        <v>3098</v>
      </c>
      <c r="C1518" s="30" t="s">
        <v>3099</v>
      </c>
      <c r="D1518" s="32">
        <v>70750</v>
      </c>
      <c r="E1518" s="30" t="s">
        <v>15</v>
      </c>
      <c r="F1518" s="30"/>
      <c r="G1518" s="30"/>
      <c r="H1518" s="30" t="s">
        <v>313</v>
      </c>
      <c r="I1518" s="31" t="s">
        <v>29</v>
      </c>
    </row>
    <row r="1519" spans="2:9" s="6" customFormat="1" ht="11.25" customHeight="1" x14ac:dyDescent="0.55000000000000004">
      <c r="B1519" s="30" t="s">
        <v>3100</v>
      </c>
      <c r="C1519" s="30" t="s">
        <v>3101</v>
      </c>
      <c r="D1519" s="32">
        <v>67032</v>
      </c>
      <c r="E1519" s="30" t="s">
        <v>20</v>
      </c>
      <c r="F1519" s="30"/>
      <c r="G1519" s="30" t="s">
        <v>16</v>
      </c>
      <c r="H1519" s="30" t="s">
        <v>686</v>
      </c>
      <c r="I1519" s="31" t="s">
        <v>29</v>
      </c>
    </row>
    <row r="1520" spans="2:9" s="6" customFormat="1" ht="11.25" customHeight="1" x14ac:dyDescent="0.55000000000000004">
      <c r="B1520" s="30" t="s">
        <v>3102</v>
      </c>
      <c r="C1520" s="30" t="s">
        <v>3103</v>
      </c>
      <c r="D1520" s="32">
        <v>60246</v>
      </c>
      <c r="E1520" s="30" t="s">
        <v>20</v>
      </c>
      <c r="F1520" s="30"/>
      <c r="G1520" s="30" t="s">
        <v>21</v>
      </c>
      <c r="H1520" s="30" t="s">
        <v>1873</v>
      </c>
      <c r="I1520" s="31" t="s">
        <v>29</v>
      </c>
    </row>
    <row r="1521" spans="2:9" s="6" customFormat="1" ht="11.25" customHeight="1" x14ac:dyDescent="0.55000000000000004">
      <c r="B1521" s="30" t="s">
        <v>3104</v>
      </c>
      <c r="C1521" s="30" t="s">
        <v>3105</v>
      </c>
      <c r="D1521" s="32">
        <v>91626</v>
      </c>
      <c r="E1521" s="30" t="s">
        <v>20</v>
      </c>
      <c r="F1521" s="30" t="s">
        <v>843</v>
      </c>
      <c r="G1521" s="30" t="s">
        <v>35</v>
      </c>
      <c r="H1521" s="30" t="s">
        <v>582</v>
      </c>
      <c r="I1521" s="31">
        <v>9118516.375</v>
      </c>
    </row>
    <row r="1522" spans="2:9" s="6" customFormat="1" ht="11.25" customHeight="1" x14ac:dyDescent="0.55000000000000004">
      <c r="B1522" s="30" t="s">
        <v>3106</v>
      </c>
      <c r="C1522" s="30" t="s">
        <v>3107</v>
      </c>
      <c r="D1522" s="32">
        <v>91626</v>
      </c>
      <c r="E1522" s="30" t="s">
        <v>20</v>
      </c>
      <c r="F1522" s="30"/>
      <c r="G1522" s="30"/>
      <c r="H1522" s="30" t="s">
        <v>582</v>
      </c>
      <c r="I1522" s="31" t="s">
        <v>29</v>
      </c>
    </row>
    <row r="1523" spans="2:9" s="6" customFormat="1" ht="11.25" customHeight="1" x14ac:dyDescent="0.55000000000000004">
      <c r="B1523" s="30" t="s">
        <v>3108</v>
      </c>
      <c r="C1523" s="30" t="s">
        <v>3109</v>
      </c>
      <c r="D1523" s="32">
        <v>91626</v>
      </c>
      <c r="E1523" s="30" t="s">
        <v>20</v>
      </c>
      <c r="F1523" s="30"/>
      <c r="G1523" s="30"/>
      <c r="H1523" s="30" t="s">
        <v>582</v>
      </c>
      <c r="I1523" s="31" t="s">
        <v>29</v>
      </c>
    </row>
    <row r="1524" spans="2:9" s="6" customFormat="1" ht="11.25" customHeight="1" x14ac:dyDescent="0.55000000000000004">
      <c r="B1524" s="30" t="s">
        <v>3110</v>
      </c>
      <c r="C1524" s="30" t="s">
        <v>3111</v>
      </c>
      <c r="D1524" s="32">
        <v>91618</v>
      </c>
      <c r="E1524" s="30" t="s">
        <v>15</v>
      </c>
      <c r="F1524" s="30" t="s">
        <v>428</v>
      </c>
      <c r="G1524" s="30"/>
      <c r="H1524" s="30" t="s">
        <v>582</v>
      </c>
      <c r="I1524" s="31" t="s">
        <v>29</v>
      </c>
    </row>
    <row r="1525" spans="2:9" s="6" customFormat="1" ht="11.25" customHeight="1" x14ac:dyDescent="0.55000000000000004">
      <c r="B1525" s="30" t="s">
        <v>3112</v>
      </c>
      <c r="C1525" s="30" t="s">
        <v>3113</v>
      </c>
      <c r="D1525" s="32">
        <v>69698</v>
      </c>
      <c r="E1525" s="30" t="s">
        <v>20</v>
      </c>
      <c r="F1525" s="30" t="s">
        <v>2481</v>
      </c>
      <c r="G1525" s="30" t="s">
        <v>88</v>
      </c>
      <c r="H1525" s="30" t="s">
        <v>113</v>
      </c>
      <c r="I1525" s="31">
        <v>149536.47099999999</v>
      </c>
    </row>
    <row r="1526" spans="2:9" s="6" customFormat="1" ht="11.25" customHeight="1" x14ac:dyDescent="0.55000000000000004">
      <c r="B1526" s="30" t="s">
        <v>3114</v>
      </c>
      <c r="C1526" s="30" t="s">
        <v>3115</v>
      </c>
      <c r="D1526" s="32">
        <v>78743</v>
      </c>
      <c r="E1526" s="30" t="s">
        <v>20</v>
      </c>
      <c r="F1526" s="30" t="s">
        <v>2481</v>
      </c>
      <c r="G1526" s="30" t="s">
        <v>88</v>
      </c>
      <c r="H1526" s="30" t="s">
        <v>113</v>
      </c>
      <c r="I1526" s="31">
        <v>552527.03399999999</v>
      </c>
    </row>
    <row r="1527" spans="2:9" s="6" customFormat="1" ht="11.25" customHeight="1" x14ac:dyDescent="0.55000000000000004">
      <c r="B1527" s="30" t="s">
        <v>2481</v>
      </c>
      <c r="C1527" s="30" t="s">
        <v>3116</v>
      </c>
      <c r="D1527" s="32" t="s">
        <v>29</v>
      </c>
      <c r="E1527" s="30" t="s">
        <v>20</v>
      </c>
      <c r="F1527" s="30" t="s">
        <v>2481</v>
      </c>
      <c r="G1527" s="30" t="s">
        <v>39</v>
      </c>
      <c r="H1527" s="30" t="s">
        <v>113</v>
      </c>
      <c r="I1527" s="31">
        <v>960759.69500000007</v>
      </c>
    </row>
    <row r="1528" spans="2:9" s="6" customFormat="1" ht="11.25" customHeight="1" x14ac:dyDescent="0.55000000000000004">
      <c r="B1528" s="30" t="s">
        <v>3117</v>
      </c>
      <c r="C1528" s="30" t="s">
        <v>3118</v>
      </c>
      <c r="D1528" s="32">
        <v>83984</v>
      </c>
      <c r="E1528" s="30" t="s">
        <v>15</v>
      </c>
      <c r="F1528" s="30"/>
      <c r="G1528" s="30" t="s">
        <v>35</v>
      </c>
      <c r="H1528" s="30" t="s">
        <v>266</v>
      </c>
      <c r="I1528" s="31" t="s">
        <v>29</v>
      </c>
    </row>
    <row r="1529" spans="2:9" s="6" customFormat="1" ht="11.25" customHeight="1" x14ac:dyDescent="0.55000000000000004">
      <c r="B1529" s="30" t="s">
        <v>3119</v>
      </c>
      <c r="C1529" s="30" t="s">
        <v>3120</v>
      </c>
      <c r="D1529" s="32">
        <v>60027</v>
      </c>
      <c r="E1529" s="30" t="s">
        <v>15</v>
      </c>
      <c r="F1529" s="30"/>
      <c r="G1529" s="30" t="s">
        <v>80</v>
      </c>
      <c r="H1529" s="30" t="s">
        <v>179</v>
      </c>
      <c r="I1529" s="31" t="s">
        <v>29</v>
      </c>
    </row>
    <row r="1530" spans="2:9" s="6" customFormat="1" ht="11.25" customHeight="1" x14ac:dyDescent="0.55000000000000004">
      <c r="B1530" s="30" t="s">
        <v>3121</v>
      </c>
      <c r="C1530" s="30" t="s">
        <v>3122</v>
      </c>
      <c r="D1530" s="32" t="s">
        <v>29</v>
      </c>
      <c r="E1530" s="30" t="s">
        <v>20</v>
      </c>
      <c r="F1530" s="30" t="s">
        <v>3121</v>
      </c>
      <c r="G1530" s="30" t="s">
        <v>265</v>
      </c>
      <c r="H1530" s="30" t="s">
        <v>124</v>
      </c>
      <c r="I1530" s="31">
        <v>344669364.85799998</v>
      </c>
    </row>
    <row r="1531" spans="2:9" s="6" customFormat="1" ht="11.25" customHeight="1" x14ac:dyDescent="0.55000000000000004">
      <c r="B1531" s="30" t="s">
        <v>3123</v>
      </c>
      <c r="C1531" s="30" t="s">
        <v>3124</v>
      </c>
      <c r="D1531" s="32" t="s">
        <v>29</v>
      </c>
      <c r="E1531" s="30" t="s">
        <v>20</v>
      </c>
      <c r="F1531" s="30"/>
      <c r="G1531" s="30" t="s">
        <v>265</v>
      </c>
      <c r="H1531" s="30" t="s">
        <v>124</v>
      </c>
      <c r="I1531" s="31" t="s">
        <v>29</v>
      </c>
    </row>
    <row r="1532" spans="2:9" s="6" customFormat="1" ht="11.25" customHeight="1" x14ac:dyDescent="0.55000000000000004">
      <c r="B1532" s="30" t="s">
        <v>3125</v>
      </c>
      <c r="C1532" s="30" t="s">
        <v>3126</v>
      </c>
      <c r="D1532" s="32">
        <v>68723</v>
      </c>
      <c r="E1532" s="30" t="s">
        <v>15</v>
      </c>
      <c r="F1532" s="30"/>
      <c r="G1532" s="30" t="s">
        <v>35</v>
      </c>
      <c r="H1532" s="30" t="s">
        <v>105</v>
      </c>
      <c r="I1532" s="31" t="s">
        <v>29</v>
      </c>
    </row>
    <row r="1533" spans="2:9" s="6" customFormat="1" ht="11.25" customHeight="1" x14ac:dyDescent="0.55000000000000004">
      <c r="B1533" s="30" t="s">
        <v>3127</v>
      </c>
      <c r="C1533" s="30" t="s">
        <v>3128</v>
      </c>
      <c r="D1533" s="32">
        <v>91596</v>
      </c>
      <c r="E1533" s="30" t="s">
        <v>20</v>
      </c>
      <c r="F1533" s="30" t="s">
        <v>3121</v>
      </c>
      <c r="G1533" s="30" t="s">
        <v>155</v>
      </c>
      <c r="H1533" s="30" t="s">
        <v>124</v>
      </c>
      <c r="I1533" s="31">
        <v>164737209.51800001</v>
      </c>
    </row>
    <row r="1534" spans="2:9" s="6" customFormat="1" ht="11.25" customHeight="1" x14ac:dyDescent="0.55000000000000004">
      <c r="B1534" s="30" t="s">
        <v>3129</v>
      </c>
      <c r="C1534" s="30" t="s">
        <v>3130</v>
      </c>
      <c r="D1534" s="32">
        <v>91596</v>
      </c>
      <c r="E1534" s="30" t="s">
        <v>20</v>
      </c>
      <c r="F1534" s="30"/>
      <c r="G1534" s="30"/>
      <c r="H1534" s="30" t="s">
        <v>124</v>
      </c>
      <c r="I1534" s="31" t="s">
        <v>29</v>
      </c>
    </row>
    <row r="1535" spans="2:9" s="6" customFormat="1" ht="11.25" customHeight="1" x14ac:dyDescent="0.55000000000000004">
      <c r="B1535" s="30" t="s">
        <v>3131</v>
      </c>
      <c r="C1535" s="30" t="s">
        <v>3132</v>
      </c>
      <c r="D1535" s="32">
        <v>91596</v>
      </c>
      <c r="E1535" s="30" t="s">
        <v>20</v>
      </c>
      <c r="F1535" s="30"/>
      <c r="G1535" s="30"/>
      <c r="H1535" s="30" t="s">
        <v>124</v>
      </c>
      <c r="I1535" s="31" t="s">
        <v>29</v>
      </c>
    </row>
    <row r="1536" spans="2:9" s="6" customFormat="1" ht="11.25" customHeight="1" x14ac:dyDescent="0.55000000000000004">
      <c r="B1536" s="30" t="s">
        <v>3133</v>
      </c>
      <c r="C1536" s="30" t="s">
        <v>3134</v>
      </c>
      <c r="D1536" s="32">
        <v>66915</v>
      </c>
      <c r="E1536" s="30" t="s">
        <v>20</v>
      </c>
      <c r="F1536" s="30" t="s">
        <v>3121</v>
      </c>
      <c r="G1536" s="30" t="s">
        <v>265</v>
      </c>
      <c r="H1536" s="30" t="s">
        <v>124</v>
      </c>
      <c r="I1536" s="31">
        <v>189231107.933</v>
      </c>
    </row>
    <row r="1537" spans="2:9" s="6" customFormat="1" ht="11.25" customHeight="1" x14ac:dyDescent="0.55000000000000004">
      <c r="B1537" s="30" t="s">
        <v>3135</v>
      </c>
      <c r="C1537" s="30" t="s">
        <v>3136</v>
      </c>
      <c r="D1537" s="32">
        <v>66915</v>
      </c>
      <c r="E1537" s="30" t="s">
        <v>20</v>
      </c>
      <c r="F1537" s="30"/>
      <c r="G1537" s="30"/>
      <c r="H1537" s="30" t="s">
        <v>124</v>
      </c>
      <c r="I1537" s="31" t="s">
        <v>29</v>
      </c>
    </row>
    <row r="1538" spans="2:9" s="6" customFormat="1" ht="11.25" customHeight="1" x14ac:dyDescent="0.55000000000000004">
      <c r="B1538" s="30" t="s">
        <v>3137</v>
      </c>
      <c r="C1538" s="30" t="s">
        <v>3138</v>
      </c>
      <c r="D1538" s="32">
        <v>66915</v>
      </c>
      <c r="E1538" s="30" t="s">
        <v>20</v>
      </c>
      <c r="F1538" s="30"/>
      <c r="G1538" s="30"/>
      <c r="H1538" s="30" t="s">
        <v>124</v>
      </c>
      <c r="I1538" s="31" t="s">
        <v>29</v>
      </c>
    </row>
    <row r="1539" spans="2:9" s="6" customFormat="1" ht="11.25" customHeight="1" x14ac:dyDescent="0.55000000000000004">
      <c r="B1539" s="30" t="s">
        <v>3139</v>
      </c>
      <c r="C1539" s="30" t="s">
        <v>3140</v>
      </c>
      <c r="D1539" s="32">
        <v>12285</v>
      </c>
      <c r="E1539" s="30" t="s">
        <v>20</v>
      </c>
      <c r="F1539" s="30" t="s">
        <v>1153</v>
      </c>
      <c r="G1539" s="30" t="s">
        <v>21</v>
      </c>
      <c r="H1539" s="30" t="s">
        <v>655</v>
      </c>
      <c r="I1539" s="31">
        <v>18511.385000000002</v>
      </c>
    </row>
    <row r="1540" spans="2:9" s="6" customFormat="1" ht="11.25" customHeight="1" x14ac:dyDescent="0.55000000000000004">
      <c r="B1540" s="30" t="s">
        <v>3141</v>
      </c>
      <c r="C1540" s="30" t="s">
        <v>3142</v>
      </c>
      <c r="D1540" s="32">
        <v>81264</v>
      </c>
      <c r="E1540" s="30" t="s">
        <v>20</v>
      </c>
      <c r="F1540" s="30"/>
      <c r="G1540" s="30" t="s">
        <v>21</v>
      </c>
      <c r="H1540" s="30" t="s">
        <v>124</v>
      </c>
      <c r="I1540" s="31">
        <v>226480.69500000001</v>
      </c>
    </row>
    <row r="1541" spans="2:9" s="6" customFormat="1" ht="11.25" customHeight="1" x14ac:dyDescent="0.55000000000000004">
      <c r="B1541" s="30" t="s">
        <v>3143</v>
      </c>
      <c r="C1541" s="30" t="s">
        <v>3144</v>
      </c>
      <c r="D1541" s="32">
        <v>81264</v>
      </c>
      <c r="E1541" s="30" t="s">
        <v>20</v>
      </c>
      <c r="F1541" s="30"/>
      <c r="G1541" s="30"/>
      <c r="H1541" s="30" t="s">
        <v>124</v>
      </c>
      <c r="I1541" s="31" t="s">
        <v>29</v>
      </c>
    </row>
    <row r="1542" spans="2:9" s="6" customFormat="1" ht="11.25" customHeight="1" x14ac:dyDescent="0.55000000000000004">
      <c r="B1542" s="30" t="s">
        <v>3145</v>
      </c>
      <c r="C1542" s="30" t="s">
        <v>3146</v>
      </c>
      <c r="D1542" s="32">
        <v>88510</v>
      </c>
      <c r="E1542" s="30" t="s">
        <v>15</v>
      </c>
      <c r="F1542" s="30"/>
      <c r="G1542" s="30"/>
      <c r="H1542" s="30" t="s">
        <v>865</v>
      </c>
      <c r="I1542" s="31" t="s">
        <v>29</v>
      </c>
    </row>
    <row r="1543" spans="2:9" s="6" customFormat="1" ht="11.25" customHeight="1" x14ac:dyDescent="0.55000000000000004">
      <c r="B1543" s="30" t="s">
        <v>3147</v>
      </c>
      <c r="C1543" s="30" t="s">
        <v>3148</v>
      </c>
      <c r="D1543" s="32">
        <v>71242</v>
      </c>
      <c r="E1543" s="30" t="s">
        <v>15</v>
      </c>
      <c r="F1543" s="30"/>
      <c r="G1543" s="30"/>
      <c r="H1543" s="30" t="s">
        <v>113</v>
      </c>
      <c r="I1543" s="31" t="s">
        <v>29</v>
      </c>
    </row>
    <row r="1544" spans="2:9" s="6" customFormat="1" ht="11.25" customHeight="1" x14ac:dyDescent="0.55000000000000004">
      <c r="B1544" s="30" t="s">
        <v>3149</v>
      </c>
      <c r="C1544" s="30" t="s">
        <v>3150</v>
      </c>
      <c r="D1544" s="32">
        <v>73750</v>
      </c>
      <c r="E1544" s="30" t="s">
        <v>15</v>
      </c>
      <c r="F1544" s="30"/>
      <c r="G1544" s="30"/>
      <c r="H1544" s="30" t="s">
        <v>735</v>
      </c>
      <c r="I1544" s="31" t="s">
        <v>29</v>
      </c>
    </row>
    <row r="1545" spans="2:9" s="6" customFormat="1" ht="11.25" customHeight="1" x14ac:dyDescent="0.55000000000000004">
      <c r="B1545" s="30" t="s">
        <v>3151</v>
      </c>
      <c r="C1545" s="30" t="s">
        <v>3152</v>
      </c>
      <c r="D1545" s="32">
        <v>67580</v>
      </c>
      <c r="E1545" s="30" t="s">
        <v>15</v>
      </c>
      <c r="F1545" s="30"/>
      <c r="G1545" s="30" t="s">
        <v>35</v>
      </c>
      <c r="H1545" s="30" t="s">
        <v>113</v>
      </c>
      <c r="I1545" s="31" t="s">
        <v>29</v>
      </c>
    </row>
    <row r="1546" spans="2:9" s="6" customFormat="1" ht="11.25" customHeight="1" x14ac:dyDescent="0.55000000000000004">
      <c r="B1546" s="30" t="s">
        <v>3153</v>
      </c>
      <c r="C1546" s="30" t="s">
        <v>3154</v>
      </c>
      <c r="D1546" s="32">
        <v>66974</v>
      </c>
      <c r="E1546" s="30" t="s">
        <v>20</v>
      </c>
      <c r="F1546" s="30" t="s">
        <v>1054</v>
      </c>
      <c r="G1546" s="30" t="s">
        <v>155</v>
      </c>
      <c r="H1546" s="30" t="s">
        <v>63</v>
      </c>
      <c r="I1546" s="31">
        <v>29479087.264000002</v>
      </c>
    </row>
    <row r="1547" spans="2:9" s="6" customFormat="1" ht="11.25" customHeight="1" x14ac:dyDescent="0.55000000000000004">
      <c r="B1547" s="30" t="s">
        <v>3155</v>
      </c>
      <c r="C1547" s="30" t="s">
        <v>3156</v>
      </c>
      <c r="D1547" s="32">
        <v>68349</v>
      </c>
      <c r="E1547" s="30" t="s">
        <v>20</v>
      </c>
      <c r="F1547" s="30" t="s">
        <v>989</v>
      </c>
      <c r="G1547" s="30" t="s">
        <v>39</v>
      </c>
      <c r="H1547" s="30" t="s">
        <v>146</v>
      </c>
      <c r="I1547" s="31">
        <v>18182.541000000001</v>
      </c>
    </row>
    <row r="1548" spans="2:9" s="6" customFormat="1" ht="11.25" customHeight="1" x14ac:dyDescent="0.55000000000000004">
      <c r="B1548" s="30" t="s">
        <v>3157</v>
      </c>
      <c r="C1548" s="30" t="s">
        <v>3158</v>
      </c>
      <c r="D1548" s="32">
        <v>60118</v>
      </c>
      <c r="E1548" s="30" t="s">
        <v>20</v>
      </c>
      <c r="F1548" s="30"/>
      <c r="G1548" s="30" t="s">
        <v>35</v>
      </c>
      <c r="H1548" s="30" t="s">
        <v>735</v>
      </c>
      <c r="I1548" s="31" t="s">
        <v>29</v>
      </c>
    </row>
    <row r="1549" spans="2:9" s="6" customFormat="1" ht="11.25" customHeight="1" x14ac:dyDescent="0.55000000000000004">
      <c r="B1549" s="30" t="s">
        <v>3159</v>
      </c>
      <c r="C1549" s="30" t="s">
        <v>3160</v>
      </c>
      <c r="D1549" s="32">
        <v>67040</v>
      </c>
      <c r="E1549" s="30" t="s">
        <v>15</v>
      </c>
      <c r="F1549" s="30" t="s">
        <v>116</v>
      </c>
      <c r="G1549" s="30"/>
      <c r="H1549" s="30" t="s">
        <v>385</v>
      </c>
      <c r="I1549" s="31" t="s">
        <v>29</v>
      </c>
    </row>
    <row r="1550" spans="2:9" s="6" customFormat="1" ht="11.25" customHeight="1" x14ac:dyDescent="0.55000000000000004">
      <c r="B1550" s="30" t="s">
        <v>3161</v>
      </c>
      <c r="C1550" s="30" t="s">
        <v>3162</v>
      </c>
      <c r="D1550" s="32">
        <v>70777</v>
      </c>
      <c r="E1550" s="30" t="s">
        <v>15</v>
      </c>
      <c r="F1550" s="30" t="s">
        <v>182</v>
      </c>
      <c r="G1550" s="30"/>
      <c r="H1550" s="30" t="s">
        <v>17</v>
      </c>
      <c r="I1550" s="31" t="s">
        <v>29</v>
      </c>
    </row>
    <row r="1551" spans="2:9" s="6" customFormat="1" ht="11.25" customHeight="1" x14ac:dyDescent="0.55000000000000004">
      <c r="B1551" s="30" t="s">
        <v>3163</v>
      </c>
      <c r="C1551" s="30" t="s">
        <v>3164</v>
      </c>
      <c r="D1551" s="32">
        <v>88528</v>
      </c>
      <c r="E1551" s="30" t="s">
        <v>15</v>
      </c>
      <c r="F1551" s="30" t="s">
        <v>188</v>
      </c>
      <c r="G1551" s="30"/>
      <c r="H1551" s="30" t="s">
        <v>22</v>
      </c>
      <c r="I1551" s="31" t="s">
        <v>29</v>
      </c>
    </row>
    <row r="1552" spans="2:9" s="6" customFormat="1" ht="11.25" customHeight="1" x14ac:dyDescent="0.55000000000000004">
      <c r="B1552" s="30" t="s">
        <v>3165</v>
      </c>
      <c r="C1552" s="30" t="s">
        <v>3166</v>
      </c>
      <c r="D1552" s="32">
        <v>88528</v>
      </c>
      <c r="E1552" s="30" t="s">
        <v>15</v>
      </c>
      <c r="F1552" s="30"/>
      <c r="G1552" s="30"/>
      <c r="H1552" s="30" t="s">
        <v>22</v>
      </c>
      <c r="I1552" s="31" t="s">
        <v>29</v>
      </c>
    </row>
    <row r="1553" spans="2:9" s="6" customFormat="1" ht="11.25" customHeight="1" x14ac:dyDescent="0.55000000000000004">
      <c r="B1553" s="30" t="s">
        <v>3167</v>
      </c>
      <c r="C1553" s="30" t="s">
        <v>3168</v>
      </c>
      <c r="D1553" s="32">
        <v>82317</v>
      </c>
      <c r="E1553" s="30" t="s">
        <v>15</v>
      </c>
      <c r="F1553" s="30" t="s">
        <v>2043</v>
      </c>
      <c r="G1553" s="30" t="s">
        <v>35</v>
      </c>
      <c r="H1553" s="30" t="s">
        <v>113</v>
      </c>
      <c r="I1553" s="31" t="s">
        <v>29</v>
      </c>
    </row>
    <row r="1554" spans="2:9" s="6" customFormat="1" ht="11.25" customHeight="1" x14ac:dyDescent="0.55000000000000004">
      <c r="B1554" s="30" t="s">
        <v>3169</v>
      </c>
      <c r="C1554" s="30" t="s">
        <v>3170</v>
      </c>
      <c r="D1554" s="32">
        <v>87734</v>
      </c>
      <c r="E1554" s="30" t="s">
        <v>15</v>
      </c>
      <c r="F1554" s="30" t="s">
        <v>1124</v>
      </c>
      <c r="G1554" s="30"/>
      <c r="H1554" s="30" t="s">
        <v>108</v>
      </c>
      <c r="I1554" s="31" t="s">
        <v>29</v>
      </c>
    </row>
    <row r="1555" spans="2:9" s="6" customFormat="1" ht="11.25" customHeight="1" x14ac:dyDescent="0.55000000000000004">
      <c r="B1555" s="30" t="s">
        <v>3171</v>
      </c>
      <c r="C1555" s="30" t="s">
        <v>3172</v>
      </c>
      <c r="D1555" s="32">
        <v>87734</v>
      </c>
      <c r="E1555" s="30" t="s">
        <v>15</v>
      </c>
      <c r="F1555" s="30"/>
      <c r="G1555" s="30"/>
      <c r="H1555" s="30" t="s">
        <v>108</v>
      </c>
      <c r="I1555" s="31" t="s">
        <v>29</v>
      </c>
    </row>
    <row r="1556" spans="2:9" s="6" customFormat="1" ht="11.25" customHeight="1" x14ac:dyDescent="0.55000000000000004">
      <c r="B1556" s="30" t="s">
        <v>3173</v>
      </c>
      <c r="C1556" s="30" t="s">
        <v>3174</v>
      </c>
      <c r="D1556" s="32">
        <v>87564</v>
      </c>
      <c r="E1556" s="30" t="s">
        <v>15</v>
      </c>
      <c r="F1556" s="30"/>
      <c r="G1556" s="30" t="s">
        <v>16</v>
      </c>
      <c r="H1556" s="30" t="s">
        <v>556</v>
      </c>
      <c r="I1556" s="31" t="s">
        <v>29</v>
      </c>
    </row>
    <row r="1557" spans="2:9" s="6" customFormat="1" ht="11.25" customHeight="1" x14ac:dyDescent="0.55000000000000004">
      <c r="B1557" s="30" t="s">
        <v>3175</v>
      </c>
      <c r="C1557" s="30" t="s">
        <v>3176</v>
      </c>
      <c r="D1557" s="32">
        <v>67091</v>
      </c>
      <c r="E1557" s="30" t="s">
        <v>20</v>
      </c>
      <c r="F1557" s="30" t="s">
        <v>3177</v>
      </c>
      <c r="G1557" s="30" t="s">
        <v>35</v>
      </c>
      <c r="H1557" s="30" t="s">
        <v>146</v>
      </c>
      <c r="I1557" s="31">
        <v>290318368.69099998</v>
      </c>
    </row>
    <row r="1558" spans="2:9" s="6" customFormat="1" ht="11.25" customHeight="1" x14ac:dyDescent="0.55000000000000004">
      <c r="B1558" s="30" t="s">
        <v>3178</v>
      </c>
      <c r="C1558" s="30" t="s">
        <v>3179</v>
      </c>
      <c r="D1558" s="32">
        <v>67091</v>
      </c>
      <c r="E1558" s="30" t="s">
        <v>20</v>
      </c>
      <c r="F1558" s="30"/>
      <c r="G1558" s="30"/>
      <c r="H1558" s="30" t="s">
        <v>146</v>
      </c>
      <c r="I1558" s="31" t="s">
        <v>29</v>
      </c>
    </row>
    <row r="1559" spans="2:9" s="6" customFormat="1" ht="11.25" customHeight="1" x14ac:dyDescent="0.55000000000000004">
      <c r="B1559" s="30" t="s">
        <v>3180</v>
      </c>
      <c r="C1559" s="30" t="s">
        <v>3181</v>
      </c>
      <c r="D1559" s="32">
        <v>67091</v>
      </c>
      <c r="E1559" s="30" t="s">
        <v>20</v>
      </c>
      <c r="F1559" s="30"/>
      <c r="G1559" s="30"/>
      <c r="H1559" s="30" t="s">
        <v>146</v>
      </c>
      <c r="I1559" s="31" t="s">
        <v>29</v>
      </c>
    </row>
    <row r="1560" spans="2:9" s="6" customFormat="1" ht="11.25" customHeight="1" x14ac:dyDescent="0.55000000000000004">
      <c r="B1560" s="30" t="s">
        <v>3177</v>
      </c>
      <c r="C1560" s="30" t="s">
        <v>3182</v>
      </c>
      <c r="D1560" s="32" t="s">
        <v>29</v>
      </c>
      <c r="E1560" s="30" t="s">
        <v>20</v>
      </c>
      <c r="F1560" s="30" t="s">
        <v>3177</v>
      </c>
      <c r="G1560" s="30" t="s">
        <v>35</v>
      </c>
      <c r="H1560" s="30" t="s">
        <v>146</v>
      </c>
      <c r="I1560" s="31">
        <v>290428109.73000002</v>
      </c>
    </row>
    <row r="1561" spans="2:9" s="6" customFormat="1" ht="11.25" customHeight="1" x14ac:dyDescent="0.55000000000000004">
      <c r="B1561" s="30" t="s">
        <v>3183</v>
      </c>
      <c r="C1561" s="30" t="s">
        <v>3184</v>
      </c>
      <c r="D1561" s="32">
        <v>15320</v>
      </c>
      <c r="E1561" s="30" t="s">
        <v>20</v>
      </c>
      <c r="F1561" s="30" t="s">
        <v>1384</v>
      </c>
      <c r="G1561" s="30" t="s">
        <v>39</v>
      </c>
      <c r="H1561" s="30" t="s">
        <v>113</v>
      </c>
      <c r="I1561" s="31">
        <v>8472.2360000000008</v>
      </c>
    </row>
    <row r="1562" spans="2:9" s="6" customFormat="1" ht="11.25" customHeight="1" x14ac:dyDescent="0.55000000000000004">
      <c r="B1562" s="30" t="s">
        <v>3185</v>
      </c>
      <c r="C1562" s="30" t="s">
        <v>3186</v>
      </c>
      <c r="D1562" s="32">
        <v>69000</v>
      </c>
      <c r="E1562" s="30" t="s">
        <v>20</v>
      </c>
      <c r="F1562" s="30" t="s">
        <v>3177</v>
      </c>
      <c r="G1562" s="30" t="s">
        <v>16</v>
      </c>
      <c r="H1562" s="30" t="s">
        <v>146</v>
      </c>
      <c r="I1562" s="31">
        <v>283246.348</v>
      </c>
    </row>
    <row r="1563" spans="2:9" s="6" customFormat="1" ht="11.25" customHeight="1" x14ac:dyDescent="0.55000000000000004">
      <c r="B1563" s="30" t="s">
        <v>3187</v>
      </c>
      <c r="C1563" s="30" t="s">
        <v>3188</v>
      </c>
      <c r="D1563" s="32">
        <v>81353</v>
      </c>
      <c r="E1563" s="30" t="s">
        <v>20</v>
      </c>
      <c r="F1563" s="30" t="s">
        <v>3121</v>
      </c>
      <c r="G1563" s="30" t="s">
        <v>35</v>
      </c>
      <c r="H1563" s="30" t="s">
        <v>124</v>
      </c>
      <c r="I1563" s="31">
        <v>163796.92600000001</v>
      </c>
    </row>
    <row r="1564" spans="2:9" s="6" customFormat="1" ht="11.25" customHeight="1" x14ac:dyDescent="0.55000000000000004">
      <c r="B1564" s="30" t="s">
        <v>3189</v>
      </c>
      <c r="C1564" s="30" t="s">
        <v>3190</v>
      </c>
      <c r="D1564" s="32">
        <v>80250</v>
      </c>
      <c r="E1564" s="30" t="s">
        <v>15</v>
      </c>
      <c r="F1564" s="30"/>
      <c r="G1564" s="30"/>
      <c r="H1564" s="30" t="s">
        <v>500</v>
      </c>
      <c r="I1564" s="31" t="s">
        <v>29</v>
      </c>
    </row>
    <row r="1565" spans="2:9" s="6" customFormat="1" ht="11.25" customHeight="1" x14ac:dyDescent="0.55000000000000004">
      <c r="B1565" s="30" t="s">
        <v>3191</v>
      </c>
      <c r="C1565" s="30" t="s">
        <v>3192</v>
      </c>
      <c r="D1565" s="32">
        <v>76643</v>
      </c>
      <c r="E1565" s="30" t="s">
        <v>15</v>
      </c>
      <c r="F1565" s="30"/>
      <c r="G1565" s="30"/>
      <c r="H1565" s="30" t="s">
        <v>48</v>
      </c>
      <c r="I1565" s="31" t="s">
        <v>29</v>
      </c>
    </row>
    <row r="1566" spans="2:9" s="6" customFormat="1" ht="11.25" customHeight="1" x14ac:dyDescent="0.55000000000000004">
      <c r="B1566" s="30" t="s">
        <v>3193</v>
      </c>
      <c r="C1566" s="30" t="s">
        <v>3194</v>
      </c>
      <c r="D1566" s="32">
        <v>67148</v>
      </c>
      <c r="E1566" s="30" t="s">
        <v>20</v>
      </c>
      <c r="F1566" s="30" t="s">
        <v>525</v>
      </c>
      <c r="G1566" s="30" t="s">
        <v>35</v>
      </c>
      <c r="H1566" s="30" t="s">
        <v>113</v>
      </c>
      <c r="I1566" s="31">
        <v>259888.573</v>
      </c>
    </row>
    <row r="1567" spans="2:9" s="6" customFormat="1" ht="11.25" customHeight="1" x14ac:dyDescent="0.55000000000000004">
      <c r="B1567" s="30" t="s">
        <v>3195</v>
      </c>
      <c r="C1567" s="30" t="s">
        <v>3196</v>
      </c>
      <c r="D1567" s="32">
        <v>68446</v>
      </c>
      <c r="E1567" s="30" t="s">
        <v>20</v>
      </c>
      <c r="F1567" s="30"/>
      <c r="G1567" s="30" t="s">
        <v>16</v>
      </c>
      <c r="H1567" s="30" t="s">
        <v>105</v>
      </c>
      <c r="I1567" s="31">
        <v>646077.14100000006</v>
      </c>
    </row>
    <row r="1568" spans="2:9" s="6" customFormat="1" ht="11.25" customHeight="1" x14ac:dyDescent="0.55000000000000004">
      <c r="B1568" s="30" t="s">
        <v>3197</v>
      </c>
      <c r="C1568" s="30" t="s">
        <v>3198</v>
      </c>
      <c r="D1568" s="32">
        <v>87424</v>
      </c>
      <c r="E1568" s="30" t="s">
        <v>15</v>
      </c>
      <c r="F1568" s="30"/>
      <c r="G1568" s="30"/>
      <c r="H1568" s="30" t="s">
        <v>92</v>
      </c>
      <c r="I1568" s="31" t="s">
        <v>29</v>
      </c>
    </row>
    <row r="1569" spans="2:9" s="6" customFormat="1" ht="11.25" customHeight="1" x14ac:dyDescent="0.55000000000000004">
      <c r="B1569" s="30" t="s">
        <v>3199</v>
      </c>
      <c r="C1569" s="30" t="s">
        <v>3200</v>
      </c>
      <c r="D1569" s="32">
        <v>86720</v>
      </c>
      <c r="E1569" s="30" t="s">
        <v>15</v>
      </c>
      <c r="F1569" s="30"/>
      <c r="G1569" s="30"/>
      <c r="H1569" s="30" t="s">
        <v>113</v>
      </c>
      <c r="I1569" s="31" t="s">
        <v>29</v>
      </c>
    </row>
    <row r="1570" spans="2:9" s="6" customFormat="1" ht="11.25" customHeight="1" x14ac:dyDescent="0.55000000000000004">
      <c r="B1570" s="30" t="s">
        <v>3201</v>
      </c>
      <c r="C1570" s="30" t="s">
        <v>3202</v>
      </c>
      <c r="D1570" s="32">
        <v>66005</v>
      </c>
      <c r="E1570" s="30" t="s">
        <v>15</v>
      </c>
      <c r="F1570" s="30" t="s">
        <v>27</v>
      </c>
      <c r="G1570" s="30" t="s">
        <v>129</v>
      </c>
      <c r="H1570" s="30" t="s">
        <v>313</v>
      </c>
      <c r="I1570" s="31" t="s">
        <v>29</v>
      </c>
    </row>
    <row r="1571" spans="2:9" s="6" customFormat="1" ht="11.25" customHeight="1" x14ac:dyDescent="0.55000000000000004">
      <c r="B1571" s="30" t="s">
        <v>3034</v>
      </c>
      <c r="C1571" s="30" t="s">
        <v>3203</v>
      </c>
      <c r="D1571" s="32" t="s">
        <v>29</v>
      </c>
      <c r="E1571" s="30" t="s">
        <v>20</v>
      </c>
      <c r="F1571" s="30" t="s">
        <v>3034</v>
      </c>
      <c r="G1571" s="30" t="s">
        <v>265</v>
      </c>
      <c r="H1571" s="30" t="s">
        <v>313</v>
      </c>
      <c r="I1571" s="31">
        <v>31388241.761</v>
      </c>
    </row>
    <row r="1572" spans="2:9" s="6" customFormat="1" ht="11.25" customHeight="1" x14ac:dyDescent="0.55000000000000004">
      <c r="B1572" s="30" t="s">
        <v>3204</v>
      </c>
      <c r="C1572" s="30" t="s">
        <v>3205</v>
      </c>
      <c r="D1572" s="32" t="s">
        <v>29</v>
      </c>
      <c r="E1572" s="30" t="s">
        <v>20</v>
      </c>
      <c r="F1572" s="30"/>
      <c r="G1572" s="30"/>
      <c r="H1572" s="30" t="s">
        <v>313</v>
      </c>
      <c r="I1572" s="31" t="s">
        <v>29</v>
      </c>
    </row>
    <row r="1573" spans="2:9" s="6" customFormat="1" ht="11.25" customHeight="1" x14ac:dyDescent="0.55000000000000004">
      <c r="B1573" s="30" t="s">
        <v>3206</v>
      </c>
      <c r="C1573" s="30" t="s">
        <v>3207</v>
      </c>
      <c r="D1573" s="32">
        <v>89206</v>
      </c>
      <c r="E1573" s="30" t="s">
        <v>20</v>
      </c>
      <c r="F1573" s="30" t="s">
        <v>3034</v>
      </c>
      <c r="G1573" s="30" t="s">
        <v>35</v>
      </c>
      <c r="H1573" s="30" t="s">
        <v>313</v>
      </c>
      <c r="I1573" s="31">
        <v>2998568.8229999999</v>
      </c>
    </row>
    <row r="1574" spans="2:9" s="6" customFormat="1" ht="11.25" customHeight="1" x14ac:dyDescent="0.55000000000000004">
      <c r="B1574" s="30" t="s">
        <v>3208</v>
      </c>
      <c r="C1574" s="30" t="s">
        <v>3209</v>
      </c>
      <c r="D1574" s="32">
        <v>89206</v>
      </c>
      <c r="E1574" s="30" t="s">
        <v>20</v>
      </c>
      <c r="F1574" s="30"/>
      <c r="G1574" s="30"/>
      <c r="H1574" s="30" t="s">
        <v>313</v>
      </c>
      <c r="I1574" s="31" t="s">
        <v>29</v>
      </c>
    </row>
    <row r="1575" spans="2:9" s="6" customFormat="1" ht="11.25" customHeight="1" x14ac:dyDescent="0.55000000000000004">
      <c r="B1575" s="30" t="s">
        <v>3210</v>
      </c>
      <c r="C1575" s="30" t="s">
        <v>3211</v>
      </c>
      <c r="D1575" s="32">
        <v>89206</v>
      </c>
      <c r="E1575" s="30" t="s">
        <v>20</v>
      </c>
      <c r="F1575" s="30"/>
      <c r="G1575" s="30"/>
      <c r="H1575" s="30" t="s">
        <v>313</v>
      </c>
      <c r="I1575" s="31" t="s">
        <v>29</v>
      </c>
    </row>
    <row r="1576" spans="2:9" s="6" customFormat="1" ht="11.25" customHeight="1" x14ac:dyDescent="0.55000000000000004">
      <c r="B1576" s="30" t="s">
        <v>3212</v>
      </c>
      <c r="C1576" s="30" t="s">
        <v>3213</v>
      </c>
      <c r="D1576" s="32">
        <v>67172</v>
      </c>
      <c r="E1576" s="30" t="s">
        <v>20</v>
      </c>
      <c r="F1576" s="30" t="s">
        <v>3034</v>
      </c>
      <c r="G1576" s="30" t="s">
        <v>35</v>
      </c>
      <c r="H1576" s="30" t="s">
        <v>313</v>
      </c>
      <c r="I1576" s="31">
        <v>28224757.839000002</v>
      </c>
    </row>
    <row r="1577" spans="2:9" s="6" customFormat="1" ht="11.25" customHeight="1" x14ac:dyDescent="0.55000000000000004">
      <c r="B1577" s="30" t="s">
        <v>3214</v>
      </c>
      <c r="C1577" s="30" t="s">
        <v>3215</v>
      </c>
      <c r="D1577" s="32">
        <v>67172</v>
      </c>
      <c r="E1577" s="30" t="s">
        <v>20</v>
      </c>
      <c r="F1577" s="30"/>
      <c r="G1577" s="30"/>
      <c r="H1577" s="30" t="s">
        <v>313</v>
      </c>
      <c r="I1577" s="31" t="s">
        <v>29</v>
      </c>
    </row>
    <row r="1578" spans="2:9" s="6" customFormat="1" ht="11.25" customHeight="1" x14ac:dyDescent="0.55000000000000004">
      <c r="B1578" s="30" t="s">
        <v>3216</v>
      </c>
      <c r="C1578" s="30" t="s">
        <v>3217</v>
      </c>
      <c r="D1578" s="32">
        <v>67172</v>
      </c>
      <c r="E1578" s="30" t="s">
        <v>20</v>
      </c>
      <c r="F1578" s="30"/>
      <c r="G1578" s="30"/>
      <c r="H1578" s="30" t="s">
        <v>313</v>
      </c>
      <c r="I1578" s="31" t="s">
        <v>29</v>
      </c>
    </row>
    <row r="1579" spans="2:9" s="6" customFormat="1" ht="11.25" customHeight="1" x14ac:dyDescent="0.55000000000000004">
      <c r="B1579" s="30" t="s">
        <v>3218</v>
      </c>
      <c r="C1579" s="30" t="s">
        <v>3219</v>
      </c>
      <c r="D1579" s="32">
        <v>67180</v>
      </c>
      <c r="E1579" s="30" t="s">
        <v>20</v>
      </c>
      <c r="F1579" s="30"/>
      <c r="G1579" s="30" t="s">
        <v>16</v>
      </c>
      <c r="H1579" s="30" t="s">
        <v>113</v>
      </c>
      <c r="I1579" s="31">
        <v>12812.347</v>
      </c>
    </row>
    <row r="1580" spans="2:9" s="6" customFormat="1" ht="11.25" customHeight="1" x14ac:dyDescent="0.55000000000000004">
      <c r="B1580" s="30" t="s">
        <v>3220</v>
      </c>
      <c r="C1580" s="30" t="s">
        <v>3221</v>
      </c>
      <c r="D1580" s="32">
        <v>67199</v>
      </c>
      <c r="E1580" s="30" t="s">
        <v>20</v>
      </c>
      <c r="F1580" s="30" t="s">
        <v>1897</v>
      </c>
      <c r="G1580" s="30" t="s">
        <v>35</v>
      </c>
      <c r="H1580" s="30" t="s">
        <v>500</v>
      </c>
      <c r="I1580" s="31">
        <v>278246.51400000002</v>
      </c>
    </row>
    <row r="1581" spans="2:9" s="6" customFormat="1" ht="11.25" customHeight="1" x14ac:dyDescent="0.55000000000000004">
      <c r="B1581" s="30" t="s">
        <v>3222</v>
      </c>
      <c r="C1581" s="30" t="s">
        <v>3223</v>
      </c>
      <c r="D1581" s="32">
        <v>94560</v>
      </c>
      <c r="E1581" s="30" t="s">
        <v>15</v>
      </c>
      <c r="F1581" s="30" t="s">
        <v>3224</v>
      </c>
      <c r="G1581" s="30"/>
      <c r="H1581" s="30" t="s">
        <v>26</v>
      </c>
      <c r="I1581" s="31" t="s">
        <v>29</v>
      </c>
    </row>
    <row r="1582" spans="2:9" s="6" customFormat="1" ht="11.25" customHeight="1" x14ac:dyDescent="0.55000000000000004">
      <c r="B1582" s="30" t="s">
        <v>3225</v>
      </c>
      <c r="C1582" s="30" t="s">
        <v>3226</v>
      </c>
      <c r="D1582" s="32">
        <v>93300</v>
      </c>
      <c r="E1582" s="30" t="s">
        <v>15</v>
      </c>
      <c r="F1582" s="30"/>
      <c r="G1582" s="30"/>
      <c r="H1582" s="30" t="s">
        <v>105</v>
      </c>
      <c r="I1582" s="31" t="s">
        <v>29</v>
      </c>
    </row>
    <row r="1583" spans="2:9" s="6" customFormat="1" ht="11.25" customHeight="1" x14ac:dyDescent="0.55000000000000004">
      <c r="B1583" s="30" t="s">
        <v>3227</v>
      </c>
      <c r="C1583" s="30" t="s">
        <v>3228</v>
      </c>
      <c r="D1583" s="32">
        <v>67245</v>
      </c>
      <c r="E1583" s="30" t="s">
        <v>15</v>
      </c>
      <c r="F1583" s="30" t="s">
        <v>116</v>
      </c>
      <c r="G1583" s="30"/>
      <c r="H1583" s="30" t="s">
        <v>146</v>
      </c>
      <c r="I1583" s="31" t="s">
        <v>29</v>
      </c>
    </row>
    <row r="1584" spans="2:9" s="6" customFormat="1" ht="11.25" customHeight="1" x14ac:dyDescent="0.55000000000000004">
      <c r="B1584" s="30" t="s">
        <v>3229</v>
      </c>
      <c r="C1584" s="30" t="s">
        <v>3230</v>
      </c>
      <c r="D1584" s="32">
        <v>67261</v>
      </c>
      <c r="E1584" s="30" t="s">
        <v>20</v>
      </c>
      <c r="F1584" s="30"/>
      <c r="G1584" s="30" t="s">
        <v>194</v>
      </c>
      <c r="H1584" s="30" t="s">
        <v>22</v>
      </c>
      <c r="I1584" s="31">
        <v>107791.72100000001</v>
      </c>
    </row>
    <row r="1585" spans="2:9" s="6" customFormat="1" ht="11.25" customHeight="1" x14ac:dyDescent="0.55000000000000004">
      <c r="B1585" s="30" t="s">
        <v>3231</v>
      </c>
      <c r="C1585" s="30" t="s">
        <v>3232</v>
      </c>
      <c r="D1585" s="32">
        <v>11556</v>
      </c>
      <c r="E1585" s="30" t="s">
        <v>15</v>
      </c>
      <c r="F1585" s="30"/>
      <c r="G1585" s="30" t="s">
        <v>80</v>
      </c>
      <c r="H1585" s="30" t="s">
        <v>22</v>
      </c>
      <c r="I1585" s="31" t="s">
        <v>29</v>
      </c>
    </row>
    <row r="1586" spans="2:9" s="6" customFormat="1" ht="11.25" customHeight="1" x14ac:dyDescent="0.55000000000000004">
      <c r="B1586" s="30" t="s">
        <v>3233</v>
      </c>
      <c r="C1586" s="30" t="s">
        <v>3234</v>
      </c>
      <c r="D1586" s="32">
        <v>75965</v>
      </c>
      <c r="E1586" s="30" t="s">
        <v>15</v>
      </c>
      <c r="F1586" s="30"/>
      <c r="G1586" s="30"/>
      <c r="H1586" s="30" t="s">
        <v>66</v>
      </c>
      <c r="I1586" s="31" t="s">
        <v>29</v>
      </c>
    </row>
    <row r="1587" spans="2:9" s="6" customFormat="1" ht="11.25" customHeight="1" x14ac:dyDescent="0.55000000000000004">
      <c r="B1587" s="30" t="s">
        <v>3235</v>
      </c>
      <c r="C1587" s="30" t="s">
        <v>3236</v>
      </c>
      <c r="D1587" s="32">
        <v>83631</v>
      </c>
      <c r="E1587" s="30" t="s">
        <v>15</v>
      </c>
      <c r="F1587" s="30"/>
      <c r="G1587" s="30"/>
      <c r="H1587" s="30" t="s">
        <v>266</v>
      </c>
      <c r="I1587" s="31" t="s">
        <v>29</v>
      </c>
    </row>
    <row r="1588" spans="2:9" s="6" customFormat="1" ht="11.25" customHeight="1" x14ac:dyDescent="0.55000000000000004">
      <c r="B1588" s="30" t="s">
        <v>3237</v>
      </c>
      <c r="C1588" s="30" t="s">
        <v>3238</v>
      </c>
      <c r="D1588" s="32">
        <v>65480</v>
      </c>
      <c r="E1588" s="30" t="s">
        <v>20</v>
      </c>
      <c r="F1588" s="30"/>
      <c r="G1588" s="30" t="s">
        <v>80</v>
      </c>
      <c r="H1588" s="30" t="s">
        <v>655</v>
      </c>
      <c r="I1588" s="31">
        <v>25442.882000000001</v>
      </c>
    </row>
    <row r="1589" spans="2:9" s="6" customFormat="1" ht="11.25" customHeight="1" x14ac:dyDescent="0.55000000000000004">
      <c r="B1589" s="30" t="s">
        <v>3239</v>
      </c>
      <c r="C1589" s="30" t="s">
        <v>3240</v>
      </c>
      <c r="D1589" s="32">
        <v>88579</v>
      </c>
      <c r="E1589" s="30" t="s">
        <v>15</v>
      </c>
      <c r="F1589" s="30"/>
      <c r="G1589" s="30"/>
      <c r="H1589" s="30" t="s">
        <v>17</v>
      </c>
      <c r="I1589" s="31" t="s">
        <v>29</v>
      </c>
    </row>
    <row r="1590" spans="2:9" s="6" customFormat="1" ht="11.25" customHeight="1" x14ac:dyDescent="0.55000000000000004">
      <c r="B1590" s="30" t="s">
        <v>3241</v>
      </c>
      <c r="C1590" s="30" t="s">
        <v>3242</v>
      </c>
      <c r="D1590" s="32" t="s">
        <v>29</v>
      </c>
      <c r="E1590" s="30" t="s">
        <v>20</v>
      </c>
      <c r="F1590" s="30" t="s">
        <v>3241</v>
      </c>
      <c r="G1590" s="30" t="s">
        <v>39</v>
      </c>
      <c r="H1590" s="30" t="s">
        <v>45</v>
      </c>
      <c r="I1590" s="31">
        <v>32887.387000000002</v>
      </c>
    </row>
    <row r="1591" spans="2:9" s="6" customFormat="1" ht="11.25" customHeight="1" x14ac:dyDescent="0.55000000000000004">
      <c r="B1591" s="30" t="s">
        <v>3243</v>
      </c>
      <c r="C1591" s="30" t="s">
        <v>3244</v>
      </c>
      <c r="D1591" s="32">
        <v>16377</v>
      </c>
      <c r="E1591" s="30" t="s">
        <v>20</v>
      </c>
      <c r="F1591" s="30" t="s">
        <v>3241</v>
      </c>
      <c r="G1591" s="30" t="s">
        <v>16</v>
      </c>
      <c r="H1591" s="30" t="s">
        <v>45</v>
      </c>
      <c r="I1591" s="31">
        <v>2073.4540000000002</v>
      </c>
    </row>
    <row r="1592" spans="2:9" s="6" customFormat="1" ht="11.25" customHeight="1" x14ac:dyDescent="0.55000000000000004">
      <c r="B1592" s="30" t="s">
        <v>3245</v>
      </c>
      <c r="C1592" s="30" t="s">
        <v>3246</v>
      </c>
      <c r="D1592" s="32">
        <v>67326</v>
      </c>
      <c r="E1592" s="30" t="s">
        <v>20</v>
      </c>
      <c r="F1592" s="30" t="s">
        <v>3241</v>
      </c>
      <c r="G1592" s="30" t="s">
        <v>39</v>
      </c>
      <c r="H1592" s="30" t="s">
        <v>45</v>
      </c>
      <c r="I1592" s="31">
        <v>32874.152999999998</v>
      </c>
    </row>
    <row r="1593" spans="2:9" s="6" customFormat="1" ht="11.25" customHeight="1" x14ac:dyDescent="0.55000000000000004">
      <c r="B1593" s="30" t="s">
        <v>3247</v>
      </c>
      <c r="C1593" s="30" t="s">
        <v>3248</v>
      </c>
      <c r="D1593" s="32">
        <v>76007</v>
      </c>
      <c r="E1593" s="30" t="s">
        <v>20</v>
      </c>
      <c r="F1593" s="30" t="s">
        <v>786</v>
      </c>
      <c r="G1593" s="30" t="s">
        <v>80</v>
      </c>
      <c r="H1593" s="30" t="s">
        <v>86</v>
      </c>
      <c r="I1593" s="31">
        <v>95888.055000000008</v>
      </c>
    </row>
    <row r="1594" spans="2:9" s="6" customFormat="1" ht="11.25" customHeight="1" x14ac:dyDescent="0.55000000000000004">
      <c r="B1594" s="30" t="s">
        <v>3249</v>
      </c>
      <c r="C1594" s="30" t="s">
        <v>3250</v>
      </c>
      <c r="D1594" s="32">
        <v>85600</v>
      </c>
      <c r="E1594" s="30" t="s">
        <v>15</v>
      </c>
      <c r="F1594" s="30" t="s">
        <v>786</v>
      </c>
      <c r="G1594" s="30"/>
      <c r="H1594" s="30" t="s">
        <v>86</v>
      </c>
      <c r="I1594" s="31" t="s">
        <v>29</v>
      </c>
    </row>
    <row r="1595" spans="2:9" s="6" customFormat="1" ht="11.25" customHeight="1" x14ac:dyDescent="0.55000000000000004">
      <c r="B1595" s="30" t="s">
        <v>3251</v>
      </c>
      <c r="C1595" s="30" t="s">
        <v>3252</v>
      </c>
      <c r="D1595" s="32">
        <v>76791</v>
      </c>
      <c r="E1595" s="30" t="s">
        <v>15</v>
      </c>
      <c r="F1595" s="30" t="s">
        <v>563</v>
      </c>
      <c r="G1595" s="30" t="s">
        <v>155</v>
      </c>
      <c r="H1595" s="30" t="s">
        <v>313</v>
      </c>
      <c r="I1595" s="31" t="s">
        <v>29</v>
      </c>
    </row>
    <row r="1596" spans="2:9" s="6" customFormat="1" ht="11.25" customHeight="1" x14ac:dyDescent="0.55000000000000004">
      <c r="B1596" s="30" t="s">
        <v>3253</v>
      </c>
      <c r="C1596" s="30" t="s">
        <v>3254</v>
      </c>
      <c r="D1596" s="32">
        <v>60120</v>
      </c>
      <c r="E1596" s="30" t="s">
        <v>15</v>
      </c>
      <c r="F1596" s="30"/>
      <c r="G1596" s="30"/>
      <c r="H1596" s="30" t="s">
        <v>40</v>
      </c>
      <c r="I1596" s="31" t="s">
        <v>29</v>
      </c>
    </row>
    <row r="1597" spans="2:9" s="6" customFormat="1" ht="11.25" customHeight="1" x14ac:dyDescent="0.55000000000000004">
      <c r="B1597" s="30" t="s">
        <v>3255</v>
      </c>
      <c r="C1597" s="30" t="s">
        <v>3256</v>
      </c>
      <c r="D1597" s="32">
        <v>88080</v>
      </c>
      <c r="E1597" s="30" t="s">
        <v>20</v>
      </c>
      <c r="F1597" s="30"/>
      <c r="G1597" s="30"/>
      <c r="H1597" s="30" t="s">
        <v>40</v>
      </c>
      <c r="I1597" s="31" t="s">
        <v>29</v>
      </c>
    </row>
    <row r="1598" spans="2:9" s="6" customFormat="1" ht="11.25" customHeight="1" x14ac:dyDescent="0.55000000000000004">
      <c r="B1598" s="30" t="s">
        <v>3257</v>
      </c>
      <c r="C1598" s="30" t="s">
        <v>3258</v>
      </c>
      <c r="D1598" s="32">
        <v>13100</v>
      </c>
      <c r="E1598" s="30" t="s">
        <v>20</v>
      </c>
      <c r="F1598" s="30" t="s">
        <v>1159</v>
      </c>
      <c r="G1598" s="30" t="s">
        <v>39</v>
      </c>
      <c r="H1598" s="30" t="s">
        <v>40</v>
      </c>
      <c r="I1598" s="31">
        <v>109451.651</v>
      </c>
    </row>
    <row r="1599" spans="2:9" s="6" customFormat="1" ht="11.25" customHeight="1" x14ac:dyDescent="0.55000000000000004">
      <c r="B1599" s="30" t="s">
        <v>3259</v>
      </c>
      <c r="C1599" s="30" t="s">
        <v>3260</v>
      </c>
      <c r="D1599" s="32">
        <v>68837</v>
      </c>
      <c r="E1599" s="30" t="s">
        <v>15</v>
      </c>
      <c r="F1599" s="30" t="s">
        <v>759</v>
      </c>
      <c r="G1599" s="30"/>
      <c r="H1599" s="30" t="s">
        <v>22</v>
      </c>
      <c r="I1599" s="31" t="s">
        <v>29</v>
      </c>
    </row>
    <row r="1600" spans="2:9" s="6" customFormat="1" ht="11.25" customHeight="1" x14ac:dyDescent="0.55000000000000004">
      <c r="B1600" s="30" t="s">
        <v>3261</v>
      </c>
      <c r="C1600" s="30" t="s">
        <v>3262</v>
      </c>
      <c r="D1600" s="32">
        <v>16537</v>
      </c>
      <c r="E1600" s="30" t="s">
        <v>20</v>
      </c>
      <c r="F1600" s="30" t="s">
        <v>1159</v>
      </c>
      <c r="G1600" s="30" t="s">
        <v>39</v>
      </c>
      <c r="H1600" s="30" t="s">
        <v>40</v>
      </c>
      <c r="I1600" s="31">
        <v>18795.046000000002</v>
      </c>
    </row>
    <row r="1601" spans="2:9" s="6" customFormat="1" ht="11.25" customHeight="1" x14ac:dyDescent="0.55000000000000004">
      <c r="B1601" s="30" t="s">
        <v>3263</v>
      </c>
      <c r="C1601" s="30" t="s">
        <v>3264</v>
      </c>
      <c r="D1601" s="32">
        <v>85774</v>
      </c>
      <c r="E1601" s="30" t="s">
        <v>15</v>
      </c>
      <c r="F1601" s="30"/>
      <c r="G1601" s="30"/>
      <c r="H1601" s="30" t="s">
        <v>582</v>
      </c>
      <c r="I1601" s="31" t="s">
        <v>29</v>
      </c>
    </row>
    <row r="1602" spans="2:9" s="6" customFormat="1" ht="11.25" customHeight="1" x14ac:dyDescent="0.55000000000000004">
      <c r="B1602" s="30" t="s">
        <v>3265</v>
      </c>
      <c r="C1602" s="30" t="s">
        <v>3266</v>
      </c>
      <c r="D1602" s="32">
        <v>11188</v>
      </c>
      <c r="E1602" s="30" t="s">
        <v>15</v>
      </c>
      <c r="F1602" s="30"/>
      <c r="G1602" s="30"/>
      <c r="H1602" s="30" t="s">
        <v>52</v>
      </c>
      <c r="I1602" s="31" t="s">
        <v>29</v>
      </c>
    </row>
    <row r="1603" spans="2:9" s="6" customFormat="1" ht="11.25" customHeight="1" x14ac:dyDescent="0.55000000000000004">
      <c r="B1603" s="30" t="s">
        <v>514</v>
      </c>
      <c r="C1603" s="30" t="s">
        <v>3267</v>
      </c>
      <c r="D1603" s="32" t="s">
        <v>29</v>
      </c>
      <c r="E1603" s="30" t="s">
        <v>20</v>
      </c>
      <c r="F1603" s="30" t="s">
        <v>514</v>
      </c>
      <c r="G1603" s="30" t="s">
        <v>155</v>
      </c>
      <c r="H1603" s="30" t="s">
        <v>150</v>
      </c>
      <c r="I1603" s="31">
        <v>41234121.784000002</v>
      </c>
    </row>
    <row r="1604" spans="2:9" s="6" customFormat="1" ht="11.25" customHeight="1" x14ac:dyDescent="0.55000000000000004">
      <c r="B1604" s="30" t="s">
        <v>3268</v>
      </c>
      <c r="C1604" s="30" t="s">
        <v>3269</v>
      </c>
      <c r="D1604" s="32">
        <v>76066</v>
      </c>
      <c r="E1604" s="30" t="s">
        <v>15</v>
      </c>
      <c r="F1604" s="30"/>
      <c r="G1604" s="30"/>
      <c r="H1604" s="30" t="s">
        <v>92</v>
      </c>
      <c r="I1604" s="31" t="s">
        <v>29</v>
      </c>
    </row>
    <row r="1605" spans="2:9" s="6" customFormat="1" ht="11.25" customHeight="1" x14ac:dyDescent="0.55000000000000004">
      <c r="B1605" s="30" t="s">
        <v>3270</v>
      </c>
      <c r="C1605" s="30" t="s">
        <v>3271</v>
      </c>
      <c r="D1605" s="32">
        <v>60251</v>
      </c>
      <c r="E1605" s="30" t="s">
        <v>15</v>
      </c>
      <c r="F1605" s="30"/>
      <c r="G1605" s="30"/>
      <c r="H1605" s="30"/>
      <c r="I1605" s="31" t="s">
        <v>29</v>
      </c>
    </row>
    <row r="1606" spans="2:9" s="6" customFormat="1" ht="11.25" customHeight="1" x14ac:dyDescent="0.55000000000000004">
      <c r="B1606" s="30" t="s">
        <v>3272</v>
      </c>
      <c r="C1606" s="30" t="s">
        <v>3273</v>
      </c>
      <c r="D1606" s="32" t="s">
        <v>29</v>
      </c>
      <c r="E1606" s="30" t="s">
        <v>20</v>
      </c>
      <c r="F1606" s="30" t="s">
        <v>3272</v>
      </c>
      <c r="G1606" s="30" t="s">
        <v>35</v>
      </c>
      <c r="H1606" s="30" t="s">
        <v>113</v>
      </c>
      <c r="I1606" s="31">
        <v>214714.28200000001</v>
      </c>
    </row>
    <row r="1607" spans="2:9" s="6" customFormat="1" ht="11.25" customHeight="1" x14ac:dyDescent="0.55000000000000004">
      <c r="B1607" s="30" t="s">
        <v>3274</v>
      </c>
      <c r="C1607" s="30" t="s">
        <v>3275</v>
      </c>
      <c r="D1607" s="32">
        <v>88099</v>
      </c>
      <c r="E1607" s="30" t="s">
        <v>20</v>
      </c>
      <c r="F1607" s="30" t="s">
        <v>3272</v>
      </c>
      <c r="G1607" s="30" t="s">
        <v>35</v>
      </c>
      <c r="H1607" s="30" t="s">
        <v>113</v>
      </c>
      <c r="I1607" s="31">
        <v>211537.255</v>
      </c>
    </row>
    <row r="1608" spans="2:9" s="6" customFormat="1" ht="11.25" customHeight="1" x14ac:dyDescent="0.55000000000000004">
      <c r="B1608" s="30" t="s">
        <v>3276</v>
      </c>
      <c r="C1608" s="30" t="s">
        <v>3277</v>
      </c>
      <c r="D1608" s="32">
        <v>69647</v>
      </c>
      <c r="E1608" s="30" t="s">
        <v>20</v>
      </c>
      <c r="F1608" s="30" t="s">
        <v>149</v>
      </c>
      <c r="G1608" s="30" t="s">
        <v>16</v>
      </c>
      <c r="H1608" s="30" t="s">
        <v>156</v>
      </c>
      <c r="I1608" s="31">
        <v>506750.50699999998</v>
      </c>
    </row>
    <row r="1609" spans="2:9" s="6" customFormat="1" ht="11.25" customHeight="1" x14ac:dyDescent="0.55000000000000004">
      <c r="B1609" s="30" t="s">
        <v>3278</v>
      </c>
      <c r="C1609" s="30" t="s">
        <v>3279</v>
      </c>
      <c r="D1609" s="32">
        <v>60029</v>
      </c>
      <c r="E1609" s="30" t="s">
        <v>15</v>
      </c>
      <c r="F1609" s="30"/>
      <c r="G1609" s="30"/>
      <c r="H1609" s="30" t="s">
        <v>105</v>
      </c>
      <c r="I1609" s="31" t="s">
        <v>29</v>
      </c>
    </row>
    <row r="1610" spans="2:9" s="6" customFormat="1" ht="11.25" customHeight="1" x14ac:dyDescent="0.55000000000000004">
      <c r="B1610" s="30" t="s">
        <v>3280</v>
      </c>
      <c r="C1610" s="30" t="s">
        <v>3281</v>
      </c>
      <c r="D1610" s="32">
        <v>74675</v>
      </c>
      <c r="E1610" s="30" t="s">
        <v>15</v>
      </c>
      <c r="F1610" s="30"/>
      <c r="G1610" s="30"/>
      <c r="H1610" s="30" t="s">
        <v>22</v>
      </c>
      <c r="I1610" s="31" t="s">
        <v>29</v>
      </c>
    </row>
    <row r="1611" spans="2:9" s="6" customFormat="1" ht="11.25" customHeight="1" x14ac:dyDescent="0.55000000000000004">
      <c r="B1611" s="30" t="s">
        <v>3282</v>
      </c>
      <c r="C1611" s="30" t="s">
        <v>3283</v>
      </c>
      <c r="D1611" s="32">
        <v>60149</v>
      </c>
      <c r="E1611" s="30" t="s">
        <v>15</v>
      </c>
      <c r="F1611" s="30"/>
      <c r="G1611" s="30"/>
      <c r="H1611" s="30" t="s">
        <v>92</v>
      </c>
      <c r="I1611" s="31" t="s">
        <v>29</v>
      </c>
    </row>
    <row r="1612" spans="2:9" s="6" customFormat="1" ht="11.25" customHeight="1" x14ac:dyDescent="0.55000000000000004">
      <c r="B1612" s="30" t="s">
        <v>3284</v>
      </c>
      <c r="C1612" s="30" t="s">
        <v>3285</v>
      </c>
      <c r="D1612" s="32">
        <v>12215</v>
      </c>
      <c r="E1612" s="30" t="s">
        <v>15</v>
      </c>
      <c r="F1612" s="30"/>
      <c r="G1612" s="30"/>
      <c r="H1612" s="30" t="s">
        <v>113</v>
      </c>
      <c r="I1612" s="31" t="s">
        <v>29</v>
      </c>
    </row>
    <row r="1613" spans="2:9" s="6" customFormat="1" ht="11.25" customHeight="1" x14ac:dyDescent="0.55000000000000004">
      <c r="B1613" s="30" t="s">
        <v>3286</v>
      </c>
      <c r="C1613" s="30" t="s">
        <v>3287</v>
      </c>
      <c r="D1613" s="32">
        <v>60223</v>
      </c>
      <c r="E1613" s="30" t="s">
        <v>15</v>
      </c>
      <c r="F1613" s="30"/>
      <c r="G1613" s="30"/>
      <c r="H1613" s="30" t="s">
        <v>22</v>
      </c>
      <c r="I1613" s="31" t="s">
        <v>29</v>
      </c>
    </row>
    <row r="1614" spans="2:9" s="6" customFormat="1" ht="11.25" customHeight="1" x14ac:dyDescent="0.55000000000000004">
      <c r="B1614" s="30" t="s">
        <v>989</v>
      </c>
      <c r="C1614" s="30" t="s">
        <v>3288</v>
      </c>
      <c r="D1614" s="32" t="s">
        <v>29</v>
      </c>
      <c r="E1614" s="30" t="s">
        <v>20</v>
      </c>
      <c r="F1614" s="30" t="s">
        <v>989</v>
      </c>
      <c r="G1614" s="30" t="s">
        <v>155</v>
      </c>
      <c r="H1614" s="30" t="s">
        <v>105</v>
      </c>
      <c r="I1614" s="31">
        <v>2410906.1380000003</v>
      </c>
    </row>
    <row r="1615" spans="2:9" s="6" customFormat="1" ht="11.25" customHeight="1" x14ac:dyDescent="0.55000000000000004">
      <c r="B1615" s="30" t="s">
        <v>3289</v>
      </c>
      <c r="C1615" s="30" t="s">
        <v>3290</v>
      </c>
      <c r="D1615" s="32">
        <v>76112</v>
      </c>
      <c r="E1615" s="30" t="s">
        <v>20</v>
      </c>
      <c r="F1615" s="30" t="s">
        <v>989</v>
      </c>
      <c r="G1615" s="30" t="s">
        <v>155</v>
      </c>
      <c r="H1615" s="30" t="s">
        <v>105</v>
      </c>
      <c r="I1615" s="31">
        <v>2377063.8029999998</v>
      </c>
    </row>
    <row r="1616" spans="2:9" s="6" customFormat="1" ht="11.25" customHeight="1" x14ac:dyDescent="0.55000000000000004">
      <c r="B1616" s="30" t="s">
        <v>3291</v>
      </c>
      <c r="C1616" s="30" t="s">
        <v>3292</v>
      </c>
      <c r="D1616" s="32">
        <v>67385</v>
      </c>
      <c r="E1616" s="30" t="s">
        <v>15</v>
      </c>
      <c r="F1616" s="30"/>
      <c r="G1616" s="30" t="s">
        <v>265</v>
      </c>
      <c r="H1616" s="30" t="s">
        <v>113</v>
      </c>
      <c r="I1616" s="31" t="s">
        <v>29</v>
      </c>
    </row>
    <row r="1617" spans="2:9" s="6" customFormat="1" ht="11.25" customHeight="1" x14ac:dyDescent="0.55000000000000004">
      <c r="B1617" s="30" t="s">
        <v>3293</v>
      </c>
      <c r="C1617" s="30" t="s">
        <v>3294</v>
      </c>
      <c r="D1617" s="32">
        <v>67393</v>
      </c>
      <c r="E1617" s="30" t="s">
        <v>20</v>
      </c>
      <c r="F1617" s="30" t="s">
        <v>3051</v>
      </c>
      <c r="G1617" s="30" t="s">
        <v>35</v>
      </c>
      <c r="H1617" s="30" t="s">
        <v>500</v>
      </c>
      <c r="I1617" s="31">
        <v>773968.12</v>
      </c>
    </row>
    <row r="1618" spans="2:9" s="6" customFormat="1" ht="11.25" customHeight="1" x14ac:dyDescent="0.55000000000000004">
      <c r="B1618" s="30" t="s">
        <v>3295</v>
      </c>
      <c r="C1618" s="30" t="s">
        <v>3296</v>
      </c>
      <c r="D1618" s="32">
        <v>84162</v>
      </c>
      <c r="E1618" s="30" t="s">
        <v>15</v>
      </c>
      <c r="F1618" s="30"/>
      <c r="G1618" s="30" t="s">
        <v>25</v>
      </c>
      <c r="H1618" s="30" t="s">
        <v>865</v>
      </c>
      <c r="I1618" s="31" t="s">
        <v>29</v>
      </c>
    </row>
    <row r="1619" spans="2:9" s="6" customFormat="1" ht="11.25" customHeight="1" x14ac:dyDescent="0.55000000000000004">
      <c r="B1619" s="30" t="s">
        <v>3297</v>
      </c>
      <c r="C1619" s="30" t="s">
        <v>3298</v>
      </c>
      <c r="D1619" s="32">
        <v>93815</v>
      </c>
      <c r="E1619" s="30" t="s">
        <v>20</v>
      </c>
      <c r="F1619" s="30" t="s">
        <v>701</v>
      </c>
      <c r="G1619" s="30" t="s">
        <v>25</v>
      </c>
      <c r="H1619" s="30" t="s">
        <v>105</v>
      </c>
      <c r="I1619" s="31" t="s">
        <v>29</v>
      </c>
    </row>
    <row r="1620" spans="2:9" s="6" customFormat="1" ht="11.25" customHeight="1" x14ac:dyDescent="0.55000000000000004">
      <c r="B1620" s="30" t="s">
        <v>3299</v>
      </c>
      <c r="C1620" s="30" t="s">
        <v>3300</v>
      </c>
      <c r="D1620" s="32">
        <v>88881</v>
      </c>
      <c r="E1620" s="30" t="s">
        <v>15</v>
      </c>
      <c r="F1620" s="30" t="s">
        <v>3301</v>
      </c>
      <c r="G1620" s="30"/>
      <c r="H1620" s="30" t="s">
        <v>239</v>
      </c>
      <c r="I1620" s="31" t="s">
        <v>29</v>
      </c>
    </row>
    <row r="1621" spans="2:9" s="6" customFormat="1" ht="11.25" customHeight="1" x14ac:dyDescent="0.55000000000000004">
      <c r="B1621" s="30" t="s">
        <v>3302</v>
      </c>
      <c r="C1621" s="30" t="s">
        <v>3303</v>
      </c>
      <c r="D1621" s="32">
        <v>88881</v>
      </c>
      <c r="E1621" s="30" t="s">
        <v>15</v>
      </c>
      <c r="F1621" s="30"/>
      <c r="G1621" s="30"/>
      <c r="H1621" s="30" t="s">
        <v>239</v>
      </c>
      <c r="I1621" s="31" t="s">
        <v>29</v>
      </c>
    </row>
    <row r="1622" spans="2:9" s="6" customFormat="1" ht="11.25" customHeight="1" x14ac:dyDescent="0.55000000000000004">
      <c r="B1622" s="30" t="s">
        <v>3304</v>
      </c>
      <c r="C1622" s="30" t="s">
        <v>3305</v>
      </c>
      <c r="D1622" s="32">
        <v>64343</v>
      </c>
      <c r="E1622" s="30" t="s">
        <v>20</v>
      </c>
      <c r="F1622" s="30" t="s">
        <v>3306</v>
      </c>
      <c r="G1622" s="30" t="s">
        <v>129</v>
      </c>
      <c r="H1622" s="30" t="s">
        <v>865</v>
      </c>
      <c r="I1622" s="31">
        <v>565468.99699999997</v>
      </c>
    </row>
    <row r="1623" spans="2:9" s="6" customFormat="1" ht="11.25" customHeight="1" x14ac:dyDescent="0.55000000000000004">
      <c r="B1623" s="30" t="s">
        <v>3307</v>
      </c>
      <c r="C1623" s="30" t="s">
        <v>3308</v>
      </c>
      <c r="D1623" s="32">
        <v>76120</v>
      </c>
      <c r="E1623" s="30" t="s">
        <v>15</v>
      </c>
      <c r="F1623" s="30" t="s">
        <v>766</v>
      </c>
      <c r="G1623" s="30"/>
      <c r="H1623" s="30" t="s">
        <v>2498</v>
      </c>
      <c r="I1623" s="31" t="s">
        <v>29</v>
      </c>
    </row>
    <row r="1624" spans="2:9" s="6" customFormat="1" ht="11.25" customHeight="1" x14ac:dyDescent="0.55000000000000004">
      <c r="B1624" s="30" t="s">
        <v>3309</v>
      </c>
      <c r="C1624" s="30" t="s">
        <v>3310</v>
      </c>
      <c r="D1624" s="32">
        <v>94480</v>
      </c>
      <c r="E1624" s="30" t="s">
        <v>15</v>
      </c>
      <c r="F1624" s="30"/>
      <c r="G1624" s="30" t="s">
        <v>16</v>
      </c>
      <c r="H1624" s="30" t="s">
        <v>124</v>
      </c>
      <c r="I1624" s="31" t="s">
        <v>29</v>
      </c>
    </row>
    <row r="1625" spans="2:9" s="6" customFormat="1" ht="11.25" customHeight="1" x14ac:dyDescent="0.55000000000000004">
      <c r="B1625" s="30" t="s">
        <v>3311</v>
      </c>
      <c r="C1625" s="30" t="s">
        <v>3312</v>
      </c>
      <c r="D1625" s="32">
        <v>97268</v>
      </c>
      <c r="E1625" s="30" t="s">
        <v>20</v>
      </c>
      <c r="F1625" s="30" t="s">
        <v>3301</v>
      </c>
      <c r="G1625" s="30" t="s">
        <v>155</v>
      </c>
      <c r="H1625" s="30" t="s">
        <v>239</v>
      </c>
      <c r="I1625" s="31">
        <v>7786118.3080000002</v>
      </c>
    </row>
    <row r="1626" spans="2:9" s="6" customFormat="1" ht="11.25" customHeight="1" x14ac:dyDescent="0.55000000000000004">
      <c r="B1626" s="30" t="s">
        <v>3313</v>
      </c>
      <c r="C1626" s="30" t="s">
        <v>3314</v>
      </c>
      <c r="D1626" s="32">
        <v>97268</v>
      </c>
      <c r="E1626" s="30" t="s">
        <v>20</v>
      </c>
      <c r="F1626" s="30"/>
      <c r="G1626" s="30"/>
      <c r="H1626" s="30" t="s">
        <v>239</v>
      </c>
      <c r="I1626" s="31" t="s">
        <v>29</v>
      </c>
    </row>
    <row r="1627" spans="2:9" s="6" customFormat="1" ht="11.25" customHeight="1" x14ac:dyDescent="0.55000000000000004">
      <c r="B1627" s="30" t="s">
        <v>3315</v>
      </c>
      <c r="C1627" s="30" t="s">
        <v>3316</v>
      </c>
      <c r="D1627" s="32">
        <v>97268</v>
      </c>
      <c r="E1627" s="30" t="s">
        <v>20</v>
      </c>
      <c r="F1627" s="30"/>
      <c r="G1627" s="30"/>
      <c r="H1627" s="30" t="s">
        <v>239</v>
      </c>
      <c r="I1627" s="31" t="s">
        <v>29</v>
      </c>
    </row>
    <row r="1628" spans="2:9" s="6" customFormat="1" ht="11.25" customHeight="1" x14ac:dyDescent="0.55000000000000004">
      <c r="B1628" s="30" t="s">
        <v>3301</v>
      </c>
      <c r="C1628" s="30" t="s">
        <v>3317</v>
      </c>
      <c r="D1628" s="32" t="s">
        <v>29</v>
      </c>
      <c r="E1628" s="30" t="s">
        <v>20</v>
      </c>
      <c r="F1628" s="30" t="s">
        <v>3301</v>
      </c>
      <c r="G1628" s="30" t="s">
        <v>155</v>
      </c>
      <c r="H1628" s="30" t="s">
        <v>239</v>
      </c>
      <c r="I1628" s="31">
        <v>152901693.046</v>
      </c>
    </row>
    <row r="1629" spans="2:9" s="6" customFormat="1" ht="11.25" customHeight="1" x14ac:dyDescent="0.55000000000000004">
      <c r="B1629" s="30" t="s">
        <v>3318</v>
      </c>
      <c r="C1629" s="30" t="s">
        <v>3319</v>
      </c>
      <c r="D1629" s="32" t="s">
        <v>29</v>
      </c>
      <c r="E1629" s="30" t="s">
        <v>20</v>
      </c>
      <c r="F1629" s="30"/>
      <c r="G1629" s="30"/>
      <c r="H1629" s="30" t="s">
        <v>239</v>
      </c>
      <c r="I1629" s="31" t="s">
        <v>29</v>
      </c>
    </row>
    <row r="1630" spans="2:9" s="6" customFormat="1" ht="11.25" customHeight="1" x14ac:dyDescent="0.55000000000000004">
      <c r="B1630" s="30" t="s">
        <v>3320</v>
      </c>
      <c r="C1630" s="30" t="s">
        <v>3321</v>
      </c>
      <c r="D1630" s="32">
        <v>67466</v>
      </c>
      <c r="E1630" s="30" t="s">
        <v>20</v>
      </c>
      <c r="F1630" s="30" t="s">
        <v>3301</v>
      </c>
      <c r="G1630" s="30" t="s">
        <v>155</v>
      </c>
      <c r="H1630" s="30" t="s">
        <v>239</v>
      </c>
      <c r="I1630" s="31">
        <v>145661154.773</v>
      </c>
    </row>
    <row r="1631" spans="2:9" s="6" customFormat="1" ht="11.25" customHeight="1" x14ac:dyDescent="0.55000000000000004">
      <c r="B1631" s="30" t="s">
        <v>3322</v>
      </c>
      <c r="C1631" s="30" t="s">
        <v>3323</v>
      </c>
      <c r="D1631" s="32">
        <v>67466</v>
      </c>
      <c r="E1631" s="30" t="s">
        <v>20</v>
      </c>
      <c r="F1631" s="30"/>
      <c r="G1631" s="30"/>
      <c r="H1631" s="30" t="s">
        <v>239</v>
      </c>
      <c r="I1631" s="31" t="s">
        <v>29</v>
      </c>
    </row>
    <row r="1632" spans="2:9" s="6" customFormat="1" ht="11.25" customHeight="1" x14ac:dyDescent="0.55000000000000004">
      <c r="B1632" s="30" t="s">
        <v>3324</v>
      </c>
      <c r="C1632" s="30" t="s">
        <v>3325</v>
      </c>
      <c r="D1632" s="32">
        <v>67466</v>
      </c>
      <c r="E1632" s="30" t="s">
        <v>20</v>
      </c>
      <c r="F1632" s="30"/>
      <c r="G1632" s="30"/>
      <c r="H1632" s="30" t="s">
        <v>239</v>
      </c>
      <c r="I1632" s="31" t="s">
        <v>29</v>
      </c>
    </row>
    <row r="1633" spans="2:9" s="6" customFormat="1" ht="11.25" customHeight="1" x14ac:dyDescent="0.55000000000000004">
      <c r="B1633" s="30" t="s">
        <v>3326</v>
      </c>
      <c r="C1633" s="30" t="s">
        <v>3327</v>
      </c>
      <c r="D1633" s="32">
        <v>67466</v>
      </c>
      <c r="E1633" s="30" t="s">
        <v>20</v>
      </c>
      <c r="F1633" s="30"/>
      <c r="G1633" s="30"/>
      <c r="H1633" s="30" t="s">
        <v>239</v>
      </c>
      <c r="I1633" s="31" t="s">
        <v>29</v>
      </c>
    </row>
    <row r="1634" spans="2:9" s="6" customFormat="1" ht="11.25" customHeight="1" x14ac:dyDescent="0.55000000000000004">
      <c r="B1634" s="30" t="s">
        <v>3328</v>
      </c>
      <c r="C1634" s="30" t="s">
        <v>3329</v>
      </c>
      <c r="D1634" s="32">
        <v>81612</v>
      </c>
      <c r="E1634" s="30" t="s">
        <v>15</v>
      </c>
      <c r="F1634" s="30" t="s">
        <v>116</v>
      </c>
      <c r="G1634" s="30" t="s">
        <v>35</v>
      </c>
      <c r="H1634" s="30" t="s">
        <v>113</v>
      </c>
      <c r="I1634" s="31" t="s">
        <v>29</v>
      </c>
    </row>
    <row r="1635" spans="2:9" s="6" customFormat="1" ht="11.25" customHeight="1" x14ac:dyDescent="0.55000000000000004">
      <c r="B1635" s="30" t="s">
        <v>3330</v>
      </c>
      <c r="C1635" s="30" t="s">
        <v>3331</v>
      </c>
      <c r="D1635" s="32">
        <v>70785</v>
      </c>
      <c r="E1635" s="30" t="s">
        <v>20</v>
      </c>
      <c r="F1635" s="30" t="s">
        <v>149</v>
      </c>
      <c r="G1635" s="30" t="s">
        <v>39</v>
      </c>
      <c r="H1635" s="30" t="s">
        <v>156</v>
      </c>
      <c r="I1635" s="31">
        <v>191009.467</v>
      </c>
    </row>
    <row r="1636" spans="2:9" s="6" customFormat="1" ht="11.25" customHeight="1" x14ac:dyDescent="0.55000000000000004">
      <c r="B1636" s="30" t="s">
        <v>3332</v>
      </c>
      <c r="C1636" s="30" t="s">
        <v>3333</v>
      </c>
      <c r="D1636" s="32">
        <v>76597</v>
      </c>
      <c r="E1636" s="30" t="s">
        <v>15</v>
      </c>
      <c r="F1636" s="30"/>
      <c r="G1636" s="30"/>
      <c r="H1636" s="30" t="s">
        <v>239</v>
      </c>
      <c r="I1636" s="31" t="s">
        <v>29</v>
      </c>
    </row>
    <row r="1637" spans="2:9" s="6" customFormat="1" ht="11.25" customHeight="1" x14ac:dyDescent="0.55000000000000004">
      <c r="B1637" s="30" t="s">
        <v>2200</v>
      </c>
      <c r="C1637" s="30" t="s">
        <v>3334</v>
      </c>
      <c r="D1637" s="32" t="s">
        <v>29</v>
      </c>
      <c r="E1637" s="30" t="s">
        <v>20</v>
      </c>
      <c r="F1637" s="30" t="s">
        <v>2200</v>
      </c>
      <c r="G1637" s="30" t="s">
        <v>194</v>
      </c>
      <c r="H1637" s="30" t="s">
        <v>66</v>
      </c>
      <c r="I1637" s="31">
        <v>3405943.642</v>
      </c>
    </row>
    <row r="1638" spans="2:9" s="6" customFormat="1" ht="11.25" customHeight="1" x14ac:dyDescent="0.55000000000000004">
      <c r="B1638" s="30" t="s">
        <v>3335</v>
      </c>
      <c r="C1638" s="30" t="s">
        <v>3336</v>
      </c>
      <c r="D1638" s="32" t="s">
        <v>29</v>
      </c>
      <c r="E1638" s="30" t="s">
        <v>20</v>
      </c>
      <c r="F1638" s="30"/>
      <c r="G1638" s="30"/>
      <c r="H1638" s="30" t="s">
        <v>66</v>
      </c>
      <c r="I1638" s="31" t="s">
        <v>29</v>
      </c>
    </row>
    <row r="1639" spans="2:9" s="6" customFormat="1" ht="11.25" customHeight="1" x14ac:dyDescent="0.55000000000000004">
      <c r="B1639" s="30" t="s">
        <v>3337</v>
      </c>
      <c r="C1639" s="30" t="s">
        <v>3338</v>
      </c>
      <c r="D1639" s="32">
        <v>13602</v>
      </c>
      <c r="E1639" s="30" t="s">
        <v>20</v>
      </c>
      <c r="F1639" s="30" t="s">
        <v>2200</v>
      </c>
      <c r="G1639" s="30" t="s">
        <v>16</v>
      </c>
      <c r="H1639" s="30" t="s">
        <v>66</v>
      </c>
      <c r="I1639" s="31">
        <v>5542.2370000000001</v>
      </c>
    </row>
    <row r="1640" spans="2:9" s="6" customFormat="1" ht="11.25" customHeight="1" x14ac:dyDescent="0.55000000000000004">
      <c r="B1640" s="30" t="s">
        <v>3339</v>
      </c>
      <c r="C1640" s="30" t="s">
        <v>3340</v>
      </c>
      <c r="D1640" s="32">
        <v>93459</v>
      </c>
      <c r="E1640" s="30" t="s">
        <v>20</v>
      </c>
      <c r="F1640" s="30" t="s">
        <v>2200</v>
      </c>
      <c r="G1640" s="30" t="s">
        <v>35</v>
      </c>
      <c r="H1640" s="30" t="s">
        <v>66</v>
      </c>
      <c r="I1640" s="31">
        <v>22421.574000000001</v>
      </c>
    </row>
    <row r="1641" spans="2:9" s="6" customFormat="1" ht="11.25" customHeight="1" x14ac:dyDescent="0.55000000000000004">
      <c r="B1641" s="30" t="s">
        <v>3341</v>
      </c>
      <c r="C1641" s="30" t="s">
        <v>3342</v>
      </c>
      <c r="D1641" s="32">
        <v>93459</v>
      </c>
      <c r="E1641" s="30" t="s">
        <v>20</v>
      </c>
      <c r="F1641" s="30"/>
      <c r="G1641" s="30"/>
      <c r="H1641" s="30" t="s">
        <v>66</v>
      </c>
      <c r="I1641" s="31" t="s">
        <v>29</v>
      </c>
    </row>
    <row r="1642" spans="2:9" s="6" customFormat="1" ht="11.25" customHeight="1" x14ac:dyDescent="0.55000000000000004">
      <c r="B1642" s="30" t="s">
        <v>3343</v>
      </c>
      <c r="C1642" s="30" t="s">
        <v>3344</v>
      </c>
      <c r="D1642" s="32">
        <v>12952</v>
      </c>
      <c r="E1642" s="30" t="s">
        <v>20</v>
      </c>
      <c r="F1642" s="30" t="s">
        <v>2200</v>
      </c>
      <c r="G1642" s="30" t="s">
        <v>21</v>
      </c>
      <c r="H1642" s="30" t="s">
        <v>130</v>
      </c>
      <c r="I1642" s="31">
        <v>10456.603000000001</v>
      </c>
    </row>
    <row r="1643" spans="2:9" s="6" customFormat="1" ht="11.25" customHeight="1" x14ac:dyDescent="0.55000000000000004">
      <c r="B1643" s="30" t="s">
        <v>3345</v>
      </c>
      <c r="C1643" s="30" t="s">
        <v>3346</v>
      </c>
      <c r="D1643" s="32">
        <v>67539</v>
      </c>
      <c r="E1643" s="30" t="s">
        <v>20</v>
      </c>
      <c r="F1643" s="30" t="s">
        <v>2200</v>
      </c>
      <c r="G1643" s="30" t="s">
        <v>194</v>
      </c>
      <c r="H1643" s="30" t="s">
        <v>66</v>
      </c>
      <c r="I1643" s="31">
        <v>1276266.389</v>
      </c>
    </row>
    <row r="1644" spans="2:9" s="6" customFormat="1" ht="11.25" customHeight="1" x14ac:dyDescent="0.55000000000000004">
      <c r="B1644" s="30" t="s">
        <v>3347</v>
      </c>
      <c r="C1644" s="30" t="s">
        <v>3348</v>
      </c>
      <c r="D1644" s="32">
        <v>67539</v>
      </c>
      <c r="E1644" s="30" t="s">
        <v>20</v>
      </c>
      <c r="F1644" s="30"/>
      <c r="G1644" s="30"/>
      <c r="H1644" s="30" t="s">
        <v>66</v>
      </c>
      <c r="I1644" s="31" t="s">
        <v>29</v>
      </c>
    </row>
    <row r="1645" spans="2:9" s="6" customFormat="1" ht="11.25" customHeight="1" x14ac:dyDescent="0.55000000000000004">
      <c r="B1645" s="30" t="s">
        <v>3349</v>
      </c>
      <c r="C1645" s="30" t="s">
        <v>3350</v>
      </c>
      <c r="D1645" s="32">
        <v>67539</v>
      </c>
      <c r="E1645" s="30" t="s">
        <v>20</v>
      </c>
      <c r="F1645" s="30"/>
      <c r="G1645" s="30"/>
      <c r="H1645" s="30" t="s">
        <v>66</v>
      </c>
      <c r="I1645" s="31" t="s">
        <v>29</v>
      </c>
    </row>
    <row r="1646" spans="2:9" s="6" customFormat="1" ht="11.25" customHeight="1" x14ac:dyDescent="0.55000000000000004">
      <c r="B1646" s="30" t="s">
        <v>3351</v>
      </c>
      <c r="C1646" s="30" t="s">
        <v>3352</v>
      </c>
      <c r="D1646" s="32">
        <v>14029</v>
      </c>
      <c r="E1646" s="30" t="s">
        <v>15</v>
      </c>
      <c r="F1646" s="30" t="s">
        <v>1062</v>
      </c>
      <c r="G1646" s="30" t="s">
        <v>155</v>
      </c>
      <c r="H1646" s="30" t="s">
        <v>150</v>
      </c>
      <c r="I1646" s="31" t="s">
        <v>29</v>
      </c>
    </row>
    <row r="1647" spans="2:9" s="6" customFormat="1" ht="11.25" customHeight="1" x14ac:dyDescent="0.55000000000000004">
      <c r="B1647" s="30" t="s">
        <v>3353</v>
      </c>
      <c r="C1647" s="30" t="s">
        <v>3354</v>
      </c>
      <c r="D1647" s="32">
        <v>93564</v>
      </c>
      <c r="E1647" s="30" t="s">
        <v>15</v>
      </c>
      <c r="F1647" s="30"/>
      <c r="G1647" s="30"/>
      <c r="H1647" s="30" t="s">
        <v>500</v>
      </c>
      <c r="I1647" s="31" t="s">
        <v>29</v>
      </c>
    </row>
    <row r="1648" spans="2:9" s="6" customFormat="1" ht="11.25" customHeight="1" x14ac:dyDescent="0.55000000000000004">
      <c r="B1648" s="30" t="s">
        <v>3355</v>
      </c>
      <c r="C1648" s="30" t="s">
        <v>3356</v>
      </c>
      <c r="D1648" s="32">
        <v>93564</v>
      </c>
      <c r="E1648" s="30" t="s">
        <v>15</v>
      </c>
      <c r="F1648" s="30"/>
      <c r="G1648" s="30"/>
      <c r="H1648" s="30" t="s">
        <v>500</v>
      </c>
      <c r="I1648" s="31" t="s">
        <v>29</v>
      </c>
    </row>
    <row r="1649" spans="2:9" s="6" customFormat="1" ht="11.25" customHeight="1" x14ac:dyDescent="0.55000000000000004">
      <c r="B1649" s="30" t="s">
        <v>3357</v>
      </c>
      <c r="C1649" s="30" t="s">
        <v>3358</v>
      </c>
      <c r="D1649" s="32">
        <v>60003</v>
      </c>
      <c r="E1649" s="30" t="s">
        <v>20</v>
      </c>
      <c r="F1649" s="30" t="s">
        <v>792</v>
      </c>
      <c r="G1649" s="30" t="s">
        <v>35</v>
      </c>
      <c r="H1649" s="30" t="s">
        <v>124</v>
      </c>
      <c r="I1649" s="31">
        <v>220589.79500000001</v>
      </c>
    </row>
    <row r="1650" spans="2:9" s="6" customFormat="1" ht="11.25" customHeight="1" x14ac:dyDescent="0.55000000000000004">
      <c r="B1650" s="30" t="s">
        <v>3359</v>
      </c>
      <c r="C1650" s="30" t="s">
        <v>3360</v>
      </c>
      <c r="D1650" s="32">
        <v>89524</v>
      </c>
      <c r="E1650" s="30" t="s">
        <v>15</v>
      </c>
      <c r="F1650" s="30"/>
      <c r="G1650" s="30"/>
      <c r="H1650" s="30" t="s">
        <v>22</v>
      </c>
      <c r="I1650" s="31" t="s">
        <v>29</v>
      </c>
    </row>
    <row r="1651" spans="2:9" s="6" customFormat="1" ht="11.25" customHeight="1" x14ac:dyDescent="0.55000000000000004">
      <c r="B1651" s="30" t="s">
        <v>3361</v>
      </c>
      <c r="C1651" s="30" t="s">
        <v>3362</v>
      </c>
      <c r="D1651" s="32">
        <v>60115</v>
      </c>
      <c r="E1651" s="30" t="s">
        <v>15</v>
      </c>
      <c r="F1651" s="30"/>
      <c r="G1651" s="30"/>
      <c r="H1651" s="30" t="s">
        <v>22</v>
      </c>
      <c r="I1651" s="31" t="s">
        <v>29</v>
      </c>
    </row>
    <row r="1652" spans="2:9" s="6" customFormat="1" ht="11.25" customHeight="1" x14ac:dyDescent="0.55000000000000004">
      <c r="B1652" s="30" t="s">
        <v>3363</v>
      </c>
      <c r="C1652" s="30" t="s">
        <v>3364</v>
      </c>
      <c r="D1652" s="32">
        <v>71099</v>
      </c>
      <c r="E1652" s="30" t="s">
        <v>20</v>
      </c>
      <c r="F1652" s="30" t="s">
        <v>3365</v>
      </c>
      <c r="G1652" s="30" t="s">
        <v>155</v>
      </c>
      <c r="H1652" s="30" t="s">
        <v>146</v>
      </c>
      <c r="I1652" s="31">
        <v>96190.074999999997</v>
      </c>
    </row>
    <row r="1653" spans="2:9" s="6" customFormat="1" ht="11.25" customHeight="1" x14ac:dyDescent="0.55000000000000004">
      <c r="B1653" s="30" t="s">
        <v>3366</v>
      </c>
      <c r="C1653" s="30" t="s">
        <v>3367</v>
      </c>
      <c r="D1653" s="32">
        <v>74900</v>
      </c>
      <c r="E1653" s="30" t="s">
        <v>20</v>
      </c>
      <c r="F1653" s="30"/>
      <c r="G1653" s="30" t="s">
        <v>35</v>
      </c>
      <c r="H1653" s="30" t="s">
        <v>96</v>
      </c>
      <c r="I1653" s="31">
        <v>89345.841</v>
      </c>
    </row>
    <row r="1654" spans="2:9" s="6" customFormat="1" ht="11.25" customHeight="1" x14ac:dyDescent="0.55000000000000004">
      <c r="B1654" s="30" t="s">
        <v>3368</v>
      </c>
      <c r="C1654" s="30" t="s">
        <v>3369</v>
      </c>
      <c r="D1654" s="32">
        <v>90760</v>
      </c>
      <c r="E1654" s="30" t="s">
        <v>15</v>
      </c>
      <c r="F1654" s="30"/>
      <c r="G1654" s="30"/>
      <c r="H1654" s="30" t="s">
        <v>179</v>
      </c>
      <c r="I1654" s="31" t="s">
        <v>29</v>
      </c>
    </row>
    <row r="1655" spans="2:9" s="6" customFormat="1" ht="11.25" customHeight="1" x14ac:dyDescent="0.55000000000000004">
      <c r="B1655" s="30" t="s">
        <v>3370</v>
      </c>
      <c r="C1655" s="30" t="s">
        <v>3371</v>
      </c>
      <c r="D1655" s="32">
        <v>71170</v>
      </c>
      <c r="E1655" s="30" t="s">
        <v>15</v>
      </c>
      <c r="F1655" s="30"/>
      <c r="G1655" s="30"/>
      <c r="H1655" s="30" t="s">
        <v>113</v>
      </c>
      <c r="I1655" s="31" t="s">
        <v>29</v>
      </c>
    </row>
    <row r="1656" spans="2:9" s="6" customFormat="1" ht="11.25" customHeight="1" x14ac:dyDescent="0.55000000000000004">
      <c r="B1656" s="30" t="s">
        <v>3372</v>
      </c>
      <c r="C1656" s="30" t="s">
        <v>3373</v>
      </c>
      <c r="D1656" s="32">
        <v>94528</v>
      </c>
      <c r="E1656" s="30" t="s">
        <v>15</v>
      </c>
      <c r="F1656" s="30"/>
      <c r="G1656" s="30"/>
      <c r="H1656" s="30" t="s">
        <v>40</v>
      </c>
      <c r="I1656" s="31" t="s">
        <v>29</v>
      </c>
    </row>
    <row r="1657" spans="2:9" s="6" customFormat="1" ht="11.25" customHeight="1" x14ac:dyDescent="0.55000000000000004">
      <c r="B1657" s="30" t="s">
        <v>3374</v>
      </c>
      <c r="C1657" s="30" t="s">
        <v>3375</v>
      </c>
      <c r="D1657" s="32">
        <v>60099</v>
      </c>
      <c r="E1657" s="30" t="s">
        <v>20</v>
      </c>
      <c r="F1657" s="30"/>
      <c r="G1657" s="30" t="s">
        <v>35</v>
      </c>
      <c r="H1657" s="30" t="s">
        <v>30</v>
      </c>
      <c r="I1657" s="31">
        <v>21540.66</v>
      </c>
    </row>
    <row r="1658" spans="2:9" s="6" customFormat="1" ht="11.25" customHeight="1" x14ac:dyDescent="0.55000000000000004">
      <c r="B1658" s="30" t="s">
        <v>3376</v>
      </c>
      <c r="C1658" s="30" t="s">
        <v>3377</v>
      </c>
      <c r="D1658" s="32">
        <v>67598</v>
      </c>
      <c r="E1658" s="30" t="s">
        <v>20</v>
      </c>
      <c r="F1658" s="30" t="s">
        <v>1099</v>
      </c>
      <c r="G1658" s="30" t="s">
        <v>39</v>
      </c>
      <c r="H1658" s="30" t="s">
        <v>92</v>
      </c>
      <c r="I1658" s="31">
        <v>3213512.4670000002</v>
      </c>
    </row>
    <row r="1659" spans="2:9" s="6" customFormat="1" ht="11.25" customHeight="1" x14ac:dyDescent="0.55000000000000004">
      <c r="B1659" s="30" t="s">
        <v>3378</v>
      </c>
      <c r="C1659" s="30" t="s">
        <v>3379</v>
      </c>
      <c r="D1659" s="32">
        <v>81051</v>
      </c>
      <c r="E1659" s="30" t="s">
        <v>15</v>
      </c>
      <c r="F1659" s="30" t="s">
        <v>1099</v>
      </c>
      <c r="G1659" s="30"/>
      <c r="H1659" s="30" t="s">
        <v>92</v>
      </c>
      <c r="I1659" s="31" t="s">
        <v>29</v>
      </c>
    </row>
    <row r="1660" spans="2:9" s="6" customFormat="1" ht="11.25" customHeight="1" x14ac:dyDescent="0.55000000000000004">
      <c r="B1660" s="30" t="s">
        <v>3380</v>
      </c>
      <c r="C1660" s="30" t="s">
        <v>3381</v>
      </c>
      <c r="D1660" s="32">
        <v>74098</v>
      </c>
      <c r="E1660" s="30" t="s">
        <v>15</v>
      </c>
      <c r="F1660" s="30"/>
      <c r="G1660" s="30"/>
      <c r="H1660" s="30" t="s">
        <v>239</v>
      </c>
      <c r="I1660" s="31" t="s">
        <v>29</v>
      </c>
    </row>
    <row r="1661" spans="2:9" s="6" customFormat="1" ht="11.25" customHeight="1" x14ac:dyDescent="0.55000000000000004">
      <c r="B1661" s="30" t="s">
        <v>3382</v>
      </c>
      <c r="C1661" s="30" t="s">
        <v>3383</v>
      </c>
      <c r="D1661" s="32">
        <v>93777</v>
      </c>
      <c r="E1661" s="30" t="s">
        <v>20</v>
      </c>
      <c r="F1661" s="30"/>
      <c r="G1661" s="30" t="s">
        <v>35</v>
      </c>
      <c r="H1661" s="30" t="s">
        <v>385</v>
      </c>
      <c r="I1661" s="31">
        <v>1061291.93</v>
      </c>
    </row>
    <row r="1662" spans="2:9" s="6" customFormat="1" ht="11.25" customHeight="1" x14ac:dyDescent="0.55000000000000004">
      <c r="B1662" s="30" t="s">
        <v>3384</v>
      </c>
      <c r="C1662" s="30" t="s">
        <v>3385</v>
      </c>
      <c r="D1662" s="32">
        <v>64360</v>
      </c>
      <c r="E1662" s="30" t="s">
        <v>15</v>
      </c>
      <c r="F1662" s="30"/>
      <c r="G1662" s="30" t="s">
        <v>16</v>
      </c>
      <c r="H1662" s="30" t="s">
        <v>385</v>
      </c>
      <c r="I1662" s="31" t="s">
        <v>29</v>
      </c>
    </row>
    <row r="1663" spans="2:9" s="6" customFormat="1" ht="11.25" customHeight="1" x14ac:dyDescent="0.55000000000000004">
      <c r="B1663" s="30" t="s">
        <v>3386</v>
      </c>
      <c r="C1663" s="30" t="s">
        <v>3387</v>
      </c>
      <c r="D1663" s="32">
        <v>89007</v>
      </c>
      <c r="E1663" s="30" t="s">
        <v>15</v>
      </c>
      <c r="F1663" s="30"/>
      <c r="G1663" s="30" t="s">
        <v>25</v>
      </c>
      <c r="H1663" s="30" t="s">
        <v>385</v>
      </c>
      <c r="I1663" s="31" t="s">
        <v>29</v>
      </c>
    </row>
    <row r="1664" spans="2:9" s="6" customFormat="1" ht="11.25" customHeight="1" x14ac:dyDescent="0.55000000000000004">
      <c r="B1664" s="30" t="s">
        <v>3388</v>
      </c>
      <c r="C1664" s="30" t="s">
        <v>3389</v>
      </c>
      <c r="D1664" s="32">
        <v>79340</v>
      </c>
      <c r="E1664" s="30" t="s">
        <v>20</v>
      </c>
      <c r="F1664" s="30"/>
      <c r="G1664" s="30" t="s">
        <v>35</v>
      </c>
      <c r="H1664" s="30" t="s">
        <v>385</v>
      </c>
      <c r="I1664" s="31">
        <v>30393.939000000002</v>
      </c>
    </row>
    <row r="1665" spans="2:9" s="6" customFormat="1" ht="11.25" customHeight="1" x14ac:dyDescent="0.55000000000000004">
      <c r="B1665" s="30" t="s">
        <v>3390</v>
      </c>
      <c r="C1665" s="30" t="s">
        <v>3391</v>
      </c>
      <c r="D1665" s="32">
        <v>60005</v>
      </c>
      <c r="E1665" s="30" t="s">
        <v>15</v>
      </c>
      <c r="F1665" s="30" t="s">
        <v>2114</v>
      </c>
      <c r="G1665" s="30"/>
      <c r="H1665" s="30" t="s">
        <v>278</v>
      </c>
      <c r="I1665" s="31" t="s">
        <v>29</v>
      </c>
    </row>
    <row r="1666" spans="2:9" s="6" customFormat="1" ht="11.25" customHeight="1" x14ac:dyDescent="0.55000000000000004">
      <c r="B1666" s="30" t="s">
        <v>3392</v>
      </c>
      <c r="C1666" s="30" t="s">
        <v>3393</v>
      </c>
      <c r="D1666" s="32">
        <v>60308</v>
      </c>
      <c r="E1666" s="30" t="s">
        <v>15</v>
      </c>
      <c r="F1666" s="30" t="s">
        <v>2114</v>
      </c>
      <c r="G1666" s="30"/>
      <c r="H1666" s="30" t="s">
        <v>262</v>
      </c>
      <c r="I1666" s="31" t="s">
        <v>29</v>
      </c>
    </row>
    <row r="1667" spans="2:9" s="6" customFormat="1" ht="11.25" customHeight="1" x14ac:dyDescent="0.55000000000000004">
      <c r="B1667" s="30" t="s">
        <v>3394</v>
      </c>
      <c r="C1667" s="30" t="s">
        <v>3395</v>
      </c>
      <c r="D1667" s="32">
        <v>91901</v>
      </c>
      <c r="E1667" s="30" t="s">
        <v>15</v>
      </c>
      <c r="F1667" s="30"/>
      <c r="G1667" s="30"/>
      <c r="H1667" s="30" t="s">
        <v>22</v>
      </c>
      <c r="I1667" s="31" t="s">
        <v>29</v>
      </c>
    </row>
    <row r="1668" spans="2:9" s="6" customFormat="1" ht="11.25" customHeight="1" x14ac:dyDescent="0.55000000000000004">
      <c r="B1668" s="30" t="s">
        <v>3396</v>
      </c>
      <c r="C1668" s="30" t="s">
        <v>3397</v>
      </c>
      <c r="D1668" s="32">
        <v>67628</v>
      </c>
      <c r="E1668" s="30" t="s">
        <v>20</v>
      </c>
      <c r="F1668" s="30"/>
      <c r="G1668" s="30" t="s">
        <v>25</v>
      </c>
      <c r="H1668" s="30" t="s">
        <v>22</v>
      </c>
      <c r="I1668" s="31">
        <v>1548389.3160000001</v>
      </c>
    </row>
    <row r="1669" spans="2:9" s="6" customFormat="1" ht="11.25" customHeight="1" x14ac:dyDescent="0.55000000000000004">
      <c r="B1669" s="30" t="s">
        <v>3398</v>
      </c>
      <c r="C1669" s="30" t="s">
        <v>3399</v>
      </c>
      <c r="D1669" s="32">
        <v>76317</v>
      </c>
      <c r="E1669" s="30" t="s">
        <v>20</v>
      </c>
      <c r="F1669" s="30"/>
      <c r="G1669" s="30" t="s">
        <v>35</v>
      </c>
      <c r="H1669" s="30" t="s">
        <v>66</v>
      </c>
      <c r="I1669" s="31">
        <v>11851.767</v>
      </c>
    </row>
    <row r="1670" spans="2:9" s="6" customFormat="1" ht="11.25" customHeight="1" x14ac:dyDescent="0.55000000000000004">
      <c r="B1670" s="30" t="s">
        <v>3400</v>
      </c>
      <c r="C1670" s="30" t="s">
        <v>3401</v>
      </c>
      <c r="D1670" s="32">
        <v>71803</v>
      </c>
      <c r="E1670" s="30" t="s">
        <v>15</v>
      </c>
      <c r="F1670" s="30"/>
      <c r="G1670" s="30" t="s">
        <v>35</v>
      </c>
      <c r="H1670" s="30" t="s">
        <v>105</v>
      </c>
      <c r="I1670" s="31" t="s">
        <v>29</v>
      </c>
    </row>
    <row r="1671" spans="2:9" s="6" customFormat="1" ht="11.25" customHeight="1" x14ac:dyDescent="0.55000000000000004">
      <c r="B1671" s="30" t="s">
        <v>3402</v>
      </c>
      <c r="C1671" s="30" t="s">
        <v>3403</v>
      </c>
      <c r="D1671" s="32">
        <v>93262</v>
      </c>
      <c r="E1671" s="30" t="s">
        <v>20</v>
      </c>
      <c r="F1671" s="30" t="s">
        <v>3404</v>
      </c>
      <c r="G1671" s="30" t="s">
        <v>35</v>
      </c>
      <c r="H1671" s="30" t="s">
        <v>75</v>
      </c>
      <c r="I1671" s="31">
        <v>7173481.5070000002</v>
      </c>
    </row>
    <row r="1672" spans="2:9" s="6" customFormat="1" ht="11.25" customHeight="1" x14ac:dyDescent="0.55000000000000004">
      <c r="B1672" s="30" t="s">
        <v>3405</v>
      </c>
      <c r="C1672" s="30" t="s">
        <v>3406</v>
      </c>
      <c r="D1672" s="32">
        <v>93262</v>
      </c>
      <c r="E1672" s="30" t="s">
        <v>20</v>
      </c>
      <c r="F1672" s="30"/>
      <c r="G1672" s="30"/>
      <c r="H1672" s="30" t="s">
        <v>75</v>
      </c>
      <c r="I1672" s="31" t="s">
        <v>29</v>
      </c>
    </row>
    <row r="1673" spans="2:9" s="6" customFormat="1" ht="11.25" customHeight="1" x14ac:dyDescent="0.55000000000000004">
      <c r="B1673" s="30" t="s">
        <v>3407</v>
      </c>
      <c r="C1673" s="30" t="s">
        <v>3408</v>
      </c>
      <c r="D1673" s="32">
        <v>93262</v>
      </c>
      <c r="E1673" s="30" t="s">
        <v>20</v>
      </c>
      <c r="F1673" s="30"/>
      <c r="G1673" s="30"/>
      <c r="H1673" s="30" t="s">
        <v>75</v>
      </c>
      <c r="I1673" s="31" t="s">
        <v>29</v>
      </c>
    </row>
    <row r="1674" spans="2:9" s="6" customFormat="1" ht="11.25" customHeight="1" x14ac:dyDescent="0.55000000000000004">
      <c r="B1674" s="30" t="s">
        <v>3404</v>
      </c>
      <c r="C1674" s="30" t="s">
        <v>3409</v>
      </c>
      <c r="D1674" s="32" t="s">
        <v>29</v>
      </c>
      <c r="E1674" s="30" t="s">
        <v>20</v>
      </c>
      <c r="F1674" s="30" t="s">
        <v>3404</v>
      </c>
      <c r="G1674" s="30" t="s">
        <v>35</v>
      </c>
      <c r="H1674" s="30" t="s">
        <v>75</v>
      </c>
      <c r="I1674" s="31">
        <v>30504389.881000001</v>
      </c>
    </row>
    <row r="1675" spans="2:9" s="6" customFormat="1" ht="11.25" customHeight="1" x14ac:dyDescent="0.55000000000000004">
      <c r="B1675" s="30" t="s">
        <v>3410</v>
      </c>
      <c r="C1675" s="30" t="s">
        <v>3411</v>
      </c>
      <c r="D1675" s="32" t="s">
        <v>29</v>
      </c>
      <c r="E1675" s="30" t="s">
        <v>20</v>
      </c>
      <c r="F1675" s="30"/>
      <c r="G1675" s="30" t="s">
        <v>265</v>
      </c>
      <c r="H1675" s="30" t="s">
        <v>75</v>
      </c>
      <c r="I1675" s="31" t="s">
        <v>29</v>
      </c>
    </row>
    <row r="1676" spans="2:9" s="6" customFormat="1" ht="11.25" customHeight="1" x14ac:dyDescent="0.55000000000000004">
      <c r="B1676" s="30" t="s">
        <v>3412</v>
      </c>
      <c r="C1676" s="30" t="s">
        <v>3413</v>
      </c>
      <c r="D1676" s="32">
        <v>67644</v>
      </c>
      <c r="E1676" s="30" t="s">
        <v>20</v>
      </c>
      <c r="F1676" s="30" t="s">
        <v>3404</v>
      </c>
      <c r="G1676" s="30" t="s">
        <v>265</v>
      </c>
      <c r="H1676" s="30" t="s">
        <v>75</v>
      </c>
      <c r="I1676" s="31">
        <v>23326945.774</v>
      </c>
    </row>
    <row r="1677" spans="2:9" s="6" customFormat="1" ht="11.25" customHeight="1" x14ac:dyDescent="0.55000000000000004">
      <c r="B1677" s="30" t="s">
        <v>3414</v>
      </c>
      <c r="C1677" s="30" t="s">
        <v>3415</v>
      </c>
      <c r="D1677" s="32">
        <v>67644</v>
      </c>
      <c r="E1677" s="30" t="s">
        <v>20</v>
      </c>
      <c r="F1677" s="30"/>
      <c r="G1677" s="30"/>
      <c r="H1677" s="30" t="s">
        <v>75</v>
      </c>
      <c r="I1677" s="31" t="s">
        <v>29</v>
      </c>
    </row>
    <row r="1678" spans="2:9" s="6" customFormat="1" ht="11.25" customHeight="1" x14ac:dyDescent="0.55000000000000004">
      <c r="B1678" s="30" t="s">
        <v>3416</v>
      </c>
      <c r="C1678" s="30" t="s">
        <v>3417</v>
      </c>
      <c r="D1678" s="32">
        <v>67644</v>
      </c>
      <c r="E1678" s="30" t="s">
        <v>20</v>
      </c>
      <c r="F1678" s="30"/>
      <c r="G1678" s="30"/>
      <c r="H1678" s="30" t="s">
        <v>75</v>
      </c>
      <c r="I1678" s="31" t="s">
        <v>29</v>
      </c>
    </row>
    <row r="1679" spans="2:9" s="6" customFormat="1" ht="11.25" customHeight="1" x14ac:dyDescent="0.55000000000000004">
      <c r="B1679" s="30" t="s">
        <v>3418</v>
      </c>
      <c r="C1679" s="30" t="s">
        <v>3419</v>
      </c>
      <c r="D1679" s="32">
        <v>94935</v>
      </c>
      <c r="E1679" s="30" t="s">
        <v>15</v>
      </c>
      <c r="F1679" s="30"/>
      <c r="G1679" s="30"/>
      <c r="H1679" s="30" t="s">
        <v>105</v>
      </c>
      <c r="I1679" s="31" t="s">
        <v>29</v>
      </c>
    </row>
    <row r="1680" spans="2:9" s="6" customFormat="1" ht="11.25" customHeight="1" x14ac:dyDescent="0.55000000000000004">
      <c r="B1680" s="30" t="s">
        <v>3420</v>
      </c>
      <c r="C1680" s="30" t="s">
        <v>3421</v>
      </c>
      <c r="D1680" s="32">
        <v>63282</v>
      </c>
      <c r="E1680" s="30" t="s">
        <v>15</v>
      </c>
      <c r="F1680" s="30"/>
      <c r="G1680" s="30" t="s">
        <v>39</v>
      </c>
      <c r="H1680" s="30" t="s">
        <v>75</v>
      </c>
      <c r="I1680" s="31" t="s">
        <v>29</v>
      </c>
    </row>
    <row r="1681" spans="2:9" s="6" customFormat="1" ht="11.25" customHeight="1" x14ac:dyDescent="0.55000000000000004">
      <c r="B1681" s="30" t="s">
        <v>3422</v>
      </c>
      <c r="C1681" s="30" t="s">
        <v>3423</v>
      </c>
      <c r="D1681" s="32">
        <v>92061</v>
      </c>
      <c r="E1681" s="30" t="s">
        <v>15</v>
      </c>
      <c r="F1681" s="30"/>
      <c r="G1681" s="30"/>
      <c r="H1681" s="30" t="s">
        <v>105</v>
      </c>
      <c r="I1681" s="31" t="s">
        <v>29</v>
      </c>
    </row>
    <row r="1682" spans="2:9" s="6" customFormat="1" ht="11.25" customHeight="1" x14ac:dyDescent="0.55000000000000004">
      <c r="B1682" s="30" t="s">
        <v>3424</v>
      </c>
      <c r="C1682" s="30" t="s">
        <v>3425</v>
      </c>
      <c r="D1682" s="32">
        <v>67687</v>
      </c>
      <c r="E1682" s="30" t="s">
        <v>15</v>
      </c>
      <c r="F1682" s="30" t="s">
        <v>62</v>
      </c>
      <c r="G1682" s="30"/>
      <c r="H1682" s="30" t="s">
        <v>75</v>
      </c>
      <c r="I1682" s="31" t="s">
        <v>29</v>
      </c>
    </row>
    <row r="1683" spans="2:9" s="6" customFormat="1" ht="11.25" customHeight="1" x14ac:dyDescent="0.55000000000000004">
      <c r="B1683" s="30" t="s">
        <v>3426</v>
      </c>
      <c r="C1683" s="30" t="s">
        <v>3427</v>
      </c>
      <c r="D1683" s="32">
        <v>66605</v>
      </c>
      <c r="E1683" s="30" t="s">
        <v>15</v>
      </c>
      <c r="F1683" s="30"/>
      <c r="G1683" s="30" t="s">
        <v>155</v>
      </c>
      <c r="H1683" s="30" t="s">
        <v>63</v>
      </c>
      <c r="I1683" s="31" t="s">
        <v>29</v>
      </c>
    </row>
    <row r="1684" spans="2:9" s="6" customFormat="1" ht="11.25" customHeight="1" x14ac:dyDescent="0.55000000000000004">
      <c r="B1684" s="30" t="s">
        <v>3428</v>
      </c>
      <c r="C1684" s="30" t="s">
        <v>3429</v>
      </c>
      <c r="D1684" s="32">
        <v>66605</v>
      </c>
      <c r="E1684" s="30" t="s">
        <v>15</v>
      </c>
      <c r="F1684" s="30"/>
      <c r="G1684" s="30"/>
      <c r="H1684" s="30" t="s">
        <v>63</v>
      </c>
      <c r="I1684" s="31" t="s">
        <v>29</v>
      </c>
    </row>
    <row r="1685" spans="2:9" s="6" customFormat="1" ht="11.25" customHeight="1" x14ac:dyDescent="0.55000000000000004">
      <c r="B1685" s="30" t="s">
        <v>3430</v>
      </c>
      <c r="C1685" s="30" t="s">
        <v>3431</v>
      </c>
      <c r="D1685" s="32">
        <v>74497</v>
      </c>
      <c r="E1685" s="30" t="s">
        <v>15</v>
      </c>
      <c r="F1685" s="30"/>
      <c r="G1685" s="30"/>
      <c r="H1685" s="30" t="s">
        <v>22</v>
      </c>
      <c r="I1685" s="31" t="s">
        <v>29</v>
      </c>
    </row>
    <row r="1686" spans="2:9" s="6" customFormat="1" ht="11.25" customHeight="1" x14ac:dyDescent="0.55000000000000004">
      <c r="B1686" s="30" t="s">
        <v>3432</v>
      </c>
      <c r="C1686" s="30" t="s">
        <v>3433</v>
      </c>
      <c r="D1686" s="32">
        <v>84255</v>
      </c>
      <c r="E1686" s="30" t="s">
        <v>15</v>
      </c>
      <c r="F1686" s="30"/>
      <c r="G1686" s="30" t="s">
        <v>25</v>
      </c>
      <c r="H1686" s="30" t="s">
        <v>48</v>
      </c>
      <c r="I1686" s="31" t="s">
        <v>29</v>
      </c>
    </row>
    <row r="1687" spans="2:9" s="6" customFormat="1" ht="11.25" customHeight="1" x14ac:dyDescent="0.55000000000000004">
      <c r="B1687" s="30" t="s">
        <v>3434</v>
      </c>
      <c r="C1687" s="30" t="s">
        <v>3435</v>
      </c>
      <c r="D1687" s="32">
        <v>64475</v>
      </c>
      <c r="E1687" s="30" t="s">
        <v>15</v>
      </c>
      <c r="F1687" s="30" t="s">
        <v>62</v>
      </c>
      <c r="G1687" s="30"/>
      <c r="H1687" s="30" t="s">
        <v>686</v>
      </c>
      <c r="I1687" s="31" t="s">
        <v>29</v>
      </c>
    </row>
    <row r="1688" spans="2:9" s="6" customFormat="1" ht="11.25" customHeight="1" x14ac:dyDescent="0.55000000000000004">
      <c r="B1688" s="30" t="s">
        <v>3436</v>
      </c>
      <c r="C1688" s="30" t="s">
        <v>3437</v>
      </c>
      <c r="D1688" s="32">
        <v>64475</v>
      </c>
      <c r="E1688" s="30" t="s">
        <v>15</v>
      </c>
      <c r="F1688" s="30"/>
      <c r="G1688" s="30"/>
      <c r="H1688" s="30" t="s">
        <v>686</v>
      </c>
      <c r="I1688" s="31" t="s">
        <v>29</v>
      </c>
    </row>
    <row r="1689" spans="2:9" s="6" customFormat="1" ht="11.25" customHeight="1" x14ac:dyDescent="0.55000000000000004">
      <c r="B1689" s="30" t="s">
        <v>3438</v>
      </c>
      <c r="C1689" s="30" t="s">
        <v>3439</v>
      </c>
      <c r="D1689" s="32">
        <v>97209</v>
      </c>
      <c r="E1689" s="30" t="s">
        <v>20</v>
      </c>
      <c r="F1689" s="30" t="s">
        <v>1613</v>
      </c>
      <c r="G1689" s="30" t="s">
        <v>80</v>
      </c>
      <c r="H1689" s="30" t="s">
        <v>66</v>
      </c>
      <c r="I1689" s="31">
        <v>30384.931</v>
      </c>
    </row>
    <row r="1690" spans="2:9" s="6" customFormat="1" ht="11.25" customHeight="1" x14ac:dyDescent="0.55000000000000004">
      <c r="B1690" s="30" t="s">
        <v>3440</v>
      </c>
      <c r="C1690" s="30" t="s">
        <v>3441</v>
      </c>
      <c r="D1690" s="32">
        <v>84808</v>
      </c>
      <c r="E1690" s="30" t="s">
        <v>15</v>
      </c>
      <c r="F1690" s="30" t="s">
        <v>1424</v>
      </c>
      <c r="G1690" s="30"/>
      <c r="H1690" s="30" t="s">
        <v>75</v>
      </c>
      <c r="I1690" s="31" t="s">
        <v>29</v>
      </c>
    </row>
    <row r="1691" spans="2:9" s="6" customFormat="1" ht="11.25" customHeight="1" x14ac:dyDescent="0.55000000000000004">
      <c r="B1691" s="30" t="s">
        <v>3442</v>
      </c>
      <c r="C1691" s="30" t="s">
        <v>3443</v>
      </c>
      <c r="D1691" s="32">
        <v>67784</v>
      </c>
      <c r="E1691" s="30" t="s">
        <v>20</v>
      </c>
      <c r="F1691" s="30" t="s">
        <v>2481</v>
      </c>
      <c r="G1691" s="30" t="s">
        <v>39</v>
      </c>
      <c r="H1691" s="30" t="s">
        <v>113</v>
      </c>
      <c r="I1691" s="31">
        <v>326106.18</v>
      </c>
    </row>
    <row r="1692" spans="2:9" s="6" customFormat="1" ht="11.25" customHeight="1" x14ac:dyDescent="0.55000000000000004">
      <c r="B1692" s="30" t="s">
        <v>3444</v>
      </c>
      <c r="C1692" s="30" t="s">
        <v>3445</v>
      </c>
      <c r="D1692" s="32">
        <v>97047</v>
      </c>
      <c r="E1692" s="30" t="s">
        <v>15</v>
      </c>
      <c r="F1692" s="30" t="s">
        <v>2067</v>
      </c>
      <c r="G1692" s="30"/>
      <c r="H1692" s="30" t="s">
        <v>150</v>
      </c>
      <c r="I1692" s="31" t="s">
        <v>29</v>
      </c>
    </row>
    <row r="1693" spans="2:9" s="6" customFormat="1" ht="11.25" customHeight="1" x14ac:dyDescent="0.55000000000000004">
      <c r="B1693" s="30" t="s">
        <v>3446</v>
      </c>
      <c r="C1693" s="30" t="s">
        <v>3447</v>
      </c>
      <c r="D1693" s="32">
        <v>97047</v>
      </c>
      <c r="E1693" s="30" t="s">
        <v>15</v>
      </c>
      <c r="F1693" s="30"/>
      <c r="G1693" s="30"/>
      <c r="H1693" s="30" t="s">
        <v>150</v>
      </c>
      <c r="I1693" s="31" t="s">
        <v>29</v>
      </c>
    </row>
    <row r="1694" spans="2:9" s="6" customFormat="1" ht="11.25" customHeight="1" x14ac:dyDescent="0.55000000000000004">
      <c r="B1694" s="30" t="s">
        <v>3448</v>
      </c>
      <c r="C1694" s="30" t="s">
        <v>3449</v>
      </c>
      <c r="D1694" s="32">
        <v>67792</v>
      </c>
      <c r="E1694" s="30" t="s">
        <v>15</v>
      </c>
      <c r="F1694" s="30"/>
      <c r="G1694" s="30" t="s">
        <v>35</v>
      </c>
      <c r="H1694" s="30" t="s">
        <v>75</v>
      </c>
      <c r="I1694" s="31" t="s">
        <v>29</v>
      </c>
    </row>
    <row r="1695" spans="2:9" s="6" customFormat="1" ht="11.25" customHeight="1" x14ac:dyDescent="0.55000000000000004">
      <c r="B1695" s="30" t="s">
        <v>3450</v>
      </c>
      <c r="C1695" s="30" t="s">
        <v>3451</v>
      </c>
      <c r="D1695" s="32">
        <v>67806</v>
      </c>
      <c r="E1695" s="30" t="s">
        <v>15</v>
      </c>
      <c r="F1695" s="30" t="s">
        <v>1116</v>
      </c>
      <c r="G1695" s="30"/>
      <c r="H1695" s="30" t="s">
        <v>75</v>
      </c>
      <c r="I1695" s="31" t="s">
        <v>29</v>
      </c>
    </row>
    <row r="1696" spans="2:9" s="6" customFormat="1" ht="11.25" customHeight="1" x14ac:dyDescent="0.55000000000000004">
      <c r="B1696" s="30" t="s">
        <v>3452</v>
      </c>
      <c r="C1696" s="30" t="s">
        <v>3453</v>
      </c>
      <c r="D1696" s="32">
        <v>93548</v>
      </c>
      <c r="E1696" s="30" t="s">
        <v>20</v>
      </c>
      <c r="F1696" s="30" t="s">
        <v>481</v>
      </c>
      <c r="G1696" s="30" t="s">
        <v>16</v>
      </c>
      <c r="H1696" s="30" t="s">
        <v>96</v>
      </c>
      <c r="I1696" s="31">
        <v>5931061.6600000001</v>
      </c>
    </row>
    <row r="1697" spans="2:9" s="6" customFormat="1" ht="11.25" customHeight="1" x14ac:dyDescent="0.55000000000000004">
      <c r="B1697" s="30" t="s">
        <v>3454</v>
      </c>
      <c r="C1697" s="30" t="s">
        <v>3455</v>
      </c>
      <c r="D1697" s="32">
        <v>93548</v>
      </c>
      <c r="E1697" s="30" t="s">
        <v>20</v>
      </c>
      <c r="F1697" s="30"/>
      <c r="G1697" s="30"/>
      <c r="H1697" s="30" t="s">
        <v>96</v>
      </c>
      <c r="I1697" s="31" t="s">
        <v>29</v>
      </c>
    </row>
    <row r="1698" spans="2:9" s="6" customFormat="1" ht="11.25" customHeight="1" x14ac:dyDescent="0.55000000000000004">
      <c r="B1698" s="30" t="s">
        <v>3456</v>
      </c>
      <c r="C1698" s="30" t="s">
        <v>3457</v>
      </c>
      <c r="D1698" s="32">
        <v>93548</v>
      </c>
      <c r="E1698" s="30" t="s">
        <v>20</v>
      </c>
      <c r="F1698" s="30"/>
      <c r="G1698" s="30"/>
      <c r="H1698" s="30" t="s">
        <v>96</v>
      </c>
      <c r="I1698" s="31" t="s">
        <v>29</v>
      </c>
    </row>
    <row r="1699" spans="2:9" s="6" customFormat="1" ht="11.25" customHeight="1" x14ac:dyDescent="0.55000000000000004">
      <c r="B1699" s="30" t="s">
        <v>3458</v>
      </c>
      <c r="C1699" s="30" t="s">
        <v>3459</v>
      </c>
      <c r="D1699" s="32">
        <v>60045</v>
      </c>
      <c r="E1699" s="30" t="s">
        <v>15</v>
      </c>
      <c r="F1699" s="30"/>
      <c r="G1699" s="30"/>
      <c r="H1699" s="30" t="s">
        <v>96</v>
      </c>
      <c r="I1699" s="31" t="s">
        <v>29</v>
      </c>
    </row>
    <row r="1700" spans="2:9" s="6" customFormat="1" ht="11.25" customHeight="1" x14ac:dyDescent="0.55000000000000004">
      <c r="B1700" s="30" t="s">
        <v>3460</v>
      </c>
      <c r="C1700" s="30" t="s">
        <v>3461</v>
      </c>
      <c r="D1700" s="32">
        <v>70665</v>
      </c>
      <c r="E1700" s="30" t="s">
        <v>15</v>
      </c>
      <c r="F1700" s="30"/>
      <c r="G1700" s="30"/>
      <c r="H1700" s="30" t="s">
        <v>48</v>
      </c>
      <c r="I1700" s="31" t="s">
        <v>29</v>
      </c>
    </row>
    <row r="1701" spans="2:9" s="6" customFormat="1" ht="11.25" customHeight="1" x14ac:dyDescent="0.55000000000000004">
      <c r="B1701" s="30" t="s">
        <v>3462</v>
      </c>
      <c r="C1701" s="30" t="s">
        <v>3463</v>
      </c>
      <c r="D1701" s="32">
        <v>68519</v>
      </c>
      <c r="E1701" s="30" t="s">
        <v>20</v>
      </c>
      <c r="F1701" s="30"/>
      <c r="G1701" s="30" t="s">
        <v>16</v>
      </c>
      <c r="H1701" s="30" t="s">
        <v>22</v>
      </c>
      <c r="I1701" s="31">
        <v>5966.2939999999999</v>
      </c>
    </row>
    <row r="1702" spans="2:9" s="6" customFormat="1" ht="11.25" customHeight="1" x14ac:dyDescent="0.55000000000000004">
      <c r="B1702" s="30" t="s">
        <v>3464</v>
      </c>
      <c r="C1702" s="30" t="s">
        <v>3465</v>
      </c>
      <c r="D1702" s="32">
        <v>72125</v>
      </c>
      <c r="E1702" s="30" t="s">
        <v>20</v>
      </c>
      <c r="F1702" s="30" t="s">
        <v>3466</v>
      </c>
      <c r="G1702" s="30" t="s">
        <v>25</v>
      </c>
      <c r="H1702" s="30" t="s">
        <v>40</v>
      </c>
      <c r="I1702" s="31">
        <v>1726294.3759999999</v>
      </c>
    </row>
    <row r="1703" spans="2:9" s="6" customFormat="1" ht="11.25" customHeight="1" x14ac:dyDescent="0.55000000000000004">
      <c r="B1703" s="30" t="s">
        <v>3466</v>
      </c>
      <c r="C1703" s="30" t="s">
        <v>3467</v>
      </c>
      <c r="D1703" s="32" t="s">
        <v>29</v>
      </c>
      <c r="E1703" s="30" t="s">
        <v>20</v>
      </c>
      <c r="F1703" s="30" t="s">
        <v>3466</v>
      </c>
      <c r="G1703" s="30" t="s">
        <v>39</v>
      </c>
      <c r="H1703" s="30" t="s">
        <v>40</v>
      </c>
      <c r="I1703" s="31">
        <v>4034017.5630000001</v>
      </c>
    </row>
    <row r="1704" spans="2:9" s="6" customFormat="1" ht="11.25" customHeight="1" x14ac:dyDescent="0.55000000000000004">
      <c r="B1704" s="30" t="s">
        <v>3468</v>
      </c>
      <c r="C1704" s="30" t="s">
        <v>3469</v>
      </c>
      <c r="D1704" s="32">
        <v>80578</v>
      </c>
      <c r="E1704" s="30" t="s">
        <v>20</v>
      </c>
      <c r="F1704" s="30" t="s">
        <v>3466</v>
      </c>
      <c r="G1704" s="30" t="s">
        <v>39</v>
      </c>
      <c r="H1704" s="30" t="s">
        <v>40</v>
      </c>
      <c r="I1704" s="31">
        <v>2480535.7239999999</v>
      </c>
    </row>
    <row r="1705" spans="2:9" s="6" customFormat="1" ht="11.25" customHeight="1" x14ac:dyDescent="0.55000000000000004">
      <c r="B1705" s="30" t="s">
        <v>3470</v>
      </c>
      <c r="C1705" s="30" t="s">
        <v>3471</v>
      </c>
      <c r="D1705" s="32">
        <v>76414</v>
      </c>
      <c r="E1705" s="30" t="s">
        <v>15</v>
      </c>
      <c r="F1705" s="30"/>
      <c r="G1705" s="30"/>
      <c r="H1705" s="30" t="s">
        <v>655</v>
      </c>
      <c r="I1705" s="31" t="s">
        <v>29</v>
      </c>
    </row>
    <row r="1706" spans="2:9" s="6" customFormat="1" ht="11.25" customHeight="1" x14ac:dyDescent="0.55000000000000004">
      <c r="B1706" s="30" t="s">
        <v>3472</v>
      </c>
      <c r="C1706" s="30" t="s">
        <v>3473</v>
      </c>
      <c r="D1706" s="32">
        <v>67822</v>
      </c>
      <c r="E1706" s="30" t="s">
        <v>15</v>
      </c>
      <c r="F1706" s="30" t="s">
        <v>307</v>
      </c>
      <c r="G1706" s="30"/>
      <c r="H1706" s="30" t="s">
        <v>108</v>
      </c>
      <c r="I1706" s="31" t="s">
        <v>29</v>
      </c>
    </row>
    <row r="1707" spans="2:9" s="6" customFormat="1" ht="11.25" customHeight="1" x14ac:dyDescent="0.55000000000000004">
      <c r="B1707" s="30" t="s">
        <v>3474</v>
      </c>
      <c r="C1707" s="30" t="s">
        <v>3475</v>
      </c>
      <c r="D1707" s="32">
        <v>98108</v>
      </c>
      <c r="E1707" s="30" t="s">
        <v>15</v>
      </c>
      <c r="F1707" s="30" t="s">
        <v>182</v>
      </c>
      <c r="G1707" s="30"/>
      <c r="H1707" s="30" t="s">
        <v>105</v>
      </c>
      <c r="I1707" s="31" t="s">
        <v>29</v>
      </c>
    </row>
    <row r="1708" spans="2:9" s="6" customFormat="1" ht="11.25" customHeight="1" x14ac:dyDescent="0.55000000000000004">
      <c r="B1708" s="30" t="s">
        <v>3476</v>
      </c>
      <c r="C1708" s="30" t="s">
        <v>3477</v>
      </c>
      <c r="D1708" s="32">
        <v>13158</v>
      </c>
      <c r="E1708" s="30" t="s">
        <v>20</v>
      </c>
      <c r="F1708" s="30"/>
      <c r="G1708" s="30" t="s">
        <v>16</v>
      </c>
      <c r="H1708" s="30" t="s">
        <v>179</v>
      </c>
      <c r="I1708" s="31" t="s">
        <v>29</v>
      </c>
    </row>
    <row r="1709" spans="2:9" s="6" customFormat="1" ht="11.25" customHeight="1" x14ac:dyDescent="0.55000000000000004">
      <c r="B1709" s="30" t="s">
        <v>3478</v>
      </c>
      <c r="C1709" s="30" t="s">
        <v>3479</v>
      </c>
      <c r="D1709" s="32">
        <v>67873</v>
      </c>
      <c r="E1709" s="30" t="s">
        <v>20</v>
      </c>
      <c r="F1709" s="30" t="s">
        <v>525</v>
      </c>
      <c r="G1709" s="30" t="s">
        <v>35</v>
      </c>
      <c r="H1709" s="30" t="s">
        <v>113</v>
      </c>
      <c r="I1709" s="31">
        <v>87026.847999999998</v>
      </c>
    </row>
    <row r="1710" spans="2:9" s="6" customFormat="1" ht="11.25" customHeight="1" x14ac:dyDescent="0.55000000000000004">
      <c r="B1710" s="30" t="s">
        <v>3480</v>
      </c>
      <c r="C1710" s="30" t="s">
        <v>3481</v>
      </c>
      <c r="D1710" s="32">
        <v>68330</v>
      </c>
      <c r="E1710" s="30" t="s">
        <v>15</v>
      </c>
      <c r="F1710" s="30" t="s">
        <v>709</v>
      </c>
      <c r="G1710" s="30"/>
      <c r="H1710" s="30" t="s">
        <v>150</v>
      </c>
      <c r="I1710" s="31" t="s">
        <v>29</v>
      </c>
    </row>
    <row r="1711" spans="2:9" s="6" customFormat="1" ht="11.25" customHeight="1" x14ac:dyDescent="0.55000000000000004">
      <c r="B1711" s="30" t="s">
        <v>3482</v>
      </c>
      <c r="C1711" s="30" t="s">
        <v>3483</v>
      </c>
      <c r="D1711" s="32">
        <v>91570</v>
      </c>
      <c r="E1711" s="30" t="s">
        <v>15</v>
      </c>
      <c r="F1711" s="30"/>
      <c r="G1711" s="30" t="s">
        <v>80</v>
      </c>
      <c r="H1711" s="30" t="s">
        <v>500</v>
      </c>
      <c r="I1711" s="31" t="s">
        <v>29</v>
      </c>
    </row>
    <row r="1712" spans="2:9" s="6" customFormat="1" ht="11.25" customHeight="1" x14ac:dyDescent="0.55000000000000004">
      <c r="B1712" s="30" t="s">
        <v>3484</v>
      </c>
      <c r="C1712" s="30" t="s">
        <v>3485</v>
      </c>
      <c r="D1712" s="32">
        <v>12783</v>
      </c>
      <c r="E1712" s="30" t="s">
        <v>15</v>
      </c>
      <c r="F1712" s="30"/>
      <c r="G1712" s="30" t="s">
        <v>16</v>
      </c>
      <c r="H1712" s="30" t="s">
        <v>500</v>
      </c>
      <c r="I1712" s="31" t="s">
        <v>29</v>
      </c>
    </row>
    <row r="1713" spans="2:9" s="6" customFormat="1" ht="11.25" customHeight="1" x14ac:dyDescent="0.55000000000000004">
      <c r="B1713" s="30" t="s">
        <v>3486</v>
      </c>
      <c r="C1713" s="30" t="s">
        <v>3487</v>
      </c>
      <c r="D1713" s="32">
        <v>67911</v>
      </c>
      <c r="E1713" s="30" t="s">
        <v>20</v>
      </c>
      <c r="F1713" s="30" t="s">
        <v>514</v>
      </c>
      <c r="G1713" s="30" t="s">
        <v>35</v>
      </c>
      <c r="H1713" s="30" t="s">
        <v>150</v>
      </c>
      <c r="I1713" s="31">
        <v>510720.46100000001</v>
      </c>
    </row>
    <row r="1714" spans="2:9" s="6" customFormat="1" ht="11.25" customHeight="1" x14ac:dyDescent="0.55000000000000004">
      <c r="B1714" s="30" t="s">
        <v>3488</v>
      </c>
      <c r="C1714" s="30" t="s">
        <v>3489</v>
      </c>
      <c r="D1714" s="32">
        <v>93920</v>
      </c>
      <c r="E1714" s="30" t="s">
        <v>15</v>
      </c>
      <c r="F1714" s="30"/>
      <c r="G1714" s="30"/>
      <c r="H1714" s="30" t="s">
        <v>22</v>
      </c>
      <c r="I1714" s="31" t="s">
        <v>29</v>
      </c>
    </row>
    <row r="1715" spans="2:9" s="6" customFormat="1" ht="11.25" customHeight="1" x14ac:dyDescent="0.55000000000000004">
      <c r="B1715" s="30" t="s">
        <v>3490</v>
      </c>
      <c r="C1715" s="30" t="s">
        <v>3491</v>
      </c>
      <c r="D1715" s="32">
        <v>67946</v>
      </c>
      <c r="E1715" s="30" t="s">
        <v>20</v>
      </c>
      <c r="F1715" s="30" t="s">
        <v>525</v>
      </c>
      <c r="G1715" s="30" t="s">
        <v>35</v>
      </c>
      <c r="H1715" s="30" t="s">
        <v>113</v>
      </c>
      <c r="I1715" s="31">
        <v>104371.621</v>
      </c>
    </row>
    <row r="1716" spans="2:9" s="6" customFormat="1" ht="11.25" customHeight="1" x14ac:dyDescent="0.55000000000000004">
      <c r="B1716" s="30" t="s">
        <v>3492</v>
      </c>
      <c r="C1716" s="30" t="s">
        <v>3493</v>
      </c>
      <c r="D1716" s="32">
        <v>97152</v>
      </c>
      <c r="E1716" s="30" t="s">
        <v>20</v>
      </c>
      <c r="F1716" s="30"/>
      <c r="G1716" s="30" t="s">
        <v>80</v>
      </c>
      <c r="H1716" s="30" t="s">
        <v>92</v>
      </c>
      <c r="I1716" s="31">
        <v>29649.567999999999</v>
      </c>
    </row>
    <row r="1717" spans="2:9" s="6" customFormat="1" ht="11.25" customHeight="1" x14ac:dyDescent="0.55000000000000004">
      <c r="B1717" s="30" t="s">
        <v>3494</v>
      </c>
      <c r="C1717" s="30" t="s">
        <v>3495</v>
      </c>
      <c r="D1717" s="32">
        <v>68995</v>
      </c>
      <c r="E1717" s="30" t="s">
        <v>15</v>
      </c>
      <c r="F1717" s="30"/>
      <c r="G1717" s="30"/>
      <c r="H1717" s="30" t="s">
        <v>75</v>
      </c>
      <c r="I1717" s="31" t="s">
        <v>29</v>
      </c>
    </row>
    <row r="1718" spans="2:9" s="6" customFormat="1" ht="11.25" customHeight="1" x14ac:dyDescent="0.55000000000000004">
      <c r="B1718" s="30" t="s">
        <v>3496</v>
      </c>
      <c r="C1718" s="30" t="s">
        <v>3497</v>
      </c>
      <c r="D1718" s="32">
        <v>11876</v>
      </c>
      <c r="E1718" s="30" t="s">
        <v>20</v>
      </c>
      <c r="F1718" s="30"/>
      <c r="G1718" s="30" t="s">
        <v>80</v>
      </c>
      <c r="H1718" s="30" t="s">
        <v>130</v>
      </c>
      <c r="I1718" s="31">
        <v>74803.797000000006</v>
      </c>
    </row>
    <row r="1719" spans="2:9" s="6" customFormat="1" ht="11.25" customHeight="1" x14ac:dyDescent="0.55000000000000004">
      <c r="B1719" s="30" t="s">
        <v>3498</v>
      </c>
      <c r="C1719" s="30" t="s">
        <v>3499</v>
      </c>
      <c r="D1719" s="32" t="s">
        <v>29</v>
      </c>
      <c r="E1719" s="30" t="s">
        <v>20</v>
      </c>
      <c r="F1719" s="30" t="s">
        <v>3498</v>
      </c>
      <c r="G1719" s="30" t="s">
        <v>35</v>
      </c>
      <c r="H1719" s="30" t="s">
        <v>108</v>
      </c>
      <c r="I1719" s="31" t="s">
        <v>29</v>
      </c>
    </row>
    <row r="1720" spans="2:9" s="6" customFormat="1" ht="11.25" customHeight="1" x14ac:dyDescent="0.55000000000000004">
      <c r="B1720" s="30" t="s">
        <v>3500</v>
      </c>
      <c r="C1720" s="30" t="s">
        <v>3501</v>
      </c>
      <c r="D1720" s="32">
        <v>86053</v>
      </c>
      <c r="E1720" s="30" t="s">
        <v>15</v>
      </c>
      <c r="F1720" s="30" t="s">
        <v>293</v>
      </c>
      <c r="G1720" s="30"/>
      <c r="H1720" s="30" t="s">
        <v>460</v>
      </c>
      <c r="I1720" s="31" t="s">
        <v>29</v>
      </c>
    </row>
    <row r="1721" spans="2:9" s="6" customFormat="1" ht="11.25" customHeight="1" x14ac:dyDescent="0.55000000000000004">
      <c r="B1721" s="30" t="s">
        <v>3502</v>
      </c>
      <c r="C1721" s="30" t="s">
        <v>3503</v>
      </c>
      <c r="D1721" s="32">
        <v>94706</v>
      </c>
      <c r="E1721" s="30" t="s">
        <v>15</v>
      </c>
      <c r="F1721" s="30"/>
      <c r="G1721" s="30"/>
      <c r="H1721" s="30" t="s">
        <v>105</v>
      </c>
      <c r="I1721" s="31" t="s">
        <v>29</v>
      </c>
    </row>
    <row r="1722" spans="2:9" s="6" customFormat="1" ht="11.25" customHeight="1" x14ac:dyDescent="0.55000000000000004">
      <c r="B1722" s="30" t="s">
        <v>3504</v>
      </c>
      <c r="C1722" s="30" t="s">
        <v>3505</v>
      </c>
      <c r="D1722" s="32">
        <v>60079</v>
      </c>
      <c r="E1722" s="30" t="s">
        <v>15</v>
      </c>
      <c r="F1722" s="30"/>
      <c r="G1722" s="30"/>
      <c r="H1722" s="30" t="s">
        <v>30</v>
      </c>
      <c r="I1722" s="31" t="s">
        <v>29</v>
      </c>
    </row>
    <row r="1723" spans="2:9" s="6" customFormat="1" ht="11.25" customHeight="1" x14ac:dyDescent="0.55000000000000004">
      <c r="B1723" s="30" t="s">
        <v>3506</v>
      </c>
      <c r="C1723" s="30" t="s">
        <v>3507</v>
      </c>
      <c r="D1723" s="32">
        <v>65987</v>
      </c>
      <c r="E1723" s="30" t="s">
        <v>15</v>
      </c>
      <c r="F1723" s="30"/>
      <c r="G1723" s="30"/>
      <c r="H1723" s="30" t="s">
        <v>22</v>
      </c>
      <c r="I1723" s="31" t="s">
        <v>29</v>
      </c>
    </row>
    <row r="1724" spans="2:9" s="6" customFormat="1" ht="11.25" customHeight="1" x14ac:dyDescent="0.55000000000000004">
      <c r="B1724" s="30" t="s">
        <v>3508</v>
      </c>
      <c r="C1724" s="30" t="s">
        <v>3509</v>
      </c>
      <c r="D1724" s="32">
        <v>60019</v>
      </c>
      <c r="E1724" s="30" t="s">
        <v>20</v>
      </c>
      <c r="F1724" s="30" t="s">
        <v>920</v>
      </c>
      <c r="G1724" s="30" t="s">
        <v>35</v>
      </c>
      <c r="H1724" s="30" t="s">
        <v>735</v>
      </c>
      <c r="I1724" s="31" t="s">
        <v>29</v>
      </c>
    </row>
    <row r="1725" spans="2:9" s="6" customFormat="1" ht="11.25" customHeight="1" x14ac:dyDescent="0.55000000000000004">
      <c r="B1725" s="30" t="s">
        <v>59</v>
      </c>
      <c r="C1725" s="30" t="s">
        <v>3510</v>
      </c>
      <c r="D1725" s="32" t="s">
        <v>29</v>
      </c>
      <c r="E1725" s="30" t="s">
        <v>20</v>
      </c>
      <c r="F1725" s="30" t="s">
        <v>59</v>
      </c>
      <c r="G1725" s="30" t="s">
        <v>21</v>
      </c>
      <c r="H1725" s="30" t="s">
        <v>17</v>
      </c>
      <c r="I1725" s="31">
        <v>255530.15400000001</v>
      </c>
    </row>
    <row r="1726" spans="2:9" s="6" customFormat="1" ht="11.25" customHeight="1" x14ac:dyDescent="0.55000000000000004">
      <c r="B1726" s="30" t="s">
        <v>3511</v>
      </c>
      <c r="C1726" s="30" t="s">
        <v>3512</v>
      </c>
      <c r="D1726" s="32">
        <v>11155</v>
      </c>
      <c r="E1726" s="30" t="s">
        <v>20</v>
      </c>
      <c r="F1726" s="30"/>
      <c r="G1726" s="30" t="s">
        <v>25</v>
      </c>
      <c r="H1726" s="30" t="s">
        <v>146</v>
      </c>
      <c r="I1726" s="31">
        <v>35376.101000000002</v>
      </c>
    </row>
    <row r="1727" spans="2:9" s="6" customFormat="1" ht="11.25" customHeight="1" x14ac:dyDescent="0.55000000000000004">
      <c r="B1727" s="30" t="s">
        <v>3513</v>
      </c>
      <c r="C1727" s="30" t="s">
        <v>3514</v>
      </c>
      <c r="D1727" s="32">
        <v>60048</v>
      </c>
      <c r="E1727" s="30" t="s">
        <v>15</v>
      </c>
      <c r="F1727" s="30"/>
      <c r="G1727" s="30" t="s">
        <v>16</v>
      </c>
      <c r="H1727" s="30" t="s">
        <v>500</v>
      </c>
      <c r="I1727" s="31" t="s">
        <v>29</v>
      </c>
    </row>
    <row r="1728" spans="2:9" s="6" customFormat="1" ht="11.25" customHeight="1" x14ac:dyDescent="0.55000000000000004">
      <c r="B1728" s="30" t="s">
        <v>3515</v>
      </c>
      <c r="C1728" s="30" t="s">
        <v>3516</v>
      </c>
      <c r="D1728" s="32">
        <v>76538</v>
      </c>
      <c r="E1728" s="30" t="s">
        <v>20</v>
      </c>
      <c r="F1728" s="30"/>
      <c r="G1728" s="30" t="s">
        <v>194</v>
      </c>
      <c r="H1728" s="30" t="s">
        <v>113</v>
      </c>
      <c r="I1728" s="31">
        <v>4437.4290000000001</v>
      </c>
    </row>
    <row r="1729" spans="2:9" s="6" customFormat="1" ht="11.25" customHeight="1" x14ac:dyDescent="0.55000000000000004">
      <c r="B1729" s="30" t="s">
        <v>3517</v>
      </c>
      <c r="C1729" s="30" t="s">
        <v>3518</v>
      </c>
      <c r="D1729" s="32">
        <v>90239</v>
      </c>
      <c r="E1729" s="30" t="s">
        <v>15</v>
      </c>
      <c r="F1729" s="30"/>
      <c r="G1729" s="30"/>
      <c r="H1729" s="30" t="s">
        <v>66</v>
      </c>
      <c r="I1729" s="31" t="s">
        <v>29</v>
      </c>
    </row>
    <row r="1730" spans="2:9" s="6" customFormat="1" ht="11.25" customHeight="1" x14ac:dyDescent="0.55000000000000004">
      <c r="B1730" s="30" t="s">
        <v>2980</v>
      </c>
      <c r="C1730" s="30" t="s">
        <v>3519</v>
      </c>
      <c r="D1730" s="32" t="s">
        <v>29</v>
      </c>
      <c r="E1730" s="30" t="s">
        <v>20</v>
      </c>
      <c r="F1730" s="30" t="s">
        <v>2980</v>
      </c>
      <c r="G1730" s="30" t="s">
        <v>35</v>
      </c>
      <c r="H1730" s="30" t="s">
        <v>108</v>
      </c>
      <c r="I1730" s="31">
        <v>2042265.7890000001</v>
      </c>
    </row>
    <row r="1731" spans="2:9" s="6" customFormat="1" ht="11.25" customHeight="1" x14ac:dyDescent="0.55000000000000004">
      <c r="B1731" s="30" t="s">
        <v>3520</v>
      </c>
      <c r="C1731" s="30" t="s">
        <v>3521</v>
      </c>
      <c r="D1731" s="32">
        <v>65919</v>
      </c>
      <c r="E1731" s="30" t="s">
        <v>20</v>
      </c>
      <c r="F1731" s="30" t="s">
        <v>2980</v>
      </c>
      <c r="G1731" s="30" t="s">
        <v>35</v>
      </c>
      <c r="H1731" s="30" t="s">
        <v>108</v>
      </c>
      <c r="I1731" s="31">
        <v>1594604.29</v>
      </c>
    </row>
    <row r="1732" spans="2:9" s="6" customFormat="1" ht="11.25" customHeight="1" x14ac:dyDescent="0.55000000000000004">
      <c r="B1732" s="30" t="s">
        <v>3522</v>
      </c>
      <c r="C1732" s="30" t="s">
        <v>3523</v>
      </c>
      <c r="D1732" s="32">
        <v>80632</v>
      </c>
      <c r="E1732" s="30" t="s">
        <v>15</v>
      </c>
      <c r="F1732" s="30"/>
      <c r="G1732" s="30"/>
      <c r="H1732" s="30" t="s">
        <v>75</v>
      </c>
      <c r="I1732" s="31" t="s">
        <v>29</v>
      </c>
    </row>
    <row r="1733" spans="2:9" s="6" customFormat="1" ht="11.25" customHeight="1" x14ac:dyDescent="0.55000000000000004">
      <c r="B1733" s="30" t="s">
        <v>3524</v>
      </c>
      <c r="C1733" s="30" t="s">
        <v>3525</v>
      </c>
      <c r="D1733" s="32">
        <v>60036</v>
      </c>
      <c r="E1733" s="30" t="s">
        <v>15</v>
      </c>
      <c r="F1733" s="30"/>
      <c r="G1733" s="30"/>
      <c r="H1733" s="30" t="s">
        <v>156</v>
      </c>
      <c r="I1733" s="31" t="s">
        <v>29</v>
      </c>
    </row>
    <row r="1734" spans="2:9" s="6" customFormat="1" ht="11.25" customHeight="1" x14ac:dyDescent="0.55000000000000004">
      <c r="B1734" s="30" t="s">
        <v>3526</v>
      </c>
      <c r="C1734" s="30" t="s">
        <v>3527</v>
      </c>
      <c r="D1734" s="32" t="s">
        <v>29</v>
      </c>
      <c r="E1734" s="30" t="s">
        <v>20</v>
      </c>
      <c r="F1734" s="30" t="s">
        <v>3526</v>
      </c>
      <c r="G1734" s="30" t="s">
        <v>155</v>
      </c>
      <c r="H1734" s="30" t="s">
        <v>63</v>
      </c>
      <c r="I1734" s="31">
        <v>210161400.745</v>
      </c>
    </row>
    <row r="1735" spans="2:9" s="6" customFormat="1" ht="11.25" customHeight="1" x14ac:dyDescent="0.55000000000000004">
      <c r="B1735" s="30" t="s">
        <v>3528</v>
      </c>
      <c r="C1735" s="30" t="s">
        <v>3529</v>
      </c>
      <c r="D1735" s="32" t="s">
        <v>29</v>
      </c>
      <c r="E1735" s="30" t="s">
        <v>20</v>
      </c>
      <c r="F1735" s="30"/>
      <c r="G1735" s="30"/>
      <c r="H1735" s="30" t="s">
        <v>63</v>
      </c>
      <c r="I1735" s="31" t="s">
        <v>29</v>
      </c>
    </row>
    <row r="1736" spans="2:9" s="6" customFormat="1" ht="11.25" customHeight="1" x14ac:dyDescent="0.55000000000000004">
      <c r="B1736" s="30" t="s">
        <v>3530</v>
      </c>
      <c r="C1736" s="30" t="s">
        <v>3531</v>
      </c>
      <c r="D1736" s="32">
        <v>13077</v>
      </c>
      <c r="E1736" s="30" t="s">
        <v>20</v>
      </c>
      <c r="F1736" s="30" t="s">
        <v>3526</v>
      </c>
      <c r="G1736" s="30" t="s">
        <v>35</v>
      </c>
      <c r="H1736" s="30" t="s">
        <v>63</v>
      </c>
      <c r="I1736" s="31">
        <v>741851.04200000002</v>
      </c>
    </row>
    <row r="1737" spans="2:9" s="6" customFormat="1" ht="11.25" customHeight="1" x14ac:dyDescent="0.55000000000000004">
      <c r="B1737" s="30" t="s">
        <v>3532</v>
      </c>
      <c r="C1737" s="30" t="s">
        <v>3533</v>
      </c>
      <c r="D1737" s="32">
        <v>61271</v>
      </c>
      <c r="E1737" s="30" t="s">
        <v>20</v>
      </c>
      <c r="F1737" s="30" t="s">
        <v>3526</v>
      </c>
      <c r="G1737" s="30" t="s">
        <v>155</v>
      </c>
      <c r="H1737" s="30" t="s">
        <v>63</v>
      </c>
      <c r="I1737" s="31">
        <v>209684961.37799999</v>
      </c>
    </row>
    <row r="1738" spans="2:9" s="6" customFormat="1" ht="11.25" customHeight="1" x14ac:dyDescent="0.55000000000000004">
      <c r="B1738" s="30" t="s">
        <v>3534</v>
      </c>
      <c r="C1738" s="30" t="s">
        <v>3535</v>
      </c>
      <c r="D1738" s="32">
        <v>61271</v>
      </c>
      <c r="E1738" s="30" t="s">
        <v>20</v>
      </c>
      <c r="F1738" s="30"/>
      <c r="G1738" s="30"/>
      <c r="H1738" s="30" t="s">
        <v>63</v>
      </c>
      <c r="I1738" s="31" t="s">
        <v>29</v>
      </c>
    </row>
    <row r="1739" spans="2:9" s="6" customFormat="1" ht="11.25" customHeight="1" x14ac:dyDescent="0.55000000000000004">
      <c r="B1739" s="30" t="s">
        <v>3536</v>
      </c>
      <c r="C1739" s="30" t="s">
        <v>3537</v>
      </c>
      <c r="D1739" s="32">
        <v>61271</v>
      </c>
      <c r="E1739" s="30" t="s">
        <v>20</v>
      </c>
      <c r="F1739" s="30"/>
      <c r="G1739" s="30"/>
      <c r="H1739" s="30" t="s">
        <v>63</v>
      </c>
      <c r="I1739" s="31" t="s">
        <v>29</v>
      </c>
    </row>
    <row r="1740" spans="2:9" s="6" customFormat="1" ht="11.25" customHeight="1" x14ac:dyDescent="0.55000000000000004">
      <c r="B1740" s="30" t="s">
        <v>3538</v>
      </c>
      <c r="C1740" s="30" t="s">
        <v>3539</v>
      </c>
      <c r="D1740" s="32">
        <v>71161</v>
      </c>
      <c r="E1740" s="30" t="s">
        <v>20</v>
      </c>
      <c r="F1740" s="30" t="s">
        <v>3526</v>
      </c>
      <c r="G1740" s="30" t="s">
        <v>35</v>
      </c>
      <c r="H1740" s="30" t="s">
        <v>63</v>
      </c>
      <c r="I1740" s="31">
        <v>476406.43900000001</v>
      </c>
    </row>
    <row r="1741" spans="2:9" s="6" customFormat="1" ht="11.25" customHeight="1" x14ac:dyDescent="0.55000000000000004">
      <c r="B1741" s="30" t="s">
        <v>3540</v>
      </c>
      <c r="C1741" s="30" t="s">
        <v>3541</v>
      </c>
      <c r="D1741" s="32">
        <v>71161</v>
      </c>
      <c r="E1741" s="30" t="s">
        <v>20</v>
      </c>
      <c r="F1741" s="30"/>
      <c r="G1741" s="30"/>
      <c r="H1741" s="30" t="s">
        <v>63</v>
      </c>
      <c r="I1741" s="31" t="s">
        <v>29</v>
      </c>
    </row>
    <row r="1742" spans="2:9" s="6" customFormat="1" ht="11.25" customHeight="1" x14ac:dyDescent="0.55000000000000004">
      <c r="B1742" s="30" t="s">
        <v>3542</v>
      </c>
      <c r="C1742" s="30" t="s">
        <v>3543</v>
      </c>
      <c r="D1742" s="32">
        <v>71161</v>
      </c>
      <c r="E1742" s="30" t="s">
        <v>20</v>
      </c>
      <c r="F1742" s="30"/>
      <c r="G1742" s="30"/>
      <c r="H1742" s="30" t="s">
        <v>63</v>
      </c>
      <c r="I1742" s="31" t="s">
        <v>29</v>
      </c>
    </row>
    <row r="1743" spans="2:9" s="6" customFormat="1" ht="11.25" customHeight="1" x14ac:dyDescent="0.55000000000000004">
      <c r="B1743" s="30" t="s">
        <v>3544</v>
      </c>
      <c r="C1743" s="30" t="s">
        <v>3545</v>
      </c>
      <c r="D1743" s="32">
        <v>69205</v>
      </c>
      <c r="E1743" s="30" t="s">
        <v>15</v>
      </c>
      <c r="F1743" s="30"/>
      <c r="G1743" s="30"/>
      <c r="H1743" s="30" t="s">
        <v>48</v>
      </c>
      <c r="I1743" s="31" t="s">
        <v>29</v>
      </c>
    </row>
    <row r="1744" spans="2:9" s="6" customFormat="1" ht="11.25" customHeight="1" x14ac:dyDescent="0.55000000000000004">
      <c r="B1744" s="30" t="s">
        <v>3546</v>
      </c>
      <c r="C1744" s="30" t="s">
        <v>3547</v>
      </c>
      <c r="D1744" s="32">
        <v>92240</v>
      </c>
      <c r="E1744" s="30" t="s">
        <v>15</v>
      </c>
      <c r="F1744" s="30"/>
      <c r="G1744" s="30"/>
      <c r="H1744" s="30" t="s">
        <v>63</v>
      </c>
      <c r="I1744" s="31" t="s">
        <v>29</v>
      </c>
    </row>
    <row r="1745" spans="2:9" s="6" customFormat="1" ht="11.25" customHeight="1" x14ac:dyDescent="0.55000000000000004">
      <c r="B1745" s="30" t="s">
        <v>3548</v>
      </c>
      <c r="C1745" s="30" t="s">
        <v>3549</v>
      </c>
      <c r="D1745" s="32">
        <v>99511</v>
      </c>
      <c r="E1745" s="30" t="s">
        <v>15</v>
      </c>
      <c r="F1745" s="30"/>
      <c r="G1745" s="30"/>
      <c r="H1745" s="30" t="s">
        <v>113</v>
      </c>
      <c r="I1745" s="31" t="s">
        <v>29</v>
      </c>
    </row>
    <row r="1746" spans="2:9" s="6" customFormat="1" ht="11.25" customHeight="1" x14ac:dyDescent="0.55000000000000004">
      <c r="B1746" s="30" t="s">
        <v>3550</v>
      </c>
      <c r="C1746" s="30" t="s">
        <v>3551</v>
      </c>
      <c r="D1746" s="32">
        <v>68047</v>
      </c>
      <c r="E1746" s="30" t="s">
        <v>20</v>
      </c>
      <c r="F1746" s="30" t="s">
        <v>2171</v>
      </c>
      <c r="G1746" s="30" t="s">
        <v>39</v>
      </c>
      <c r="H1746" s="30" t="s">
        <v>582</v>
      </c>
      <c r="I1746" s="31">
        <v>113671.97200000001</v>
      </c>
    </row>
    <row r="1747" spans="2:9" s="6" customFormat="1" ht="11.25" customHeight="1" x14ac:dyDescent="0.55000000000000004">
      <c r="B1747" s="30" t="s">
        <v>3552</v>
      </c>
      <c r="C1747" s="30" t="s">
        <v>3553</v>
      </c>
      <c r="D1747" s="32">
        <v>68063</v>
      </c>
      <c r="E1747" s="30" t="s">
        <v>20</v>
      </c>
      <c r="F1747" s="30" t="s">
        <v>298</v>
      </c>
      <c r="G1747" s="30" t="s">
        <v>155</v>
      </c>
      <c r="H1747" s="30" t="s">
        <v>22</v>
      </c>
      <c r="I1747" s="31">
        <v>20491.386999999999</v>
      </c>
    </row>
    <row r="1748" spans="2:9" s="6" customFormat="1" ht="11.25" customHeight="1" x14ac:dyDescent="0.55000000000000004">
      <c r="B1748" s="30" t="s">
        <v>3554</v>
      </c>
      <c r="C1748" s="30" t="s">
        <v>3555</v>
      </c>
      <c r="D1748" s="32">
        <v>64866</v>
      </c>
      <c r="E1748" s="30" t="s">
        <v>15</v>
      </c>
      <c r="F1748" s="30"/>
      <c r="G1748" s="30"/>
      <c r="H1748" s="30" t="s">
        <v>735</v>
      </c>
      <c r="I1748" s="31" t="s">
        <v>29</v>
      </c>
    </row>
    <row r="1749" spans="2:9" s="6" customFormat="1" ht="11.25" customHeight="1" x14ac:dyDescent="0.55000000000000004">
      <c r="B1749" s="30" t="s">
        <v>3224</v>
      </c>
      <c r="C1749" s="30" t="s">
        <v>3556</v>
      </c>
      <c r="D1749" s="32" t="s">
        <v>29</v>
      </c>
      <c r="E1749" s="30" t="s">
        <v>20</v>
      </c>
      <c r="F1749" s="30" t="s">
        <v>3224</v>
      </c>
      <c r="G1749" s="30" t="s">
        <v>265</v>
      </c>
      <c r="H1749" s="30" t="s">
        <v>26</v>
      </c>
      <c r="I1749" s="31">
        <v>2784784.9819999998</v>
      </c>
    </row>
    <row r="1750" spans="2:9" s="6" customFormat="1" ht="11.25" customHeight="1" x14ac:dyDescent="0.55000000000000004">
      <c r="B1750" s="30" t="s">
        <v>3557</v>
      </c>
      <c r="C1750" s="30" t="s">
        <v>3558</v>
      </c>
      <c r="D1750" s="32">
        <v>78104</v>
      </c>
      <c r="E1750" s="30" t="s">
        <v>15</v>
      </c>
      <c r="F1750" s="30"/>
      <c r="G1750" s="30"/>
      <c r="H1750" s="30" t="s">
        <v>92</v>
      </c>
      <c r="I1750" s="31" t="s">
        <v>29</v>
      </c>
    </row>
    <row r="1751" spans="2:9" s="6" customFormat="1" ht="11.25" customHeight="1" x14ac:dyDescent="0.55000000000000004">
      <c r="B1751" s="30" t="s">
        <v>3559</v>
      </c>
      <c r="C1751" s="30" t="s">
        <v>3560</v>
      </c>
      <c r="D1751" s="32">
        <v>15297</v>
      </c>
      <c r="E1751" s="30" t="s">
        <v>20</v>
      </c>
      <c r="F1751" s="30"/>
      <c r="G1751" s="30" t="s">
        <v>25</v>
      </c>
      <c r="H1751" s="30" t="s">
        <v>22</v>
      </c>
      <c r="I1751" s="31">
        <v>6341.5039999999999</v>
      </c>
    </row>
    <row r="1752" spans="2:9" s="6" customFormat="1" ht="11.25" customHeight="1" x14ac:dyDescent="0.55000000000000004">
      <c r="B1752" s="30" t="s">
        <v>3561</v>
      </c>
      <c r="C1752" s="30" t="s">
        <v>3562</v>
      </c>
      <c r="D1752" s="32">
        <v>68128</v>
      </c>
      <c r="E1752" s="30" t="s">
        <v>15</v>
      </c>
      <c r="F1752" s="30" t="s">
        <v>185</v>
      </c>
      <c r="G1752" s="30"/>
      <c r="H1752" s="30" t="s">
        <v>75</v>
      </c>
      <c r="I1752" s="31" t="s">
        <v>29</v>
      </c>
    </row>
    <row r="1753" spans="2:9" s="6" customFormat="1" ht="11.25" customHeight="1" x14ac:dyDescent="0.55000000000000004">
      <c r="B1753" s="30" t="s">
        <v>970</v>
      </c>
      <c r="C1753" s="30" t="s">
        <v>3563</v>
      </c>
      <c r="D1753" s="32" t="s">
        <v>29</v>
      </c>
      <c r="E1753" s="30" t="s">
        <v>20</v>
      </c>
      <c r="F1753" s="30" t="s">
        <v>970</v>
      </c>
      <c r="G1753" s="30" t="s">
        <v>265</v>
      </c>
      <c r="H1753" s="30" t="s">
        <v>48</v>
      </c>
      <c r="I1753" s="31">
        <v>87420762.340000004</v>
      </c>
    </row>
    <row r="1754" spans="2:9" s="6" customFormat="1" ht="11.25" customHeight="1" x14ac:dyDescent="0.55000000000000004">
      <c r="B1754" s="30" t="s">
        <v>3564</v>
      </c>
      <c r="C1754" s="30" t="s">
        <v>3565</v>
      </c>
      <c r="D1754" s="32" t="s">
        <v>29</v>
      </c>
      <c r="E1754" s="30" t="s">
        <v>20</v>
      </c>
      <c r="F1754" s="30"/>
      <c r="G1754" s="30"/>
      <c r="H1754" s="30"/>
      <c r="I1754" s="31" t="s">
        <v>29</v>
      </c>
    </row>
    <row r="1755" spans="2:9" s="6" customFormat="1" ht="11.25" customHeight="1" x14ac:dyDescent="0.55000000000000004">
      <c r="B1755" s="30" t="s">
        <v>3566</v>
      </c>
      <c r="C1755" s="30" t="s">
        <v>3567</v>
      </c>
      <c r="D1755" s="32">
        <v>76627</v>
      </c>
      <c r="E1755" s="30" t="s">
        <v>15</v>
      </c>
      <c r="F1755" s="30"/>
      <c r="G1755" s="30"/>
      <c r="H1755" s="30" t="s">
        <v>48</v>
      </c>
      <c r="I1755" s="31" t="s">
        <v>29</v>
      </c>
    </row>
    <row r="1756" spans="2:9" s="6" customFormat="1" ht="11.25" customHeight="1" x14ac:dyDescent="0.55000000000000004">
      <c r="B1756" s="30" t="s">
        <v>3568</v>
      </c>
      <c r="C1756" s="30" t="s">
        <v>3569</v>
      </c>
      <c r="D1756" s="32">
        <v>88536</v>
      </c>
      <c r="E1756" s="30" t="s">
        <v>20</v>
      </c>
      <c r="F1756" s="30" t="s">
        <v>970</v>
      </c>
      <c r="G1756" s="30" t="s">
        <v>265</v>
      </c>
      <c r="H1756" s="30" t="s">
        <v>48</v>
      </c>
      <c r="I1756" s="31">
        <v>5998821.9649999999</v>
      </c>
    </row>
    <row r="1757" spans="2:9" s="6" customFormat="1" ht="11.25" customHeight="1" x14ac:dyDescent="0.55000000000000004">
      <c r="B1757" s="30" t="s">
        <v>3570</v>
      </c>
      <c r="C1757" s="30" t="s">
        <v>3571</v>
      </c>
      <c r="D1757" s="32">
        <v>88536</v>
      </c>
      <c r="E1757" s="30" t="s">
        <v>20</v>
      </c>
      <c r="F1757" s="30"/>
      <c r="G1757" s="30"/>
      <c r="H1757" s="30" t="s">
        <v>48</v>
      </c>
      <c r="I1757" s="31" t="s">
        <v>29</v>
      </c>
    </row>
    <row r="1758" spans="2:9" s="6" customFormat="1" ht="11.25" customHeight="1" x14ac:dyDescent="0.55000000000000004">
      <c r="B1758" s="30" t="s">
        <v>3572</v>
      </c>
      <c r="C1758" s="30" t="s">
        <v>3573</v>
      </c>
      <c r="D1758" s="32">
        <v>88536</v>
      </c>
      <c r="E1758" s="30" t="s">
        <v>20</v>
      </c>
      <c r="F1758" s="30"/>
      <c r="G1758" s="30"/>
      <c r="H1758" s="30" t="s">
        <v>48</v>
      </c>
      <c r="I1758" s="31" t="s">
        <v>29</v>
      </c>
    </row>
    <row r="1759" spans="2:9" s="6" customFormat="1" ht="11.25" customHeight="1" x14ac:dyDescent="0.55000000000000004">
      <c r="B1759" s="30" t="s">
        <v>3574</v>
      </c>
      <c r="C1759" s="30" t="s">
        <v>3575</v>
      </c>
      <c r="D1759" s="32">
        <v>89006</v>
      </c>
      <c r="E1759" s="30" t="s">
        <v>15</v>
      </c>
      <c r="F1759" s="30" t="s">
        <v>970</v>
      </c>
      <c r="G1759" s="30" t="s">
        <v>155</v>
      </c>
      <c r="H1759" s="30" t="s">
        <v>48</v>
      </c>
      <c r="I1759" s="31" t="s">
        <v>29</v>
      </c>
    </row>
    <row r="1760" spans="2:9" s="6" customFormat="1" ht="11.25" customHeight="1" x14ac:dyDescent="0.55000000000000004">
      <c r="B1760" s="30" t="s">
        <v>3576</v>
      </c>
      <c r="C1760" s="30" t="s">
        <v>3577</v>
      </c>
      <c r="D1760" s="32">
        <v>62868</v>
      </c>
      <c r="E1760" s="30" t="s">
        <v>15</v>
      </c>
      <c r="F1760" s="30" t="s">
        <v>970</v>
      </c>
      <c r="G1760" s="30"/>
      <c r="H1760" s="30" t="s">
        <v>48</v>
      </c>
      <c r="I1760" s="31" t="s">
        <v>29</v>
      </c>
    </row>
    <row r="1761" spans="2:9" s="6" customFormat="1" ht="11.25" customHeight="1" x14ac:dyDescent="0.55000000000000004">
      <c r="B1761" s="30" t="s">
        <v>3578</v>
      </c>
      <c r="C1761" s="30" t="s">
        <v>3579</v>
      </c>
      <c r="D1761" s="32">
        <v>68136</v>
      </c>
      <c r="E1761" s="30" t="s">
        <v>20</v>
      </c>
      <c r="F1761" s="30" t="s">
        <v>970</v>
      </c>
      <c r="G1761" s="30" t="s">
        <v>35</v>
      </c>
      <c r="H1761" s="30" t="s">
        <v>48</v>
      </c>
      <c r="I1761" s="31">
        <v>70360857.339000002</v>
      </c>
    </row>
    <row r="1762" spans="2:9" s="6" customFormat="1" ht="11.25" customHeight="1" x14ac:dyDescent="0.55000000000000004">
      <c r="B1762" s="30" t="s">
        <v>3580</v>
      </c>
      <c r="C1762" s="30" t="s">
        <v>3581</v>
      </c>
      <c r="D1762" s="32">
        <v>68136</v>
      </c>
      <c r="E1762" s="30" t="s">
        <v>20</v>
      </c>
      <c r="F1762" s="30"/>
      <c r="G1762" s="30"/>
      <c r="H1762" s="30" t="s">
        <v>48</v>
      </c>
      <c r="I1762" s="31" t="s">
        <v>29</v>
      </c>
    </row>
    <row r="1763" spans="2:9" s="6" customFormat="1" ht="11.25" customHeight="1" x14ac:dyDescent="0.55000000000000004">
      <c r="B1763" s="30" t="s">
        <v>3582</v>
      </c>
      <c r="C1763" s="30" t="s">
        <v>3583</v>
      </c>
      <c r="D1763" s="32">
        <v>68136</v>
      </c>
      <c r="E1763" s="30" t="s">
        <v>20</v>
      </c>
      <c r="F1763" s="30"/>
      <c r="G1763" s="30"/>
      <c r="H1763" s="30" t="s">
        <v>48</v>
      </c>
      <c r="I1763" s="31" t="s">
        <v>29</v>
      </c>
    </row>
    <row r="1764" spans="2:9" s="6" customFormat="1" ht="11.25" customHeight="1" x14ac:dyDescent="0.55000000000000004">
      <c r="B1764" s="30" t="s">
        <v>3584</v>
      </c>
      <c r="C1764" s="30" t="s">
        <v>3585</v>
      </c>
      <c r="D1764" s="32">
        <v>68136</v>
      </c>
      <c r="E1764" s="30" t="s">
        <v>20</v>
      </c>
      <c r="F1764" s="30"/>
      <c r="G1764" s="30"/>
      <c r="H1764" s="30" t="s">
        <v>48</v>
      </c>
      <c r="I1764" s="31" t="s">
        <v>29</v>
      </c>
    </row>
    <row r="1765" spans="2:9" s="6" customFormat="1" ht="11.25" customHeight="1" x14ac:dyDescent="0.55000000000000004">
      <c r="B1765" s="30" t="s">
        <v>3586</v>
      </c>
      <c r="C1765" s="30" t="s">
        <v>3587</v>
      </c>
      <c r="D1765" s="32">
        <v>68179</v>
      </c>
      <c r="E1765" s="30" t="s">
        <v>20</v>
      </c>
      <c r="F1765" s="30"/>
      <c r="G1765" s="30" t="s">
        <v>39</v>
      </c>
      <c r="H1765" s="30" t="s">
        <v>113</v>
      </c>
      <c r="I1765" s="31">
        <v>18648.213</v>
      </c>
    </row>
    <row r="1766" spans="2:9" s="6" customFormat="1" ht="11.25" customHeight="1" x14ac:dyDescent="0.55000000000000004">
      <c r="B1766" s="30" t="s">
        <v>3588</v>
      </c>
      <c r="C1766" s="30" t="s">
        <v>3589</v>
      </c>
      <c r="D1766" s="32">
        <v>67903</v>
      </c>
      <c r="E1766" s="30" t="s">
        <v>20</v>
      </c>
      <c r="F1766" s="30" t="s">
        <v>293</v>
      </c>
      <c r="G1766" s="30" t="s">
        <v>39</v>
      </c>
      <c r="H1766" s="30" t="s">
        <v>113</v>
      </c>
      <c r="I1766" s="31">
        <v>8806.634</v>
      </c>
    </row>
    <row r="1767" spans="2:9" s="6" customFormat="1" ht="11.25" customHeight="1" x14ac:dyDescent="0.55000000000000004">
      <c r="B1767" s="30" t="s">
        <v>3590</v>
      </c>
      <c r="C1767" s="30" t="s">
        <v>3591</v>
      </c>
      <c r="D1767" s="32">
        <v>68187</v>
      </c>
      <c r="E1767" s="30" t="s">
        <v>15</v>
      </c>
      <c r="F1767" s="30"/>
      <c r="G1767" s="30"/>
      <c r="H1767" s="30" t="s">
        <v>75</v>
      </c>
      <c r="I1767" s="31" t="s">
        <v>29</v>
      </c>
    </row>
    <row r="1768" spans="2:9" s="6" customFormat="1" ht="11.25" customHeight="1" x14ac:dyDescent="0.55000000000000004">
      <c r="B1768" s="30" t="s">
        <v>3592</v>
      </c>
      <c r="C1768" s="30" t="s">
        <v>3593</v>
      </c>
      <c r="D1768" s="32">
        <v>68195</v>
      </c>
      <c r="E1768" s="30" t="s">
        <v>20</v>
      </c>
      <c r="F1768" s="30" t="s">
        <v>1099</v>
      </c>
      <c r="G1768" s="30" t="s">
        <v>39</v>
      </c>
      <c r="H1768" s="30" t="s">
        <v>92</v>
      </c>
      <c r="I1768" s="31">
        <v>7893439.9860000005</v>
      </c>
    </row>
    <row r="1769" spans="2:9" s="6" customFormat="1" ht="11.25" customHeight="1" x14ac:dyDescent="0.55000000000000004">
      <c r="B1769" s="30" t="s">
        <v>3594</v>
      </c>
      <c r="C1769" s="30" t="s">
        <v>3595</v>
      </c>
      <c r="D1769" s="32">
        <v>68209</v>
      </c>
      <c r="E1769" s="30" t="s">
        <v>20</v>
      </c>
      <c r="F1769" s="30" t="s">
        <v>1099</v>
      </c>
      <c r="G1769" s="30" t="s">
        <v>39</v>
      </c>
      <c r="H1769" s="30" t="s">
        <v>92</v>
      </c>
      <c r="I1769" s="31">
        <v>739263.41599999997</v>
      </c>
    </row>
    <row r="1770" spans="2:9" s="6" customFormat="1" ht="11.25" customHeight="1" x14ac:dyDescent="0.55000000000000004">
      <c r="B1770" s="30" t="s">
        <v>3596</v>
      </c>
      <c r="C1770" s="30" t="s">
        <v>3597</v>
      </c>
      <c r="D1770" s="32">
        <v>68497</v>
      </c>
      <c r="E1770" s="30" t="s">
        <v>15</v>
      </c>
      <c r="F1770" s="30" t="s">
        <v>1415</v>
      </c>
      <c r="G1770" s="30"/>
      <c r="H1770" s="30" t="s">
        <v>266</v>
      </c>
      <c r="I1770" s="31" t="s">
        <v>29</v>
      </c>
    </row>
    <row r="1771" spans="2:9" s="6" customFormat="1" ht="11.25" customHeight="1" x14ac:dyDescent="0.55000000000000004">
      <c r="B1771" s="30" t="s">
        <v>3598</v>
      </c>
      <c r="C1771" s="30" t="s">
        <v>3599</v>
      </c>
      <c r="D1771" s="32">
        <v>81655</v>
      </c>
      <c r="E1771" s="30" t="s">
        <v>15</v>
      </c>
      <c r="F1771" s="30"/>
      <c r="G1771" s="30"/>
      <c r="H1771" s="30" t="s">
        <v>385</v>
      </c>
      <c r="I1771" s="31" t="s">
        <v>29</v>
      </c>
    </row>
    <row r="1772" spans="2:9" s="6" customFormat="1" ht="11.25" customHeight="1" x14ac:dyDescent="0.55000000000000004">
      <c r="B1772" s="30" t="s">
        <v>3600</v>
      </c>
      <c r="C1772" s="30" t="s">
        <v>3601</v>
      </c>
      <c r="D1772" s="32">
        <v>79227</v>
      </c>
      <c r="E1772" s="30" t="s">
        <v>20</v>
      </c>
      <c r="F1772" s="30" t="s">
        <v>3602</v>
      </c>
      <c r="G1772" s="30" t="s">
        <v>35</v>
      </c>
      <c r="H1772" s="30" t="s">
        <v>385</v>
      </c>
      <c r="I1772" s="31">
        <v>130478925.01000001</v>
      </c>
    </row>
    <row r="1773" spans="2:9" s="6" customFormat="1" ht="11.25" customHeight="1" x14ac:dyDescent="0.55000000000000004">
      <c r="B1773" s="30" t="s">
        <v>3603</v>
      </c>
      <c r="C1773" s="30" t="s">
        <v>3604</v>
      </c>
      <c r="D1773" s="32">
        <v>79227</v>
      </c>
      <c r="E1773" s="30" t="s">
        <v>20</v>
      </c>
      <c r="F1773" s="30"/>
      <c r="G1773" s="30"/>
      <c r="H1773" s="30" t="s">
        <v>385</v>
      </c>
      <c r="I1773" s="31" t="s">
        <v>29</v>
      </c>
    </row>
    <row r="1774" spans="2:9" s="6" customFormat="1" ht="11.25" customHeight="1" x14ac:dyDescent="0.55000000000000004">
      <c r="B1774" s="30" t="s">
        <v>3605</v>
      </c>
      <c r="C1774" s="30" t="s">
        <v>3606</v>
      </c>
      <c r="D1774" s="32">
        <v>79227</v>
      </c>
      <c r="E1774" s="30" t="s">
        <v>20</v>
      </c>
      <c r="F1774" s="30"/>
      <c r="G1774" s="30"/>
      <c r="H1774" s="30" t="s">
        <v>385</v>
      </c>
      <c r="I1774" s="31" t="s">
        <v>29</v>
      </c>
    </row>
    <row r="1775" spans="2:9" s="6" customFormat="1" ht="11.25" customHeight="1" x14ac:dyDescent="0.55000000000000004">
      <c r="B1775" s="30" t="s">
        <v>3607</v>
      </c>
      <c r="C1775" s="30" t="s">
        <v>3608</v>
      </c>
      <c r="D1775" s="32">
        <v>97195</v>
      </c>
      <c r="E1775" s="30" t="s">
        <v>20</v>
      </c>
      <c r="F1775" s="30" t="s">
        <v>3602</v>
      </c>
      <c r="G1775" s="30" t="s">
        <v>35</v>
      </c>
      <c r="H1775" s="30" t="s">
        <v>385</v>
      </c>
      <c r="I1775" s="31">
        <v>17949113.102000002</v>
      </c>
    </row>
    <row r="1776" spans="2:9" s="6" customFormat="1" ht="11.25" customHeight="1" x14ac:dyDescent="0.55000000000000004">
      <c r="B1776" s="30" t="s">
        <v>3609</v>
      </c>
      <c r="C1776" s="30" t="s">
        <v>3610</v>
      </c>
      <c r="D1776" s="32">
        <v>97195</v>
      </c>
      <c r="E1776" s="30" t="s">
        <v>20</v>
      </c>
      <c r="F1776" s="30"/>
      <c r="G1776" s="30"/>
      <c r="H1776" s="30" t="s">
        <v>385</v>
      </c>
      <c r="I1776" s="31" t="s">
        <v>29</v>
      </c>
    </row>
    <row r="1777" spans="2:9" s="6" customFormat="1" ht="11.25" customHeight="1" x14ac:dyDescent="0.55000000000000004">
      <c r="B1777" s="30" t="s">
        <v>3611</v>
      </c>
      <c r="C1777" s="30" t="s">
        <v>3612</v>
      </c>
      <c r="D1777" s="32">
        <v>97195</v>
      </c>
      <c r="E1777" s="30" t="s">
        <v>20</v>
      </c>
      <c r="F1777" s="30"/>
      <c r="G1777" s="30"/>
      <c r="H1777" s="30" t="s">
        <v>385</v>
      </c>
      <c r="I1777" s="31" t="s">
        <v>29</v>
      </c>
    </row>
    <row r="1778" spans="2:9" s="6" customFormat="1" ht="11.25" customHeight="1" x14ac:dyDescent="0.55000000000000004">
      <c r="B1778" s="30" t="s">
        <v>3613</v>
      </c>
      <c r="C1778" s="30" t="s">
        <v>3614</v>
      </c>
      <c r="D1778" s="32">
        <v>86630</v>
      </c>
      <c r="E1778" s="30" t="s">
        <v>20</v>
      </c>
      <c r="F1778" s="30" t="s">
        <v>3602</v>
      </c>
      <c r="G1778" s="30" t="s">
        <v>155</v>
      </c>
      <c r="H1778" s="30" t="s">
        <v>96</v>
      </c>
      <c r="I1778" s="31">
        <v>59047336.012000002</v>
      </c>
    </row>
    <row r="1779" spans="2:9" s="6" customFormat="1" ht="11.25" customHeight="1" x14ac:dyDescent="0.55000000000000004">
      <c r="B1779" s="30" t="s">
        <v>3615</v>
      </c>
      <c r="C1779" s="30" t="s">
        <v>3616</v>
      </c>
      <c r="D1779" s="32">
        <v>86630</v>
      </c>
      <c r="E1779" s="30" t="s">
        <v>20</v>
      </c>
      <c r="F1779" s="30"/>
      <c r="G1779" s="30"/>
      <c r="H1779" s="30" t="s">
        <v>96</v>
      </c>
      <c r="I1779" s="31" t="s">
        <v>29</v>
      </c>
    </row>
    <row r="1780" spans="2:9" s="6" customFormat="1" ht="11.25" customHeight="1" x14ac:dyDescent="0.55000000000000004">
      <c r="B1780" s="30" t="s">
        <v>3617</v>
      </c>
      <c r="C1780" s="30" t="s">
        <v>3618</v>
      </c>
      <c r="D1780" s="32">
        <v>86630</v>
      </c>
      <c r="E1780" s="30" t="s">
        <v>20</v>
      </c>
      <c r="F1780" s="30"/>
      <c r="G1780" s="30"/>
      <c r="H1780" s="30" t="s">
        <v>96</v>
      </c>
      <c r="I1780" s="31" t="s">
        <v>29</v>
      </c>
    </row>
    <row r="1781" spans="2:9" s="6" customFormat="1" ht="11.25" customHeight="1" x14ac:dyDescent="0.55000000000000004">
      <c r="B1781" s="30" t="s">
        <v>3602</v>
      </c>
      <c r="C1781" s="30" t="s">
        <v>3619</v>
      </c>
      <c r="D1781" s="32" t="s">
        <v>29</v>
      </c>
      <c r="E1781" s="30" t="s">
        <v>20</v>
      </c>
      <c r="F1781" s="30" t="s">
        <v>3602</v>
      </c>
      <c r="G1781" s="30" t="s">
        <v>155</v>
      </c>
      <c r="H1781" s="30" t="s">
        <v>385</v>
      </c>
      <c r="I1781" s="31">
        <v>634595222.53900003</v>
      </c>
    </row>
    <row r="1782" spans="2:9" s="6" customFormat="1" ht="11.25" customHeight="1" x14ac:dyDescent="0.55000000000000004">
      <c r="B1782" s="30" t="s">
        <v>3620</v>
      </c>
      <c r="C1782" s="30" t="s">
        <v>3621</v>
      </c>
      <c r="D1782" s="32" t="s">
        <v>29</v>
      </c>
      <c r="E1782" s="30" t="s">
        <v>20</v>
      </c>
      <c r="F1782" s="30"/>
      <c r="G1782" s="30"/>
      <c r="H1782" s="30" t="s">
        <v>385</v>
      </c>
      <c r="I1782" s="31" t="s">
        <v>29</v>
      </c>
    </row>
    <row r="1783" spans="2:9" s="6" customFormat="1" ht="11.25" customHeight="1" x14ac:dyDescent="0.55000000000000004">
      <c r="B1783" s="30" t="s">
        <v>3622</v>
      </c>
      <c r="C1783" s="30" t="s">
        <v>3623</v>
      </c>
      <c r="D1783" s="32">
        <v>74020</v>
      </c>
      <c r="E1783" s="30" t="s">
        <v>15</v>
      </c>
      <c r="F1783" s="30"/>
      <c r="G1783" s="30"/>
      <c r="H1783" s="30" t="s">
        <v>385</v>
      </c>
      <c r="I1783" s="31" t="s">
        <v>29</v>
      </c>
    </row>
    <row r="1784" spans="2:9" s="6" customFormat="1" ht="11.25" customHeight="1" x14ac:dyDescent="0.55000000000000004">
      <c r="B1784" s="30" t="s">
        <v>3624</v>
      </c>
      <c r="C1784" s="30" t="s">
        <v>3625</v>
      </c>
      <c r="D1784" s="32">
        <v>68241</v>
      </c>
      <c r="E1784" s="30" t="s">
        <v>20</v>
      </c>
      <c r="F1784" s="30" t="s">
        <v>3602</v>
      </c>
      <c r="G1784" s="30" t="s">
        <v>155</v>
      </c>
      <c r="H1784" s="30" t="s">
        <v>385</v>
      </c>
      <c r="I1784" s="31">
        <v>292318260.62199998</v>
      </c>
    </row>
    <row r="1785" spans="2:9" s="6" customFormat="1" ht="11.25" customHeight="1" x14ac:dyDescent="0.55000000000000004">
      <c r="B1785" s="30" t="s">
        <v>3626</v>
      </c>
      <c r="C1785" s="30" t="s">
        <v>3627</v>
      </c>
      <c r="D1785" s="32">
        <v>68241</v>
      </c>
      <c r="E1785" s="30" t="s">
        <v>20</v>
      </c>
      <c r="F1785" s="30"/>
      <c r="G1785" s="30"/>
      <c r="H1785" s="30" t="s">
        <v>385</v>
      </c>
      <c r="I1785" s="31" t="s">
        <v>29</v>
      </c>
    </row>
    <row r="1786" spans="2:9" s="6" customFormat="1" ht="11.25" customHeight="1" x14ac:dyDescent="0.55000000000000004">
      <c r="B1786" s="30" t="s">
        <v>3628</v>
      </c>
      <c r="C1786" s="30" t="s">
        <v>3629</v>
      </c>
      <c r="D1786" s="32">
        <v>68241</v>
      </c>
      <c r="E1786" s="30" t="s">
        <v>20</v>
      </c>
      <c r="F1786" s="30"/>
      <c r="G1786" s="30"/>
      <c r="H1786" s="30" t="s">
        <v>385</v>
      </c>
      <c r="I1786" s="31" t="s">
        <v>29</v>
      </c>
    </row>
    <row r="1787" spans="2:9" s="6" customFormat="1" ht="11.25" customHeight="1" x14ac:dyDescent="0.55000000000000004">
      <c r="B1787" s="30" t="s">
        <v>3630</v>
      </c>
      <c r="C1787" s="30" t="s">
        <v>3631</v>
      </c>
      <c r="D1787" s="32">
        <v>13809</v>
      </c>
      <c r="E1787" s="30" t="s">
        <v>20</v>
      </c>
      <c r="F1787" s="30" t="s">
        <v>3602</v>
      </c>
      <c r="G1787" s="30" t="s">
        <v>35</v>
      </c>
      <c r="H1787" s="30" t="s">
        <v>385</v>
      </c>
      <c r="I1787" s="31">
        <v>57249399.234999999</v>
      </c>
    </row>
    <row r="1788" spans="2:9" s="6" customFormat="1" ht="11.25" customHeight="1" x14ac:dyDescent="0.55000000000000004">
      <c r="B1788" s="30" t="s">
        <v>3632</v>
      </c>
      <c r="C1788" s="30" t="s">
        <v>3633</v>
      </c>
      <c r="D1788" s="32">
        <v>13809</v>
      </c>
      <c r="E1788" s="30" t="s">
        <v>20</v>
      </c>
      <c r="F1788" s="30"/>
      <c r="G1788" s="30"/>
      <c r="H1788" s="30" t="s">
        <v>385</v>
      </c>
      <c r="I1788" s="31" t="s">
        <v>29</v>
      </c>
    </row>
    <row r="1789" spans="2:9" s="6" customFormat="1" ht="11.25" customHeight="1" x14ac:dyDescent="0.55000000000000004">
      <c r="B1789" s="30" t="s">
        <v>3634</v>
      </c>
      <c r="C1789" s="30" t="s">
        <v>3635</v>
      </c>
      <c r="D1789" s="32">
        <v>13809</v>
      </c>
      <c r="E1789" s="30" t="s">
        <v>20</v>
      </c>
      <c r="F1789" s="30"/>
      <c r="G1789" s="30"/>
      <c r="H1789" s="30" t="s">
        <v>385</v>
      </c>
      <c r="I1789" s="31" t="s">
        <v>29</v>
      </c>
    </row>
    <row r="1790" spans="2:9" s="6" customFormat="1" ht="11.25" customHeight="1" x14ac:dyDescent="0.55000000000000004">
      <c r="B1790" s="30" t="s">
        <v>3636</v>
      </c>
      <c r="C1790" s="30" t="s">
        <v>3637</v>
      </c>
      <c r="D1790" s="32">
        <v>78069</v>
      </c>
      <c r="E1790" s="30" t="s">
        <v>15</v>
      </c>
      <c r="F1790" s="30"/>
      <c r="G1790" s="30"/>
      <c r="H1790" s="30" t="s">
        <v>385</v>
      </c>
      <c r="I1790" s="31" t="s">
        <v>29</v>
      </c>
    </row>
    <row r="1791" spans="2:9" s="6" customFormat="1" ht="11.25" customHeight="1" x14ac:dyDescent="0.55000000000000004">
      <c r="B1791" s="30" t="s">
        <v>3638</v>
      </c>
      <c r="C1791" s="30" t="s">
        <v>3639</v>
      </c>
      <c r="D1791" s="32">
        <v>93629</v>
      </c>
      <c r="E1791" s="30" t="s">
        <v>20</v>
      </c>
      <c r="F1791" s="30" t="s">
        <v>3602</v>
      </c>
      <c r="G1791" s="30" t="s">
        <v>155</v>
      </c>
      <c r="H1791" s="30" t="s">
        <v>96</v>
      </c>
      <c r="I1791" s="31">
        <v>80985848.475000009</v>
      </c>
    </row>
    <row r="1792" spans="2:9" s="6" customFormat="1" ht="11.25" customHeight="1" x14ac:dyDescent="0.55000000000000004">
      <c r="B1792" s="30" t="s">
        <v>3640</v>
      </c>
      <c r="C1792" s="30" t="s">
        <v>3641</v>
      </c>
      <c r="D1792" s="32">
        <v>93629</v>
      </c>
      <c r="E1792" s="30" t="s">
        <v>20</v>
      </c>
      <c r="F1792" s="30"/>
      <c r="G1792" s="30"/>
      <c r="H1792" s="30" t="s">
        <v>96</v>
      </c>
      <c r="I1792" s="31" t="s">
        <v>29</v>
      </c>
    </row>
    <row r="1793" spans="2:9" s="6" customFormat="1" ht="11.25" customHeight="1" x14ac:dyDescent="0.55000000000000004">
      <c r="B1793" s="30" t="s">
        <v>3642</v>
      </c>
      <c r="C1793" s="30" t="s">
        <v>3643</v>
      </c>
      <c r="D1793" s="32">
        <v>93629</v>
      </c>
      <c r="E1793" s="30" t="s">
        <v>20</v>
      </c>
      <c r="F1793" s="30"/>
      <c r="G1793" s="30"/>
      <c r="H1793" s="30" t="s">
        <v>96</v>
      </c>
      <c r="I1793" s="31" t="s">
        <v>29</v>
      </c>
    </row>
    <row r="1794" spans="2:9" s="6" customFormat="1" ht="11.25" customHeight="1" x14ac:dyDescent="0.55000000000000004">
      <c r="B1794" s="30" t="s">
        <v>3644</v>
      </c>
      <c r="C1794" s="30" t="s">
        <v>3645</v>
      </c>
      <c r="D1794" s="32">
        <v>53546</v>
      </c>
      <c r="E1794" s="30" t="s">
        <v>15</v>
      </c>
      <c r="F1794" s="30"/>
      <c r="G1794" s="30" t="s">
        <v>16</v>
      </c>
      <c r="H1794" s="30" t="s">
        <v>75</v>
      </c>
      <c r="I1794" s="31" t="s">
        <v>29</v>
      </c>
    </row>
    <row r="1795" spans="2:9" s="6" customFormat="1" ht="11.25" customHeight="1" x14ac:dyDescent="0.55000000000000004">
      <c r="B1795" s="30" t="s">
        <v>3646</v>
      </c>
      <c r="C1795" s="30" t="s">
        <v>3647</v>
      </c>
      <c r="D1795" s="32">
        <v>71390</v>
      </c>
      <c r="E1795" s="30" t="s">
        <v>20</v>
      </c>
      <c r="F1795" s="30" t="s">
        <v>298</v>
      </c>
      <c r="G1795" s="30" t="s">
        <v>155</v>
      </c>
      <c r="H1795" s="30" t="s">
        <v>105</v>
      </c>
      <c r="I1795" s="31">
        <v>188100.65600000002</v>
      </c>
    </row>
    <row r="1796" spans="2:9" s="6" customFormat="1" ht="11.25" customHeight="1" x14ac:dyDescent="0.55000000000000004">
      <c r="B1796" s="30" t="s">
        <v>3648</v>
      </c>
      <c r="C1796" s="30" t="s">
        <v>3649</v>
      </c>
      <c r="D1796" s="32">
        <v>68071</v>
      </c>
      <c r="E1796" s="30" t="s">
        <v>20</v>
      </c>
      <c r="F1796" s="30" t="s">
        <v>298</v>
      </c>
      <c r="G1796" s="30" t="s">
        <v>16</v>
      </c>
      <c r="H1796" s="30" t="s">
        <v>105</v>
      </c>
      <c r="I1796" s="31">
        <v>25275.645</v>
      </c>
    </row>
    <row r="1797" spans="2:9" s="6" customFormat="1" ht="11.25" customHeight="1" x14ac:dyDescent="0.55000000000000004">
      <c r="B1797" s="30" t="s">
        <v>3650</v>
      </c>
      <c r="C1797" s="30" t="s">
        <v>3651</v>
      </c>
      <c r="D1797" s="32">
        <v>80861</v>
      </c>
      <c r="E1797" s="30" t="s">
        <v>15</v>
      </c>
      <c r="F1797" s="30"/>
      <c r="G1797" s="30"/>
      <c r="H1797" s="30" t="s">
        <v>22</v>
      </c>
      <c r="I1797" s="31" t="s">
        <v>29</v>
      </c>
    </row>
    <row r="1798" spans="2:9" s="6" customFormat="1" ht="11.25" customHeight="1" x14ac:dyDescent="0.55000000000000004">
      <c r="B1798" s="30" t="s">
        <v>3652</v>
      </c>
      <c r="C1798" s="30" t="s">
        <v>3653</v>
      </c>
      <c r="D1798" s="32">
        <v>76767</v>
      </c>
      <c r="E1798" s="30" t="s">
        <v>20</v>
      </c>
      <c r="F1798" s="30"/>
      <c r="G1798" s="30" t="s">
        <v>35</v>
      </c>
      <c r="H1798" s="30" t="s">
        <v>66</v>
      </c>
      <c r="I1798" s="31">
        <v>31047.760000000002</v>
      </c>
    </row>
    <row r="1799" spans="2:9" s="6" customFormat="1" ht="11.25" customHeight="1" x14ac:dyDescent="0.55000000000000004">
      <c r="B1799" s="30" t="s">
        <v>3654</v>
      </c>
      <c r="C1799" s="30" t="s">
        <v>3655</v>
      </c>
      <c r="D1799" s="32">
        <v>82376</v>
      </c>
      <c r="E1799" s="30" t="s">
        <v>15</v>
      </c>
      <c r="F1799" s="30" t="s">
        <v>1788</v>
      </c>
      <c r="G1799" s="30" t="s">
        <v>16</v>
      </c>
      <c r="H1799" s="30" t="s">
        <v>113</v>
      </c>
      <c r="I1799" s="31" t="s">
        <v>29</v>
      </c>
    </row>
    <row r="1800" spans="2:9" s="6" customFormat="1" ht="11.25" customHeight="1" x14ac:dyDescent="0.55000000000000004">
      <c r="B1800" s="30" t="s">
        <v>3656</v>
      </c>
      <c r="C1800" s="30" t="s">
        <v>3657</v>
      </c>
      <c r="D1800" s="32">
        <v>80535</v>
      </c>
      <c r="E1800" s="30" t="s">
        <v>15</v>
      </c>
      <c r="F1800" s="30"/>
      <c r="G1800" s="30"/>
      <c r="H1800" s="30" t="s">
        <v>22</v>
      </c>
      <c r="I1800" s="31" t="s">
        <v>29</v>
      </c>
    </row>
    <row r="1801" spans="2:9" s="6" customFormat="1" ht="11.25" customHeight="1" x14ac:dyDescent="0.55000000000000004">
      <c r="B1801" s="30" t="s">
        <v>3658</v>
      </c>
      <c r="C1801" s="30" t="s">
        <v>3659</v>
      </c>
      <c r="D1801" s="32">
        <v>89826</v>
      </c>
      <c r="E1801" s="30" t="s">
        <v>15</v>
      </c>
      <c r="F1801" s="30"/>
      <c r="G1801" s="30"/>
      <c r="H1801" s="30" t="s">
        <v>22</v>
      </c>
      <c r="I1801" s="31" t="s">
        <v>29</v>
      </c>
    </row>
    <row r="1802" spans="2:9" s="6" customFormat="1" ht="11.25" customHeight="1" x14ac:dyDescent="0.55000000000000004">
      <c r="B1802" s="30" t="s">
        <v>3660</v>
      </c>
      <c r="C1802" s="30" t="s">
        <v>3661</v>
      </c>
      <c r="D1802" s="32">
        <v>97128</v>
      </c>
      <c r="E1802" s="30" t="s">
        <v>15</v>
      </c>
      <c r="F1802" s="30" t="s">
        <v>182</v>
      </c>
      <c r="G1802" s="30"/>
      <c r="H1802" s="30" t="s">
        <v>22</v>
      </c>
      <c r="I1802" s="31" t="s">
        <v>29</v>
      </c>
    </row>
    <row r="1803" spans="2:9" s="6" customFormat="1" ht="11.25" customHeight="1" x14ac:dyDescent="0.55000000000000004">
      <c r="B1803" s="30" t="s">
        <v>3662</v>
      </c>
      <c r="C1803" s="30" t="s">
        <v>3663</v>
      </c>
      <c r="D1803" s="32">
        <v>65765</v>
      </c>
      <c r="E1803" s="30" t="s">
        <v>15</v>
      </c>
      <c r="F1803" s="30" t="s">
        <v>182</v>
      </c>
      <c r="G1803" s="30" t="s">
        <v>35</v>
      </c>
      <c r="H1803" s="30" t="s">
        <v>124</v>
      </c>
      <c r="I1803" s="31" t="s">
        <v>29</v>
      </c>
    </row>
    <row r="1804" spans="2:9" s="6" customFormat="1" ht="11.25" customHeight="1" x14ac:dyDescent="0.55000000000000004">
      <c r="B1804" s="30" t="s">
        <v>3664</v>
      </c>
      <c r="C1804" s="30" t="s">
        <v>3665</v>
      </c>
      <c r="D1804" s="32">
        <v>65765</v>
      </c>
      <c r="E1804" s="30" t="s">
        <v>15</v>
      </c>
      <c r="F1804" s="30"/>
      <c r="G1804" s="30"/>
      <c r="H1804" s="30" t="s">
        <v>124</v>
      </c>
      <c r="I1804" s="31" t="s">
        <v>29</v>
      </c>
    </row>
    <row r="1805" spans="2:9" s="6" customFormat="1" ht="11.25" customHeight="1" x14ac:dyDescent="0.55000000000000004">
      <c r="B1805" s="30" t="s">
        <v>3666</v>
      </c>
      <c r="C1805" s="30" t="s">
        <v>3667</v>
      </c>
      <c r="D1805" s="32">
        <v>70211</v>
      </c>
      <c r="E1805" s="30" t="s">
        <v>15</v>
      </c>
      <c r="F1805" s="30" t="s">
        <v>182</v>
      </c>
      <c r="G1805" s="30" t="s">
        <v>35</v>
      </c>
      <c r="H1805" s="30" t="s">
        <v>124</v>
      </c>
      <c r="I1805" s="31" t="s">
        <v>29</v>
      </c>
    </row>
    <row r="1806" spans="2:9" s="6" customFormat="1" ht="11.25" customHeight="1" x14ac:dyDescent="0.55000000000000004">
      <c r="B1806" s="30" t="s">
        <v>3668</v>
      </c>
      <c r="C1806" s="30" t="s">
        <v>3669</v>
      </c>
      <c r="D1806" s="32">
        <v>70211</v>
      </c>
      <c r="E1806" s="30" t="s">
        <v>15</v>
      </c>
      <c r="F1806" s="30"/>
      <c r="G1806" s="30"/>
      <c r="H1806" s="30" t="s">
        <v>124</v>
      </c>
      <c r="I1806" s="31" t="s">
        <v>29</v>
      </c>
    </row>
    <row r="1807" spans="2:9" s="6" customFormat="1" ht="11.25" customHeight="1" x14ac:dyDescent="0.55000000000000004">
      <c r="B1807" s="30" t="s">
        <v>3670</v>
      </c>
      <c r="C1807" s="30" t="s">
        <v>3671</v>
      </c>
      <c r="D1807" s="32">
        <v>87009</v>
      </c>
      <c r="E1807" s="30" t="s">
        <v>15</v>
      </c>
      <c r="F1807" s="30"/>
      <c r="G1807" s="30"/>
      <c r="H1807" s="30" t="s">
        <v>52</v>
      </c>
      <c r="I1807" s="31" t="s">
        <v>29</v>
      </c>
    </row>
    <row r="1808" spans="2:9" s="6" customFormat="1" ht="11.25" customHeight="1" x14ac:dyDescent="0.55000000000000004">
      <c r="B1808" s="30" t="s">
        <v>911</v>
      </c>
      <c r="C1808" s="30" t="s">
        <v>3672</v>
      </c>
      <c r="D1808" s="32" t="s">
        <v>29</v>
      </c>
      <c r="E1808" s="30" t="s">
        <v>20</v>
      </c>
      <c r="F1808" s="30" t="s">
        <v>911</v>
      </c>
      <c r="G1808" s="30" t="s">
        <v>39</v>
      </c>
      <c r="H1808" s="30" t="s">
        <v>113</v>
      </c>
      <c r="I1808" s="31" t="s">
        <v>29</v>
      </c>
    </row>
    <row r="1809" spans="2:9" s="6" customFormat="1" ht="11.25" customHeight="1" x14ac:dyDescent="0.55000000000000004">
      <c r="B1809" s="30" t="s">
        <v>3673</v>
      </c>
      <c r="C1809" s="30" t="s">
        <v>3674</v>
      </c>
      <c r="D1809" s="32">
        <v>82392</v>
      </c>
      <c r="E1809" s="30" t="s">
        <v>20</v>
      </c>
      <c r="F1809" s="30" t="s">
        <v>911</v>
      </c>
      <c r="G1809" s="30" t="s">
        <v>39</v>
      </c>
      <c r="H1809" s="30" t="s">
        <v>113</v>
      </c>
      <c r="I1809" s="31">
        <v>8178.5430000000006</v>
      </c>
    </row>
    <row r="1810" spans="2:9" s="6" customFormat="1" ht="11.25" customHeight="1" x14ac:dyDescent="0.55000000000000004">
      <c r="B1810" s="30" t="s">
        <v>3675</v>
      </c>
      <c r="C1810" s="30" t="s">
        <v>3676</v>
      </c>
      <c r="D1810" s="32">
        <v>74920</v>
      </c>
      <c r="E1810" s="30" t="s">
        <v>20</v>
      </c>
      <c r="F1810" s="30" t="s">
        <v>2868</v>
      </c>
      <c r="G1810" s="30" t="s">
        <v>16</v>
      </c>
      <c r="H1810" s="30" t="s">
        <v>582</v>
      </c>
      <c r="I1810" s="31">
        <v>6172.8060000000005</v>
      </c>
    </row>
    <row r="1811" spans="2:9" s="6" customFormat="1" ht="11.25" customHeight="1" x14ac:dyDescent="0.55000000000000004">
      <c r="B1811" s="30" t="s">
        <v>2868</v>
      </c>
      <c r="C1811" s="30" t="s">
        <v>3677</v>
      </c>
      <c r="D1811" s="32" t="s">
        <v>29</v>
      </c>
      <c r="E1811" s="30" t="s">
        <v>20</v>
      </c>
      <c r="F1811" s="30" t="s">
        <v>2868</v>
      </c>
      <c r="G1811" s="30" t="s">
        <v>39</v>
      </c>
      <c r="H1811" s="30" t="s">
        <v>582</v>
      </c>
      <c r="I1811" s="31">
        <v>617755.97600000002</v>
      </c>
    </row>
    <row r="1812" spans="2:9" s="6" customFormat="1" ht="11.25" customHeight="1" x14ac:dyDescent="0.55000000000000004">
      <c r="B1812" s="30" t="s">
        <v>1142</v>
      </c>
      <c r="C1812" s="30" t="s">
        <v>3678</v>
      </c>
      <c r="D1812" s="32" t="s">
        <v>29</v>
      </c>
      <c r="E1812" s="30" t="s">
        <v>20</v>
      </c>
      <c r="F1812" s="30" t="s">
        <v>1142</v>
      </c>
      <c r="G1812" s="30" t="s">
        <v>21</v>
      </c>
      <c r="H1812" s="30" t="s">
        <v>2498</v>
      </c>
      <c r="I1812" s="31">
        <v>169243.54</v>
      </c>
    </row>
    <row r="1813" spans="2:9" s="6" customFormat="1" ht="11.25" customHeight="1" x14ac:dyDescent="0.55000000000000004">
      <c r="B1813" s="30" t="s">
        <v>3679</v>
      </c>
      <c r="C1813" s="30" t="s">
        <v>3680</v>
      </c>
      <c r="D1813" s="32">
        <v>89004</v>
      </c>
      <c r="E1813" s="30" t="s">
        <v>20</v>
      </c>
      <c r="F1813" s="30" t="s">
        <v>660</v>
      </c>
      <c r="G1813" s="30" t="s">
        <v>155</v>
      </c>
      <c r="H1813" s="30" t="s">
        <v>500</v>
      </c>
      <c r="I1813" s="31">
        <v>2421830.5</v>
      </c>
    </row>
    <row r="1814" spans="2:9" s="6" customFormat="1" ht="11.25" customHeight="1" x14ac:dyDescent="0.55000000000000004">
      <c r="B1814" s="30" t="s">
        <v>3681</v>
      </c>
      <c r="C1814" s="30" t="s">
        <v>3682</v>
      </c>
      <c r="D1814" s="32">
        <v>76805</v>
      </c>
      <c r="E1814" s="30" t="s">
        <v>20</v>
      </c>
      <c r="F1814" s="30" t="s">
        <v>3683</v>
      </c>
      <c r="G1814" s="30" t="s">
        <v>35</v>
      </c>
      <c r="H1814" s="30" t="s">
        <v>66</v>
      </c>
      <c r="I1814" s="31" t="s">
        <v>29</v>
      </c>
    </row>
    <row r="1815" spans="2:9" s="6" customFormat="1" ht="11.25" customHeight="1" x14ac:dyDescent="0.55000000000000004">
      <c r="B1815" s="30" t="s">
        <v>3683</v>
      </c>
      <c r="C1815" s="30" t="s">
        <v>3684</v>
      </c>
      <c r="D1815" s="32" t="s">
        <v>29</v>
      </c>
      <c r="E1815" s="30" t="s">
        <v>20</v>
      </c>
      <c r="F1815" s="30" t="s">
        <v>3683</v>
      </c>
      <c r="G1815" s="30" t="s">
        <v>35</v>
      </c>
      <c r="H1815" s="30" t="s">
        <v>66</v>
      </c>
      <c r="I1815" s="31" t="s">
        <v>29</v>
      </c>
    </row>
    <row r="1816" spans="2:9" s="6" customFormat="1" ht="11.25" customHeight="1" x14ac:dyDescent="0.55000000000000004">
      <c r="B1816" s="30" t="s">
        <v>3685</v>
      </c>
      <c r="C1816" s="30" t="s">
        <v>3686</v>
      </c>
      <c r="D1816" s="32">
        <v>68357</v>
      </c>
      <c r="E1816" s="30" t="s">
        <v>20</v>
      </c>
      <c r="F1816" s="30" t="s">
        <v>2371</v>
      </c>
      <c r="G1816" s="30" t="s">
        <v>16</v>
      </c>
      <c r="H1816" s="30" t="s">
        <v>500</v>
      </c>
      <c r="I1816" s="31">
        <v>22284.521000000001</v>
      </c>
    </row>
    <row r="1817" spans="2:9" s="6" customFormat="1" ht="11.25" customHeight="1" x14ac:dyDescent="0.55000000000000004">
      <c r="B1817" s="30" t="s">
        <v>3687</v>
      </c>
      <c r="C1817" s="30" t="s">
        <v>3688</v>
      </c>
      <c r="D1817" s="32">
        <v>60022</v>
      </c>
      <c r="E1817" s="30" t="s">
        <v>15</v>
      </c>
      <c r="F1817" s="30" t="s">
        <v>2371</v>
      </c>
      <c r="G1817" s="30" t="s">
        <v>16</v>
      </c>
      <c r="H1817" s="30" t="s">
        <v>500</v>
      </c>
      <c r="I1817" s="31" t="s">
        <v>29</v>
      </c>
    </row>
    <row r="1818" spans="2:9" s="6" customFormat="1" ht="11.25" customHeight="1" x14ac:dyDescent="0.55000000000000004">
      <c r="B1818" s="30" t="s">
        <v>3689</v>
      </c>
      <c r="C1818" s="30" t="s">
        <v>3690</v>
      </c>
      <c r="D1818" s="32">
        <v>69400</v>
      </c>
      <c r="E1818" s="30" t="s">
        <v>20</v>
      </c>
      <c r="F1818" s="30" t="s">
        <v>3683</v>
      </c>
      <c r="G1818" s="30" t="s">
        <v>16</v>
      </c>
      <c r="H1818" s="30" t="s">
        <v>66</v>
      </c>
      <c r="I1818" s="31" t="s">
        <v>29</v>
      </c>
    </row>
    <row r="1819" spans="2:9" s="6" customFormat="1" ht="11.25" customHeight="1" x14ac:dyDescent="0.55000000000000004">
      <c r="B1819" s="30" t="s">
        <v>1699</v>
      </c>
      <c r="C1819" s="30" t="s">
        <v>3691</v>
      </c>
      <c r="D1819" s="32" t="s">
        <v>29</v>
      </c>
      <c r="E1819" s="30" t="s">
        <v>20</v>
      </c>
      <c r="F1819" s="30" t="s">
        <v>1699</v>
      </c>
      <c r="G1819" s="30" t="s">
        <v>88</v>
      </c>
      <c r="H1819" s="30" t="s">
        <v>75</v>
      </c>
      <c r="I1819" s="31">
        <v>17319569.116999999</v>
      </c>
    </row>
    <row r="1820" spans="2:9" s="6" customFormat="1" ht="11.25" customHeight="1" x14ac:dyDescent="0.55000000000000004">
      <c r="B1820" s="30" t="s">
        <v>3692</v>
      </c>
      <c r="C1820" s="30" t="s">
        <v>3693</v>
      </c>
      <c r="D1820" s="32">
        <v>68381</v>
      </c>
      <c r="E1820" s="30" t="s">
        <v>20</v>
      </c>
      <c r="F1820" s="30" t="s">
        <v>1699</v>
      </c>
      <c r="G1820" s="30" t="s">
        <v>155</v>
      </c>
      <c r="H1820" s="30" t="s">
        <v>75</v>
      </c>
      <c r="I1820" s="31">
        <v>15902859.022</v>
      </c>
    </row>
    <row r="1821" spans="2:9" s="6" customFormat="1" ht="11.25" customHeight="1" x14ac:dyDescent="0.55000000000000004">
      <c r="B1821" s="30" t="s">
        <v>3694</v>
      </c>
      <c r="C1821" s="30" t="s">
        <v>3695</v>
      </c>
      <c r="D1821" s="32">
        <v>68381</v>
      </c>
      <c r="E1821" s="30" t="s">
        <v>20</v>
      </c>
      <c r="F1821" s="30"/>
      <c r="G1821" s="30"/>
      <c r="H1821" s="30" t="s">
        <v>75</v>
      </c>
      <c r="I1821" s="31" t="s">
        <v>29</v>
      </c>
    </row>
    <row r="1822" spans="2:9" s="6" customFormat="1" ht="11.25" customHeight="1" x14ac:dyDescent="0.55000000000000004">
      <c r="B1822" s="30" t="s">
        <v>3696</v>
      </c>
      <c r="C1822" s="30" t="s">
        <v>3697</v>
      </c>
      <c r="D1822" s="32">
        <v>68381</v>
      </c>
      <c r="E1822" s="30" t="s">
        <v>20</v>
      </c>
      <c r="F1822" s="30"/>
      <c r="G1822" s="30"/>
      <c r="H1822" s="30" t="s">
        <v>75</v>
      </c>
      <c r="I1822" s="31" t="s">
        <v>29</v>
      </c>
    </row>
    <row r="1823" spans="2:9" s="6" customFormat="1" ht="11.25" customHeight="1" x14ac:dyDescent="0.55000000000000004">
      <c r="B1823" s="30" t="s">
        <v>3698</v>
      </c>
      <c r="C1823" s="30" t="s">
        <v>3699</v>
      </c>
      <c r="D1823" s="32">
        <v>66575</v>
      </c>
      <c r="E1823" s="30" t="s">
        <v>20</v>
      </c>
      <c r="F1823" s="30" t="s">
        <v>1699</v>
      </c>
      <c r="G1823" s="30" t="s">
        <v>16</v>
      </c>
      <c r="H1823" s="30" t="s">
        <v>75</v>
      </c>
      <c r="I1823" s="31">
        <v>1448974.942</v>
      </c>
    </row>
    <row r="1824" spans="2:9" s="6" customFormat="1" ht="11.25" customHeight="1" x14ac:dyDescent="0.55000000000000004">
      <c r="B1824" s="30" t="s">
        <v>3700</v>
      </c>
      <c r="C1824" s="30" t="s">
        <v>3701</v>
      </c>
      <c r="D1824" s="32">
        <v>67105</v>
      </c>
      <c r="E1824" s="30" t="s">
        <v>20</v>
      </c>
      <c r="F1824" s="30" t="s">
        <v>1124</v>
      </c>
      <c r="G1824" s="30" t="s">
        <v>21</v>
      </c>
      <c r="H1824" s="30" t="s">
        <v>108</v>
      </c>
      <c r="I1824" s="31">
        <v>19707318.577</v>
      </c>
    </row>
    <row r="1825" spans="2:9" s="6" customFormat="1" ht="11.25" customHeight="1" x14ac:dyDescent="0.55000000000000004">
      <c r="B1825" s="30" t="s">
        <v>3702</v>
      </c>
      <c r="C1825" s="30" t="s">
        <v>3703</v>
      </c>
      <c r="D1825" s="32">
        <v>67105</v>
      </c>
      <c r="E1825" s="30" t="s">
        <v>20</v>
      </c>
      <c r="F1825" s="30"/>
      <c r="G1825" s="30"/>
      <c r="H1825" s="30" t="s">
        <v>108</v>
      </c>
      <c r="I1825" s="31" t="s">
        <v>29</v>
      </c>
    </row>
    <row r="1826" spans="2:9" s="6" customFormat="1" ht="11.25" customHeight="1" x14ac:dyDescent="0.55000000000000004">
      <c r="B1826" s="30" t="s">
        <v>3704</v>
      </c>
      <c r="C1826" s="30" t="s">
        <v>3705</v>
      </c>
      <c r="D1826" s="32">
        <v>67105</v>
      </c>
      <c r="E1826" s="30" t="s">
        <v>20</v>
      </c>
      <c r="F1826" s="30"/>
      <c r="G1826" s="30"/>
      <c r="H1826" s="30" t="s">
        <v>108</v>
      </c>
      <c r="I1826" s="31" t="s">
        <v>29</v>
      </c>
    </row>
    <row r="1827" spans="2:9" s="6" customFormat="1" ht="11.25" customHeight="1" x14ac:dyDescent="0.55000000000000004">
      <c r="B1827" s="30" t="s">
        <v>3706</v>
      </c>
      <c r="C1827" s="30" t="s">
        <v>3707</v>
      </c>
      <c r="D1827" s="32">
        <v>61360</v>
      </c>
      <c r="E1827" s="30" t="s">
        <v>20</v>
      </c>
      <c r="F1827" s="30" t="s">
        <v>1124</v>
      </c>
      <c r="G1827" s="30" t="s">
        <v>194</v>
      </c>
      <c r="H1827" s="30" t="s">
        <v>108</v>
      </c>
      <c r="I1827" s="31">
        <v>2848634.2630000003</v>
      </c>
    </row>
    <row r="1828" spans="2:9" s="6" customFormat="1" ht="11.25" customHeight="1" x14ac:dyDescent="0.55000000000000004">
      <c r="B1828" s="30" t="s">
        <v>3708</v>
      </c>
      <c r="C1828" s="30" t="s">
        <v>3709</v>
      </c>
      <c r="D1828" s="32">
        <v>61360</v>
      </c>
      <c r="E1828" s="30" t="s">
        <v>20</v>
      </c>
      <c r="F1828" s="30"/>
      <c r="G1828" s="30"/>
      <c r="H1828" s="30" t="s">
        <v>108</v>
      </c>
      <c r="I1828" s="31" t="s">
        <v>29</v>
      </c>
    </row>
    <row r="1829" spans="2:9" s="6" customFormat="1" ht="11.25" customHeight="1" x14ac:dyDescent="0.55000000000000004">
      <c r="B1829" s="30" t="s">
        <v>3710</v>
      </c>
      <c r="C1829" s="30" t="s">
        <v>3711</v>
      </c>
      <c r="D1829" s="32">
        <v>61360</v>
      </c>
      <c r="E1829" s="30" t="s">
        <v>20</v>
      </c>
      <c r="F1829" s="30"/>
      <c r="G1829" s="30"/>
      <c r="H1829" s="30" t="s">
        <v>108</v>
      </c>
      <c r="I1829" s="31" t="s">
        <v>29</v>
      </c>
    </row>
    <row r="1830" spans="2:9" s="6" customFormat="1" ht="11.25" customHeight="1" x14ac:dyDescent="0.55000000000000004">
      <c r="B1830" s="30" t="s">
        <v>3712</v>
      </c>
      <c r="C1830" s="30" t="s">
        <v>3713</v>
      </c>
      <c r="D1830" s="32">
        <v>61360</v>
      </c>
      <c r="E1830" s="30" t="s">
        <v>20</v>
      </c>
      <c r="F1830" s="30"/>
      <c r="G1830" s="30"/>
      <c r="H1830" s="30" t="s">
        <v>108</v>
      </c>
      <c r="I1830" s="31" t="s">
        <v>29</v>
      </c>
    </row>
    <row r="1831" spans="2:9" s="6" customFormat="1" ht="11.25" customHeight="1" x14ac:dyDescent="0.55000000000000004">
      <c r="B1831" s="30" t="s">
        <v>3714</v>
      </c>
      <c r="C1831" s="30" t="s">
        <v>3715</v>
      </c>
      <c r="D1831" s="32">
        <v>70084</v>
      </c>
      <c r="E1831" s="30" t="s">
        <v>15</v>
      </c>
      <c r="F1831" s="30" t="s">
        <v>1124</v>
      </c>
      <c r="G1831" s="30"/>
      <c r="H1831" s="30" t="s">
        <v>156</v>
      </c>
      <c r="I1831" s="31" t="s">
        <v>29</v>
      </c>
    </row>
    <row r="1832" spans="2:9" s="6" customFormat="1" ht="11.25" customHeight="1" x14ac:dyDescent="0.55000000000000004">
      <c r="B1832" s="30" t="s">
        <v>3716</v>
      </c>
      <c r="C1832" s="30" t="s">
        <v>3717</v>
      </c>
      <c r="D1832" s="32">
        <v>70084</v>
      </c>
      <c r="E1832" s="30" t="s">
        <v>15</v>
      </c>
      <c r="F1832" s="30"/>
      <c r="G1832" s="30"/>
      <c r="H1832" s="30" t="s">
        <v>156</v>
      </c>
      <c r="I1832" s="31" t="s">
        <v>29</v>
      </c>
    </row>
    <row r="1833" spans="2:9" s="6" customFormat="1" ht="11.25" customHeight="1" x14ac:dyDescent="0.55000000000000004">
      <c r="B1833" s="30" t="s">
        <v>3718</v>
      </c>
      <c r="C1833" s="30" t="s">
        <v>3719</v>
      </c>
      <c r="D1833" s="32">
        <v>88170</v>
      </c>
      <c r="E1833" s="30" t="s">
        <v>15</v>
      </c>
      <c r="F1833" s="30"/>
      <c r="G1833" s="30"/>
      <c r="H1833" s="30" t="s">
        <v>48</v>
      </c>
      <c r="I1833" s="31" t="s">
        <v>29</v>
      </c>
    </row>
    <row r="1834" spans="2:9" s="6" customFormat="1" ht="11.25" customHeight="1" x14ac:dyDescent="0.55000000000000004">
      <c r="B1834" s="30" t="s">
        <v>3720</v>
      </c>
      <c r="C1834" s="30" t="s">
        <v>3721</v>
      </c>
      <c r="D1834" s="32" t="s">
        <v>29</v>
      </c>
      <c r="E1834" s="30" t="s">
        <v>20</v>
      </c>
      <c r="F1834" s="30" t="s">
        <v>3720</v>
      </c>
      <c r="G1834" s="30" t="s">
        <v>21</v>
      </c>
      <c r="H1834" s="30" t="s">
        <v>30</v>
      </c>
      <c r="I1834" s="31">
        <v>104841.38500000001</v>
      </c>
    </row>
    <row r="1835" spans="2:9" s="6" customFormat="1" ht="11.25" customHeight="1" x14ac:dyDescent="0.55000000000000004">
      <c r="B1835" s="30" t="s">
        <v>3722</v>
      </c>
      <c r="C1835" s="30" t="s">
        <v>3723</v>
      </c>
      <c r="D1835" s="32">
        <v>61700</v>
      </c>
      <c r="E1835" s="30" t="s">
        <v>20</v>
      </c>
      <c r="F1835" s="30" t="s">
        <v>3720</v>
      </c>
      <c r="G1835" s="30" t="s">
        <v>39</v>
      </c>
      <c r="H1835" s="30" t="s">
        <v>30</v>
      </c>
      <c r="I1835" s="31">
        <v>92618.017999999996</v>
      </c>
    </row>
    <row r="1836" spans="2:9" s="6" customFormat="1" ht="11.25" customHeight="1" x14ac:dyDescent="0.55000000000000004">
      <c r="B1836" s="30" t="s">
        <v>3724</v>
      </c>
      <c r="C1836" s="30" t="s">
        <v>3725</v>
      </c>
      <c r="D1836" s="32">
        <v>15638</v>
      </c>
      <c r="E1836" s="30" t="s">
        <v>20</v>
      </c>
      <c r="F1836" s="30" t="s">
        <v>3720</v>
      </c>
      <c r="G1836" s="30" t="s">
        <v>21</v>
      </c>
      <c r="H1836" s="30" t="s">
        <v>30</v>
      </c>
      <c r="I1836" s="31">
        <v>12223.367</v>
      </c>
    </row>
    <row r="1837" spans="2:9" s="6" customFormat="1" ht="11.25" customHeight="1" x14ac:dyDescent="0.55000000000000004">
      <c r="B1837" s="30" t="s">
        <v>3726</v>
      </c>
      <c r="C1837" s="30" t="s">
        <v>3727</v>
      </c>
      <c r="D1837" s="32">
        <v>13696</v>
      </c>
      <c r="E1837" s="30" t="s">
        <v>15</v>
      </c>
      <c r="F1837" s="30"/>
      <c r="G1837" s="30" t="s">
        <v>35</v>
      </c>
      <c r="H1837" s="30" t="s">
        <v>146</v>
      </c>
      <c r="I1837" s="31" t="s">
        <v>29</v>
      </c>
    </row>
    <row r="1838" spans="2:9" s="6" customFormat="1" ht="11.25" customHeight="1" x14ac:dyDescent="0.55000000000000004">
      <c r="B1838" s="30" t="s">
        <v>3728</v>
      </c>
      <c r="C1838" s="30" t="s">
        <v>3729</v>
      </c>
      <c r="D1838" s="32">
        <v>68462</v>
      </c>
      <c r="E1838" s="30" t="s">
        <v>20</v>
      </c>
      <c r="F1838" s="30" t="s">
        <v>2371</v>
      </c>
      <c r="G1838" s="30" t="s">
        <v>39</v>
      </c>
      <c r="H1838" s="30" t="s">
        <v>45</v>
      </c>
      <c r="I1838" s="31">
        <v>149935.253</v>
      </c>
    </row>
    <row r="1839" spans="2:9" s="6" customFormat="1" ht="11.25" customHeight="1" x14ac:dyDescent="0.55000000000000004">
      <c r="B1839" s="30" t="s">
        <v>3730</v>
      </c>
      <c r="C1839" s="30" t="s">
        <v>3731</v>
      </c>
      <c r="D1839" s="32">
        <v>66807</v>
      </c>
      <c r="E1839" s="30" t="s">
        <v>15</v>
      </c>
      <c r="F1839" s="30"/>
      <c r="G1839" s="30"/>
      <c r="H1839" s="30" t="s">
        <v>22</v>
      </c>
      <c r="I1839" s="31" t="s">
        <v>29</v>
      </c>
    </row>
    <row r="1840" spans="2:9" s="6" customFormat="1" ht="11.25" customHeight="1" x14ac:dyDescent="0.55000000000000004">
      <c r="B1840" s="30" t="s">
        <v>3732</v>
      </c>
      <c r="C1840" s="30" t="s">
        <v>3733</v>
      </c>
      <c r="D1840" s="32">
        <v>61506</v>
      </c>
      <c r="E1840" s="30" t="s">
        <v>20</v>
      </c>
      <c r="F1840" s="30" t="s">
        <v>709</v>
      </c>
      <c r="G1840" s="30" t="s">
        <v>16</v>
      </c>
      <c r="H1840" s="30" t="s">
        <v>22</v>
      </c>
      <c r="I1840" s="31">
        <v>6906.5150000000003</v>
      </c>
    </row>
    <row r="1841" spans="2:9" s="6" customFormat="1" ht="11.25" customHeight="1" x14ac:dyDescent="0.55000000000000004">
      <c r="B1841" s="30" t="s">
        <v>3734</v>
      </c>
      <c r="C1841" s="30" t="s">
        <v>3735</v>
      </c>
      <c r="D1841" s="32">
        <v>82708</v>
      </c>
      <c r="E1841" s="30" t="s">
        <v>15</v>
      </c>
      <c r="F1841" s="30"/>
      <c r="G1841" s="30"/>
      <c r="H1841" s="30" t="s">
        <v>105</v>
      </c>
      <c r="I1841" s="31" t="s">
        <v>29</v>
      </c>
    </row>
    <row r="1842" spans="2:9" s="6" customFormat="1" ht="11.25" customHeight="1" x14ac:dyDescent="0.55000000000000004">
      <c r="B1842" s="30" t="s">
        <v>3736</v>
      </c>
      <c r="C1842" s="30" t="s">
        <v>3737</v>
      </c>
      <c r="D1842" s="32">
        <v>92673</v>
      </c>
      <c r="E1842" s="30" t="s">
        <v>15</v>
      </c>
      <c r="F1842" s="30" t="s">
        <v>3738</v>
      </c>
      <c r="G1842" s="30" t="s">
        <v>16</v>
      </c>
      <c r="H1842" s="30"/>
      <c r="I1842" s="31" t="s">
        <v>29</v>
      </c>
    </row>
    <row r="1843" spans="2:9" s="6" customFormat="1" ht="11.25" customHeight="1" x14ac:dyDescent="0.55000000000000004">
      <c r="B1843" s="30" t="s">
        <v>660</v>
      </c>
      <c r="C1843" s="30" t="s">
        <v>3739</v>
      </c>
      <c r="D1843" s="32" t="s">
        <v>29</v>
      </c>
      <c r="E1843" s="30" t="s">
        <v>20</v>
      </c>
      <c r="F1843" s="30" t="s">
        <v>660</v>
      </c>
      <c r="G1843" s="30" t="s">
        <v>35</v>
      </c>
      <c r="H1843" s="30" t="s">
        <v>500</v>
      </c>
      <c r="I1843" s="31">
        <v>45026998.094000004</v>
      </c>
    </row>
    <row r="1844" spans="2:9" s="6" customFormat="1" ht="11.25" customHeight="1" x14ac:dyDescent="0.55000000000000004">
      <c r="B1844" s="30" t="s">
        <v>3740</v>
      </c>
      <c r="C1844" s="30" t="s">
        <v>3741</v>
      </c>
      <c r="D1844" s="32">
        <v>93572</v>
      </c>
      <c r="E1844" s="30" t="s">
        <v>20</v>
      </c>
      <c r="F1844" s="30" t="s">
        <v>660</v>
      </c>
      <c r="G1844" s="30" t="s">
        <v>35</v>
      </c>
      <c r="H1844" s="30" t="s">
        <v>500</v>
      </c>
      <c r="I1844" s="31">
        <v>41587905.888999999</v>
      </c>
    </row>
    <row r="1845" spans="2:9" s="6" customFormat="1" ht="11.25" customHeight="1" x14ac:dyDescent="0.55000000000000004">
      <c r="B1845" s="30" t="s">
        <v>3742</v>
      </c>
      <c r="C1845" s="30" t="s">
        <v>3743</v>
      </c>
      <c r="D1845" s="32">
        <v>93572</v>
      </c>
      <c r="E1845" s="30" t="s">
        <v>20</v>
      </c>
      <c r="F1845" s="30"/>
      <c r="G1845" s="30"/>
      <c r="H1845" s="30" t="s">
        <v>500</v>
      </c>
      <c r="I1845" s="31" t="s">
        <v>29</v>
      </c>
    </row>
    <row r="1846" spans="2:9" s="6" customFormat="1" ht="11.25" customHeight="1" x14ac:dyDescent="0.55000000000000004">
      <c r="B1846" s="30" t="s">
        <v>3744</v>
      </c>
      <c r="C1846" s="30" t="s">
        <v>3745</v>
      </c>
      <c r="D1846" s="32">
        <v>88865</v>
      </c>
      <c r="E1846" s="30" t="s">
        <v>15</v>
      </c>
      <c r="F1846" s="30"/>
      <c r="G1846" s="30"/>
      <c r="H1846" s="30" t="s">
        <v>429</v>
      </c>
      <c r="I1846" s="31" t="s">
        <v>29</v>
      </c>
    </row>
    <row r="1847" spans="2:9" s="6" customFormat="1" ht="11.25" customHeight="1" x14ac:dyDescent="0.55000000000000004">
      <c r="B1847" s="30" t="s">
        <v>3746</v>
      </c>
      <c r="C1847" s="30" t="s">
        <v>3747</v>
      </c>
      <c r="D1847" s="32">
        <v>78085</v>
      </c>
      <c r="E1847" s="30" t="s">
        <v>20</v>
      </c>
      <c r="F1847" s="30"/>
      <c r="G1847" s="30" t="s">
        <v>35</v>
      </c>
      <c r="H1847" s="30" t="s">
        <v>66</v>
      </c>
      <c r="I1847" s="31" t="s">
        <v>29</v>
      </c>
    </row>
    <row r="1848" spans="2:9" s="6" customFormat="1" ht="11.25" customHeight="1" x14ac:dyDescent="0.55000000000000004">
      <c r="B1848" s="30" t="s">
        <v>3748</v>
      </c>
      <c r="C1848" s="30" t="s">
        <v>3749</v>
      </c>
      <c r="D1848" s="32">
        <v>77640</v>
      </c>
      <c r="E1848" s="30" t="s">
        <v>15</v>
      </c>
      <c r="F1848" s="30"/>
      <c r="G1848" s="30"/>
      <c r="H1848" s="30" t="s">
        <v>22</v>
      </c>
      <c r="I1848" s="31" t="s">
        <v>29</v>
      </c>
    </row>
    <row r="1849" spans="2:9" s="6" customFormat="1" ht="11.25" customHeight="1" x14ac:dyDescent="0.55000000000000004">
      <c r="B1849" s="30" t="s">
        <v>3750</v>
      </c>
      <c r="C1849" s="30" t="s">
        <v>3751</v>
      </c>
      <c r="D1849" s="32">
        <v>90107</v>
      </c>
      <c r="E1849" s="30" t="s">
        <v>15</v>
      </c>
      <c r="F1849" s="30"/>
      <c r="G1849" s="30"/>
      <c r="H1849" s="30" t="s">
        <v>92</v>
      </c>
      <c r="I1849" s="31" t="s">
        <v>29</v>
      </c>
    </row>
    <row r="1850" spans="2:9" s="6" customFormat="1" ht="11.25" customHeight="1" x14ac:dyDescent="0.55000000000000004">
      <c r="B1850" s="30" t="s">
        <v>3752</v>
      </c>
      <c r="C1850" s="30" t="s">
        <v>3753</v>
      </c>
      <c r="D1850" s="32">
        <v>83640</v>
      </c>
      <c r="E1850" s="30" t="s">
        <v>15</v>
      </c>
      <c r="F1850" s="30" t="s">
        <v>568</v>
      </c>
      <c r="G1850" s="30" t="s">
        <v>16</v>
      </c>
      <c r="H1850" s="30" t="s">
        <v>500</v>
      </c>
      <c r="I1850" s="31" t="s">
        <v>29</v>
      </c>
    </row>
    <row r="1851" spans="2:9" s="6" customFormat="1" ht="11.25" customHeight="1" x14ac:dyDescent="0.55000000000000004">
      <c r="B1851" s="30" t="s">
        <v>3754</v>
      </c>
      <c r="C1851" s="30" t="s">
        <v>3755</v>
      </c>
      <c r="D1851" s="32">
        <v>13215</v>
      </c>
      <c r="E1851" s="30" t="s">
        <v>15</v>
      </c>
      <c r="F1851" s="30"/>
      <c r="G1851" s="30" t="s">
        <v>35</v>
      </c>
      <c r="H1851" s="30" t="s">
        <v>655</v>
      </c>
      <c r="I1851" s="31" t="s">
        <v>29</v>
      </c>
    </row>
    <row r="1852" spans="2:9" s="6" customFormat="1" ht="11.25" customHeight="1" x14ac:dyDescent="0.55000000000000004">
      <c r="B1852" s="30" t="s">
        <v>3756</v>
      </c>
      <c r="C1852" s="30" t="s">
        <v>3757</v>
      </c>
      <c r="D1852" s="32">
        <v>13216</v>
      </c>
      <c r="E1852" s="30" t="s">
        <v>15</v>
      </c>
      <c r="F1852" s="30"/>
      <c r="G1852" s="30" t="s">
        <v>35</v>
      </c>
      <c r="H1852" s="30" t="s">
        <v>655</v>
      </c>
      <c r="I1852" s="31" t="s">
        <v>29</v>
      </c>
    </row>
    <row r="1853" spans="2:9" s="6" customFormat="1" ht="11.25" customHeight="1" x14ac:dyDescent="0.55000000000000004">
      <c r="B1853" s="30" t="s">
        <v>3758</v>
      </c>
      <c r="C1853" s="30" t="s">
        <v>3759</v>
      </c>
      <c r="D1853" s="32">
        <v>13217</v>
      </c>
      <c r="E1853" s="30" t="s">
        <v>15</v>
      </c>
      <c r="F1853" s="30" t="s">
        <v>451</v>
      </c>
      <c r="G1853" s="30" t="s">
        <v>35</v>
      </c>
      <c r="H1853" s="30" t="s">
        <v>655</v>
      </c>
      <c r="I1853" s="31" t="s">
        <v>29</v>
      </c>
    </row>
    <row r="1854" spans="2:9" s="6" customFormat="1" ht="11.25" customHeight="1" x14ac:dyDescent="0.55000000000000004">
      <c r="B1854" s="30" t="s">
        <v>3760</v>
      </c>
      <c r="C1854" s="30" t="s">
        <v>3761</v>
      </c>
      <c r="D1854" s="32">
        <v>13219</v>
      </c>
      <c r="E1854" s="30" t="s">
        <v>20</v>
      </c>
      <c r="F1854" s="30" t="s">
        <v>451</v>
      </c>
      <c r="G1854" s="30" t="s">
        <v>16</v>
      </c>
      <c r="H1854" s="30" t="s">
        <v>655</v>
      </c>
      <c r="I1854" s="31">
        <v>514667.43700000003</v>
      </c>
    </row>
    <row r="1855" spans="2:9" s="6" customFormat="1" ht="11.25" customHeight="1" x14ac:dyDescent="0.55000000000000004">
      <c r="B1855" s="30" t="s">
        <v>3762</v>
      </c>
      <c r="C1855" s="30" t="s">
        <v>3763</v>
      </c>
      <c r="D1855" s="32">
        <v>82025</v>
      </c>
      <c r="E1855" s="30" t="s">
        <v>15</v>
      </c>
      <c r="F1855" s="30"/>
      <c r="G1855" s="30"/>
      <c r="H1855" s="30" t="s">
        <v>48</v>
      </c>
      <c r="I1855" s="31" t="s">
        <v>29</v>
      </c>
    </row>
    <row r="1856" spans="2:9" s="6" customFormat="1" ht="11.25" customHeight="1" x14ac:dyDescent="0.55000000000000004">
      <c r="B1856" s="30" t="s">
        <v>221</v>
      </c>
      <c r="C1856" s="30" t="s">
        <v>3764</v>
      </c>
      <c r="D1856" s="32" t="s">
        <v>29</v>
      </c>
      <c r="E1856" s="30" t="s">
        <v>20</v>
      </c>
      <c r="F1856" s="30" t="s">
        <v>221</v>
      </c>
      <c r="G1856" s="30" t="s">
        <v>155</v>
      </c>
      <c r="H1856" s="30" t="s">
        <v>156</v>
      </c>
      <c r="I1856" s="31">
        <v>113489438.52500001</v>
      </c>
    </row>
    <row r="1857" spans="2:9" s="6" customFormat="1" ht="11.25" customHeight="1" x14ac:dyDescent="0.55000000000000004">
      <c r="B1857" s="30" t="s">
        <v>3765</v>
      </c>
      <c r="C1857" s="30" t="s">
        <v>3766</v>
      </c>
      <c r="D1857" s="32" t="s">
        <v>29</v>
      </c>
      <c r="E1857" s="30" t="s">
        <v>20</v>
      </c>
      <c r="F1857" s="30"/>
      <c r="G1857" s="30"/>
      <c r="H1857" s="30" t="s">
        <v>156</v>
      </c>
      <c r="I1857" s="31" t="s">
        <v>29</v>
      </c>
    </row>
    <row r="1858" spans="2:9" s="6" customFormat="1" ht="11.25" customHeight="1" x14ac:dyDescent="0.55000000000000004">
      <c r="B1858" s="30" t="s">
        <v>3767</v>
      </c>
      <c r="C1858" s="30" t="s">
        <v>3768</v>
      </c>
      <c r="D1858" s="32">
        <v>80594</v>
      </c>
      <c r="E1858" s="30" t="s">
        <v>20</v>
      </c>
      <c r="F1858" s="30" t="s">
        <v>221</v>
      </c>
      <c r="G1858" s="30" t="s">
        <v>155</v>
      </c>
      <c r="H1858" s="30" t="s">
        <v>156</v>
      </c>
      <c r="I1858" s="31">
        <v>7111973.7520000003</v>
      </c>
    </row>
    <row r="1859" spans="2:9" s="6" customFormat="1" ht="11.25" customHeight="1" x14ac:dyDescent="0.55000000000000004">
      <c r="B1859" s="30" t="s">
        <v>3769</v>
      </c>
      <c r="C1859" s="30" t="s">
        <v>3770</v>
      </c>
      <c r="D1859" s="32">
        <v>80594</v>
      </c>
      <c r="E1859" s="30" t="s">
        <v>20</v>
      </c>
      <c r="F1859" s="30"/>
      <c r="G1859" s="30"/>
      <c r="H1859" s="30" t="s">
        <v>156</v>
      </c>
      <c r="I1859" s="31" t="s">
        <v>29</v>
      </c>
    </row>
    <row r="1860" spans="2:9" s="6" customFormat="1" ht="11.25" customHeight="1" x14ac:dyDescent="0.55000000000000004">
      <c r="B1860" s="30" t="s">
        <v>3771</v>
      </c>
      <c r="C1860" s="30" t="s">
        <v>3772</v>
      </c>
      <c r="D1860" s="32">
        <v>80594</v>
      </c>
      <c r="E1860" s="30" t="s">
        <v>20</v>
      </c>
      <c r="F1860" s="30"/>
      <c r="G1860" s="30"/>
      <c r="H1860" s="30" t="s">
        <v>156</v>
      </c>
      <c r="I1860" s="31" t="s">
        <v>29</v>
      </c>
    </row>
    <row r="1861" spans="2:9" s="6" customFormat="1" ht="11.25" customHeight="1" x14ac:dyDescent="0.55000000000000004">
      <c r="B1861" s="30" t="s">
        <v>3773</v>
      </c>
      <c r="C1861" s="30" t="s">
        <v>3774</v>
      </c>
      <c r="D1861" s="32">
        <v>65005</v>
      </c>
      <c r="E1861" s="30" t="s">
        <v>20</v>
      </c>
      <c r="F1861" s="30" t="s">
        <v>221</v>
      </c>
      <c r="G1861" s="30" t="s">
        <v>155</v>
      </c>
      <c r="H1861" s="30" t="s">
        <v>156</v>
      </c>
      <c r="I1861" s="31">
        <v>106703124.277</v>
      </c>
    </row>
    <row r="1862" spans="2:9" s="6" customFormat="1" ht="11.25" customHeight="1" x14ac:dyDescent="0.55000000000000004">
      <c r="B1862" s="30" t="s">
        <v>3775</v>
      </c>
      <c r="C1862" s="30" t="s">
        <v>3776</v>
      </c>
      <c r="D1862" s="32">
        <v>65005</v>
      </c>
      <c r="E1862" s="30" t="s">
        <v>20</v>
      </c>
      <c r="F1862" s="30"/>
      <c r="G1862" s="30"/>
      <c r="H1862" s="30" t="s">
        <v>156</v>
      </c>
      <c r="I1862" s="31" t="s">
        <v>29</v>
      </c>
    </row>
    <row r="1863" spans="2:9" s="6" customFormat="1" ht="11.25" customHeight="1" x14ac:dyDescent="0.55000000000000004">
      <c r="B1863" s="30" t="s">
        <v>3777</v>
      </c>
      <c r="C1863" s="30" t="s">
        <v>3778</v>
      </c>
      <c r="D1863" s="32">
        <v>65005</v>
      </c>
      <c r="E1863" s="30" t="s">
        <v>20</v>
      </c>
      <c r="F1863" s="30"/>
      <c r="G1863" s="30"/>
      <c r="H1863" s="30" t="s">
        <v>156</v>
      </c>
      <c r="I1863" s="31" t="s">
        <v>29</v>
      </c>
    </row>
    <row r="1864" spans="2:9" s="6" customFormat="1" ht="11.25" customHeight="1" x14ac:dyDescent="0.55000000000000004">
      <c r="B1864" s="30" t="s">
        <v>3779</v>
      </c>
      <c r="C1864" s="30" t="s">
        <v>3780</v>
      </c>
      <c r="D1864" s="32">
        <v>65005</v>
      </c>
      <c r="E1864" s="30" t="s">
        <v>20</v>
      </c>
      <c r="F1864" s="30"/>
      <c r="G1864" s="30"/>
      <c r="H1864" s="30" t="s">
        <v>156</v>
      </c>
      <c r="I1864" s="31" t="s">
        <v>29</v>
      </c>
    </row>
    <row r="1865" spans="2:9" s="6" customFormat="1" ht="11.25" customHeight="1" x14ac:dyDescent="0.55000000000000004">
      <c r="B1865" s="30" t="s">
        <v>3781</v>
      </c>
      <c r="C1865" s="30" t="s">
        <v>3782</v>
      </c>
      <c r="D1865" s="32">
        <v>76902</v>
      </c>
      <c r="E1865" s="30" t="s">
        <v>15</v>
      </c>
      <c r="F1865" s="30"/>
      <c r="G1865" s="30"/>
      <c r="H1865" s="30" t="s">
        <v>66</v>
      </c>
      <c r="I1865" s="31" t="s">
        <v>29</v>
      </c>
    </row>
    <row r="1866" spans="2:9" s="6" customFormat="1" ht="11.25" customHeight="1" x14ac:dyDescent="0.55000000000000004">
      <c r="B1866" s="30" t="s">
        <v>3783</v>
      </c>
      <c r="C1866" s="30" t="s">
        <v>3784</v>
      </c>
      <c r="D1866" s="32">
        <v>60088</v>
      </c>
      <c r="E1866" s="30" t="s">
        <v>15</v>
      </c>
      <c r="F1866" s="30"/>
      <c r="G1866" s="30"/>
      <c r="H1866" s="30" t="s">
        <v>22</v>
      </c>
      <c r="I1866" s="31" t="s">
        <v>29</v>
      </c>
    </row>
    <row r="1867" spans="2:9" s="6" customFormat="1" ht="11.25" customHeight="1" x14ac:dyDescent="0.55000000000000004">
      <c r="B1867" s="30" t="s">
        <v>3785</v>
      </c>
      <c r="C1867" s="30" t="s">
        <v>3786</v>
      </c>
      <c r="D1867" s="32">
        <v>73334</v>
      </c>
      <c r="E1867" s="30" t="s">
        <v>15</v>
      </c>
      <c r="F1867" s="30"/>
      <c r="G1867" s="30"/>
      <c r="H1867" s="30" t="s">
        <v>735</v>
      </c>
      <c r="I1867" s="31" t="s">
        <v>29</v>
      </c>
    </row>
    <row r="1868" spans="2:9" s="6" customFormat="1" ht="11.25" customHeight="1" x14ac:dyDescent="0.55000000000000004">
      <c r="B1868" s="30" t="s">
        <v>3787</v>
      </c>
      <c r="C1868" s="30" t="s">
        <v>3788</v>
      </c>
      <c r="D1868" s="32">
        <v>86134</v>
      </c>
      <c r="E1868" s="30" t="s">
        <v>15</v>
      </c>
      <c r="F1868" s="30"/>
      <c r="G1868" s="30"/>
      <c r="H1868" s="30" t="s">
        <v>48</v>
      </c>
      <c r="I1868" s="31" t="s">
        <v>29</v>
      </c>
    </row>
    <row r="1869" spans="2:9" s="6" customFormat="1" ht="11.25" customHeight="1" x14ac:dyDescent="0.55000000000000004">
      <c r="B1869" s="30" t="s">
        <v>3789</v>
      </c>
      <c r="C1869" s="30" t="s">
        <v>3790</v>
      </c>
      <c r="D1869" s="32">
        <v>60081</v>
      </c>
      <c r="E1869" s="30" t="s">
        <v>15</v>
      </c>
      <c r="F1869" s="30"/>
      <c r="G1869" s="30"/>
      <c r="H1869" s="30" t="s">
        <v>48</v>
      </c>
      <c r="I1869" s="31" t="s">
        <v>29</v>
      </c>
    </row>
    <row r="1870" spans="2:9" s="6" customFormat="1" ht="11.25" customHeight="1" x14ac:dyDescent="0.55000000000000004">
      <c r="B1870" s="30" t="s">
        <v>3791</v>
      </c>
      <c r="C1870" s="30" t="s">
        <v>3792</v>
      </c>
      <c r="D1870" s="32">
        <v>87599</v>
      </c>
      <c r="E1870" s="30" t="s">
        <v>15</v>
      </c>
      <c r="F1870" s="30"/>
      <c r="G1870" s="30"/>
      <c r="H1870" s="30" t="s">
        <v>22</v>
      </c>
      <c r="I1870" s="31" t="s">
        <v>29</v>
      </c>
    </row>
    <row r="1871" spans="2:9" s="6" customFormat="1" ht="11.25" customHeight="1" x14ac:dyDescent="0.55000000000000004">
      <c r="B1871" s="30" t="s">
        <v>3793</v>
      </c>
      <c r="C1871" s="30" t="s">
        <v>3794</v>
      </c>
      <c r="D1871" s="32">
        <v>75990</v>
      </c>
      <c r="E1871" s="30" t="s">
        <v>15</v>
      </c>
      <c r="F1871" s="30"/>
      <c r="G1871" s="30"/>
      <c r="H1871" s="30" t="s">
        <v>22</v>
      </c>
      <c r="I1871" s="31" t="s">
        <v>29</v>
      </c>
    </row>
    <row r="1872" spans="2:9" s="6" customFormat="1" ht="11.25" customHeight="1" x14ac:dyDescent="0.55000000000000004">
      <c r="B1872" s="30" t="s">
        <v>3795</v>
      </c>
      <c r="C1872" s="30" t="s">
        <v>3796</v>
      </c>
      <c r="D1872" s="32">
        <v>69479</v>
      </c>
      <c r="E1872" s="30" t="s">
        <v>15</v>
      </c>
      <c r="F1872" s="30"/>
      <c r="G1872" s="30"/>
      <c r="H1872" s="30" t="s">
        <v>22</v>
      </c>
      <c r="I1872" s="31" t="s">
        <v>29</v>
      </c>
    </row>
    <row r="1873" spans="2:9" s="6" customFormat="1" ht="11.25" customHeight="1" x14ac:dyDescent="0.55000000000000004">
      <c r="B1873" s="30" t="s">
        <v>3797</v>
      </c>
      <c r="C1873" s="30" t="s">
        <v>3798</v>
      </c>
      <c r="D1873" s="32">
        <v>82856</v>
      </c>
      <c r="E1873" s="30" t="s">
        <v>15</v>
      </c>
      <c r="F1873" s="30" t="s">
        <v>2067</v>
      </c>
      <c r="G1873" s="30"/>
      <c r="H1873" s="30" t="s">
        <v>124</v>
      </c>
      <c r="I1873" s="31" t="s">
        <v>29</v>
      </c>
    </row>
    <row r="1874" spans="2:9" s="6" customFormat="1" ht="11.25" customHeight="1" x14ac:dyDescent="0.55000000000000004">
      <c r="B1874" s="30" t="s">
        <v>3799</v>
      </c>
      <c r="C1874" s="30" t="s">
        <v>3800</v>
      </c>
      <c r="D1874" s="32">
        <v>68551</v>
      </c>
      <c r="E1874" s="30" t="s">
        <v>20</v>
      </c>
      <c r="F1874" s="30"/>
      <c r="G1874" s="30" t="s">
        <v>21</v>
      </c>
      <c r="H1874" s="30" t="s">
        <v>865</v>
      </c>
      <c r="I1874" s="31">
        <v>34416.114999999998</v>
      </c>
    </row>
    <row r="1875" spans="2:9" s="6" customFormat="1" ht="11.25" customHeight="1" x14ac:dyDescent="0.55000000000000004">
      <c r="B1875" s="30" t="s">
        <v>3801</v>
      </c>
      <c r="C1875" s="30" t="s">
        <v>3802</v>
      </c>
      <c r="D1875" s="32">
        <v>61573</v>
      </c>
      <c r="E1875" s="30" t="s">
        <v>20</v>
      </c>
      <c r="F1875" s="30"/>
      <c r="G1875" s="30" t="s">
        <v>35</v>
      </c>
      <c r="H1875" s="30" t="s">
        <v>89</v>
      </c>
      <c r="I1875" s="31">
        <v>3403.8690000000001</v>
      </c>
    </row>
    <row r="1876" spans="2:9" s="6" customFormat="1" ht="11.25" customHeight="1" x14ac:dyDescent="0.55000000000000004">
      <c r="B1876" s="30" t="s">
        <v>3803</v>
      </c>
      <c r="C1876" s="30" t="s">
        <v>3804</v>
      </c>
      <c r="D1876" s="32">
        <v>80870</v>
      </c>
      <c r="E1876" s="30" t="s">
        <v>15</v>
      </c>
      <c r="F1876" s="30"/>
      <c r="G1876" s="30"/>
      <c r="H1876" s="30" t="s">
        <v>22</v>
      </c>
      <c r="I1876" s="31" t="s">
        <v>29</v>
      </c>
    </row>
    <row r="1877" spans="2:9" s="6" customFormat="1" ht="11.25" customHeight="1" x14ac:dyDescent="0.55000000000000004">
      <c r="B1877" s="30" t="s">
        <v>3805</v>
      </c>
      <c r="C1877" s="30" t="s">
        <v>3806</v>
      </c>
      <c r="D1877" s="32">
        <v>74470</v>
      </c>
      <c r="E1877" s="30" t="s">
        <v>20</v>
      </c>
      <c r="F1877" s="30"/>
      <c r="G1877" s="30" t="s">
        <v>155</v>
      </c>
      <c r="H1877" s="30" t="s">
        <v>66</v>
      </c>
      <c r="I1877" s="31">
        <v>26984.752</v>
      </c>
    </row>
    <row r="1878" spans="2:9" s="6" customFormat="1" ht="11.25" customHeight="1" x14ac:dyDescent="0.55000000000000004">
      <c r="B1878" s="30" t="s">
        <v>3807</v>
      </c>
      <c r="C1878" s="30" t="s">
        <v>3808</v>
      </c>
      <c r="D1878" s="32">
        <v>76384</v>
      </c>
      <c r="E1878" s="30" t="s">
        <v>15</v>
      </c>
      <c r="F1878" s="30"/>
      <c r="G1878" s="30"/>
      <c r="H1878" s="30" t="s">
        <v>735</v>
      </c>
      <c r="I1878" s="31" t="s">
        <v>29</v>
      </c>
    </row>
    <row r="1879" spans="2:9" s="6" customFormat="1" ht="11.25" customHeight="1" x14ac:dyDescent="0.55000000000000004">
      <c r="B1879" s="30" t="s">
        <v>3809</v>
      </c>
      <c r="C1879" s="30" t="s">
        <v>3810</v>
      </c>
      <c r="D1879" s="32">
        <v>68586</v>
      </c>
      <c r="E1879" s="30" t="s">
        <v>15</v>
      </c>
      <c r="F1879" s="30" t="s">
        <v>307</v>
      </c>
      <c r="G1879" s="30"/>
      <c r="H1879" s="30" t="s">
        <v>460</v>
      </c>
      <c r="I1879" s="31" t="s">
        <v>29</v>
      </c>
    </row>
    <row r="1880" spans="2:9" s="6" customFormat="1" ht="11.25" customHeight="1" x14ac:dyDescent="0.55000000000000004">
      <c r="B1880" s="30" t="s">
        <v>3811</v>
      </c>
      <c r="C1880" s="30" t="s">
        <v>3812</v>
      </c>
      <c r="D1880" s="32">
        <v>90247</v>
      </c>
      <c r="E1880" s="30" t="s">
        <v>20</v>
      </c>
      <c r="F1880" s="30" t="s">
        <v>298</v>
      </c>
      <c r="G1880" s="30" t="s">
        <v>16</v>
      </c>
      <c r="H1880" s="30" t="s">
        <v>22</v>
      </c>
      <c r="I1880" s="31">
        <v>10072.518</v>
      </c>
    </row>
    <row r="1881" spans="2:9" s="6" customFormat="1" ht="11.25" customHeight="1" x14ac:dyDescent="0.55000000000000004">
      <c r="B1881" s="30" t="s">
        <v>3813</v>
      </c>
      <c r="C1881" s="30" t="s">
        <v>3814</v>
      </c>
      <c r="D1881" s="32">
        <v>60183</v>
      </c>
      <c r="E1881" s="30" t="s">
        <v>20</v>
      </c>
      <c r="F1881" s="30" t="s">
        <v>3224</v>
      </c>
      <c r="G1881" s="30" t="s">
        <v>16</v>
      </c>
      <c r="H1881" s="30" t="s">
        <v>124</v>
      </c>
      <c r="I1881" s="31">
        <v>78360.741999999998</v>
      </c>
    </row>
    <row r="1882" spans="2:9" s="6" customFormat="1" ht="11.25" customHeight="1" x14ac:dyDescent="0.55000000000000004">
      <c r="B1882" s="30" t="s">
        <v>3815</v>
      </c>
      <c r="C1882" s="30" t="s">
        <v>3816</v>
      </c>
      <c r="D1882" s="32">
        <v>76937</v>
      </c>
      <c r="E1882" s="30" t="s">
        <v>15</v>
      </c>
      <c r="F1882" s="30"/>
      <c r="G1882" s="30" t="s">
        <v>35</v>
      </c>
      <c r="H1882" s="30" t="s">
        <v>66</v>
      </c>
      <c r="I1882" s="31" t="s">
        <v>29</v>
      </c>
    </row>
    <row r="1883" spans="2:9" s="6" customFormat="1" ht="11.25" customHeight="1" x14ac:dyDescent="0.55000000000000004">
      <c r="B1883" s="30" t="s">
        <v>3817</v>
      </c>
      <c r="C1883" s="30" t="s">
        <v>3818</v>
      </c>
      <c r="D1883" s="32">
        <v>89109</v>
      </c>
      <c r="E1883" s="30" t="s">
        <v>15</v>
      </c>
      <c r="F1883" s="30" t="s">
        <v>989</v>
      </c>
      <c r="G1883" s="30"/>
      <c r="H1883" s="30" t="s">
        <v>105</v>
      </c>
      <c r="I1883" s="31" t="s">
        <v>29</v>
      </c>
    </row>
    <row r="1884" spans="2:9" s="6" customFormat="1" ht="11.25" customHeight="1" x14ac:dyDescent="0.55000000000000004">
      <c r="B1884" s="30" t="s">
        <v>3819</v>
      </c>
      <c r="C1884" s="30" t="s">
        <v>3820</v>
      </c>
      <c r="D1884" s="32">
        <v>61484</v>
      </c>
      <c r="E1884" s="30" t="s">
        <v>15</v>
      </c>
      <c r="F1884" s="30" t="s">
        <v>428</v>
      </c>
      <c r="G1884" s="30"/>
      <c r="H1884" s="30" t="s">
        <v>239</v>
      </c>
      <c r="I1884" s="31" t="s">
        <v>29</v>
      </c>
    </row>
    <row r="1885" spans="2:9" s="6" customFormat="1" ht="11.25" customHeight="1" x14ac:dyDescent="0.55000000000000004">
      <c r="B1885" s="30" t="s">
        <v>3821</v>
      </c>
      <c r="C1885" s="30" t="s">
        <v>3822</v>
      </c>
      <c r="D1885" s="32">
        <v>76945</v>
      </c>
      <c r="E1885" s="30" t="s">
        <v>15</v>
      </c>
      <c r="F1885" s="30"/>
      <c r="G1885" s="30"/>
      <c r="H1885" s="30" t="s">
        <v>66</v>
      </c>
      <c r="I1885" s="31" t="s">
        <v>29</v>
      </c>
    </row>
    <row r="1886" spans="2:9" s="6" customFormat="1" ht="11.25" customHeight="1" x14ac:dyDescent="0.55000000000000004">
      <c r="B1886" s="30" t="s">
        <v>3823</v>
      </c>
      <c r="C1886" s="30" t="s">
        <v>3824</v>
      </c>
      <c r="D1886" s="32">
        <v>93246</v>
      </c>
      <c r="E1886" s="30" t="s">
        <v>15</v>
      </c>
      <c r="F1886" s="30" t="s">
        <v>182</v>
      </c>
      <c r="G1886" s="30"/>
      <c r="H1886" s="30" t="s">
        <v>124</v>
      </c>
      <c r="I1886" s="31" t="s">
        <v>29</v>
      </c>
    </row>
    <row r="1887" spans="2:9" s="6" customFormat="1" ht="11.25" customHeight="1" x14ac:dyDescent="0.55000000000000004">
      <c r="B1887" s="30" t="s">
        <v>3825</v>
      </c>
      <c r="C1887" s="30" t="s">
        <v>3826</v>
      </c>
      <c r="D1887" s="32">
        <v>93246</v>
      </c>
      <c r="E1887" s="30" t="s">
        <v>15</v>
      </c>
      <c r="F1887" s="30"/>
      <c r="G1887" s="30"/>
      <c r="H1887" s="30" t="s">
        <v>124</v>
      </c>
      <c r="I1887" s="31" t="s">
        <v>29</v>
      </c>
    </row>
    <row r="1888" spans="2:9" s="6" customFormat="1" ht="11.25" customHeight="1" x14ac:dyDescent="0.55000000000000004">
      <c r="B1888" s="30" t="s">
        <v>3827</v>
      </c>
      <c r="C1888" s="30" t="s">
        <v>3828</v>
      </c>
      <c r="D1888" s="32">
        <v>60445</v>
      </c>
      <c r="E1888" s="30" t="s">
        <v>20</v>
      </c>
      <c r="F1888" s="30"/>
      <c r="G1888" s="30" t="s">
        <v>155</v>
      </c>
      <c r="H1888" s="30" t="s">
        <v>105</v>
      </c>
      <c r="I1888" s="31">
        <v>2037279.5350000001</v>
      </c>
    </row>
    <row r="1889" spans="2:9" s="6" customFormat="1" ht="11.25" customHeight="1" x14ac:dyDescent="0.55000000000000004">
      <c r="B1889" s="30" t="s">
        <v>3829</v>
      </c>
      <c r="C1889" s="30" t="s">
        <v>3830</v>
      </c>
      <c r="D1889" s="32">
        <v>60445</v>
      </c>
      <c r="E1889" s="30" t="s">
        <v>20</v>
      </c>
      <c r="F1889" s="30"/>
      <c r="G1889" s="30"/>
      <c r="H1889" s="30" t="s">
        <v>105</v>
      </c>
      <c r="I1889" s="31" t="s">
        <v>29</v>
      </c>
    </row>
    <row r="1890" spans="2:9" s="6" customFormat="1" ht="11.25" customHeight="1" x14ac:dyDescent="0.55000000000000004">
      <c r="B1890" s="30" t="s">
        <v>3831</v>
      </c>
      <c r="C1890" s="30" t="s">
        <v>3832</v>
      </c>
      <c r="D1890" s="32">
        <v>76651</v>
      </c>
      <c r="E1890" s="30" t="s">
        <v>15</v>
      </c>
      <c r="F1890" s="30"/>
      <c r="G1890" s="30"/>
      <c r="H1890" s="30" t="s">
        <v>48</v>
      </c>
      <c r="I1890" s="31" t="s">
        <v>29</v>
      </c>
    </row>
    <row r="1891" spans="2:9" s="6" customFormat="1" ht="11.25" customHeight="1" x14ac:dyDescent="0.55000000000000004">
      <c r="B1891" s="30" t="s">
        <v>3833</v>
      </c>
      <c r="C1891" s="30" t="s">
        <v>3834</v>
      </c>
      <c r="D1891" s="32">
        <v>83712</v>
      </c>
      <c r="E1891" s="30" t="s">
        <v>15</v>
      </c>
      <c r="F1891" s="30" t="s">
        <v>525</v>
      </c>
      <c r="G1891" s="30"/>
      <c r="H1891" s="30" t="s">
        <v>686</v>
      </c>
      <c r="I1891" s="31" t="s">
        <v>29</v>
      </c>
    </row>
    <row r="1892" spans="2:9" s="6" customFormat="1" ht="11.25" customHeight="1" x14ac:dyDescent="0.55000000000000004">
      <c r="B1892" s="30" t="s">
        <v>1054</v>
      </c>
      <c r="C1892" s="30" t="s">
        <v>3835</v>
      </c>
      <c r="D1892" s="32" t="s">
        <v>29</v>
      </c>
      <c r="E1892" s="30" t="s">
        <v>20</v>
      </c>
      <c r="F1892" s="30" t="s">
        <v>1054</v>
      </c>
      <c r="G1892" s="30" t="s">
        <v>155</v>
      </c>
      <c r="H1892" s="30" t="s">
        <v>63</v>
      </c>
      <c r="I1892" s="31">
        <v>89895337.715000004</v>
      </c>
    </row>
    <row r="1893" spans="2:9" s="6" customFormat="1" ht="11.25" customHeight="1" x14ac:dyDescent="0.55000000000000004">
      <c r="B1893" s="30" t="s">
        <v>3836</v>
      </c>
      <c r="C1893" s="30" t="s">
        <v>3837</v>
      </c>
      <c r="D1893" s="32" t="s">
        <v>29</v>
      </c>
      <c r="E1893" s="30" t="s">
        <v>20</v>
      </c>
      <c r="F1893" s="30"/>
      <c r="G1893" s="30"/>
      <c r="H1893" s="30" t="s">
        <v>113</v>
      </c>
      <c r="I1893" s="31" t="s">
        <v>29</v>
      </c>
    </row>
    <row r="1894" spans="2:9" s="6" customFormat="1" ht="11.25" customHeight="1" x14ac:dyDescent="0.55000000000000004">
      <c r="B1894" s="30" t="s">
        <v>3838</v>
      </c>
      <c r="C1894" s="30" t="s">
        <v>3839</v>
      </c>
      <c r="D1894" s="32">
        <v>74420</v>
      </c>
      <c r="E1894" s="30" t="s">
        <v>15</v>
      </c>
      <c r="F1894" s="30"/>
      <c r="G1894" s="30"/>
      <c r="H1894" s="30" t="s">
        <v>48</v>
      </c>
      <c r="I1894" s="31" t="s">
        <v>29</v>
      </c>
    </row>
    <row r="1895" spans="2:9" s="6" customFormat="1" ht="11.25" customHeight="1" x14ac:dyDescent="0.55000000000000004">
      <c r="B1895" s="30" t="s">
        <v>3840</v>
      </c>
      <c r="C1895" s="30" t="s">
        <v>3841</v>
      </c>
      <c r="D1895" s="32">
        <v>91774</v>
      </c>
      <c r="E1895" s="30" t="s">
        <v>15</v>
      </c>
      <c r="F1895" s="30"/>
      <c r="G1895" s="30"/>
      <c r="H1895" s="30" t="s">
        <v>686</v>
      </c>
      <c r="I1895" s="31" t="s">
        <v>29</v>
      </c>
    </row>
    <row r="1896" spans="2:9" s="6" customFormat="1" ht="11.25" customHeight="1" x14ac:dyDescent="0.55000000000000004">
      <c r="B1896" s="30" t="s">
        <v>3842</v>
      </c>
      <c r="C1896" s="30" t="s">
        <v>3843</v>
      </c>
      <c r="D1896" s="32">
        <v>70435</v>
      </c>
      <c r="E1896" s="30" t="s">
        <v>20</v>
      </c>
      <c r="F1896" s="30"/>
      <c r="G1896" s="30" t="s">
        <v>265</v>
      </c>
      <c r="H1896" s="30" t="s">
        <v>582</v>
      </c>
      <c r="I1896" s="31">
        <v>3407591.5810000002</v>
      </c>
    </row>
    <row r="1897" spans="2:9" s="6" customFormat="1" ht="11.25" customHeight="1" x14ac:dyDescent="0.55000000000000004">
      <c r="B1897" s="30" t="s">
        <v>3844</v>
      </c>
      <c r="C1897" s="30" t="s">
        <v>3845</v>
      </c>
      <c r="D1897" s="32">
        <v>60176</v>
      </c>
      <c r="E1897" s="30" t="s">
        <v>20</v>
      </c>
      <c r="F1897" s="30" t="s">
        <v>3224</v>
      </c>
      <c r="G1897" s="30" t="s">
        <v>155</v>
      </c>
      <c r="H1897" s="30" t="s">
        <v>124</v>
      </c>
      <c r="I1897" s="31">
        <v>1716653.635</v>
      </c>
    </row>
    <row r="1898" spans="2:9" s="6" customFormat="1" ht="11.25" customHeight="1" x14ac:dyDescent="0.55000000000000004">
      <c r="B1898" s="30" t="s">
        <v>3846</v>
      </c>
      <c r="C1898" s="30" t="s">
        <v>3847</v>
      </c>
      <c r="D1898" s="32">
        <v>86789</v>
      </c>
      <c r="E1898" s="30" t="s">
        <v>15</v>
      </c>
      <c r="F1898" s="30"/>
      <c r="G1898" s="30"/>
      <c r="H1898" s="30" t="s">
        <v>92</v>
      </c>
      <c r="I1898" s="31" t="s">
        <v>29</v>
      </c>
    </row>
    <row r="1899" spans="2:9" s="6" customFormat="1" ht="11.25" customHeight="1" x14ac:dyDescent="0.55000000000000004">
      <c r="B1899" s="30" t="s">
        <v>3848</v>
      </c>
      <c r="C1899" s="30" t="s">
        <v>3849</v>
      </c>
      <c r="D1899" s="32">
        <v>71293</v>
      </c>
      <c r="E1899" s="30" t="s">
        <v>15</v>
      </c>
      <c r="F1899" s="30"/>
      <c r="G1899" s="30"/>
      <c r="H1899" s="30" t="s">
        <v>66</v>
      </c>
      <c r="I1899" s="31" t="s">
        <v>29</v>
      </c>
    </row>
    <row r="1900" spans="2:9" s="6" customFormat="1" ht="11.25" customHeight="1" x14ac:dyDescent="0.55000000000000004">
      <c r="B1900" s="30" t="s">
        <v>3738</v>
      </c>
      <c r="C1900" s="30" t="s">
        <v>3850</v>
      </c>
      <c r="D1900" s="32" t="s">
        <v>29</v>
      </c>
      <c r="E1900" s="30" t="s">
        <v>20</v>
      </c>
      <c r="F1900" s="30" t="s">
        <v>3738</v>
      </c>
      <c r="G1900" s="30" t="s">
        <v>35</v>
      </c>
      <c r="H1900" s="30" t="s">
        <v>86</v>
      </c>
      <c r="I1900" s="31">
        <v>2176839.8670000001</v>
      </c>
    </row>
    <row r="1901" spans="2:9" s="6" customFormat="1" ht="11.25" customHeight="1" x14ac:dyDescent="0.55000000000000004">
      <c r="B1901" s="30" t="s">
        <v>3851</v>
      </c>
      <c r="C1901" s="30" t="s">
        <v>3852</v>
      </c>
      <c r="D1901" s="32">
        <v>64688</v>
      </c>
      <c r="E1901" s="30" t="s">
        <v>20</v>
      </c>
      <c r="F1901" s="30" t="s">
        <v>3738</v>
      </c>
      <c r="G1901" s="30" t="s">
        <v>35</v>
      </c>
      <c r="H1901" s="30" t="s">
        <v>686</v>
      </c>
      <c r="I1901" s="31">
        <v>1065267.888</v>
      </c>
    </row>
    <row r="1902" spans="2:9" s="6" customFormat="1" ht="11.25" customHeight="1" x14ac:dyDescent="0.55000000000000004">
      <c r="B1902" s="30" t="s">
        <v>3853</v>
      </c>
      <c r="C1902" s="30" t="s">
        <v>3854</v>
      </c>
      <c r="D1902" s="32">
        <v>80586</v>
      </c>
      <c r="E1902" s="30" t="s">
        <v>15</v>
      </c>
      <c r="F1902" s="30"/>
      <c r="G1902" s="30" t="s">
        <v>35</v>
      </c>
      <c r="H1902" s="30" t="s">
        <v>686</v>
      </c>
      <c r="I1902" s="31" t="s">
        <v>29</v>
      </c>
    </row>
    <row r="1903" spans="2:9" s="6" customFormat="1" ht="11.25" customHeight="1" x14ac:dyDescent="0.55000000000000004">
      <c r="B1903" s="30" t="s">
        <v>3855</v>
      </c>
      <c r="C1903" s="30" t="s">
        <v>3856</v>
      </c>
      <c r="D1903" s="32">
        <v>87017</v>
      </c>
      <c r="E1903" s="30" t="s">
        <v>20</v>
      </c>
      <c r="F1903" s="30" t="s">
        <v>3738</v>
      </c>
      <c r="G1903" s="30" t="s">
        <v>35</v>
      </c>
      <c r="H1903" s="30" t="s">
        <v>686</v>
      </c>
      <c r="I1903" s="31">
        <v>446196.9</v>
      </c>
    </row>
    <row r="1904" spans="2:9" s="6" customFormat="1" ht="11.25" customHeight="1" x14ac:dyDescent="0.55000000000000004">
      <c r="B1904" s="30" t="s">
        <v>3857</v>
      </c>
      <c r="C1904" s="30" t="s">
        <v>3858</v>
      </c>
      <c r="D1904" s="32">
        <v>97071</v>
      </c>
      <c r="E1904" s="30" t="s">
        <v>20</v>
      </c>
      <c r="F1904" s="30" t="s">
        <v>3738</v>
      </c>
      <c r="G1904" s="30" t="s">
        <v>35</v>
      </c>
      <c r="H1904" s="30" t="s">
        <v>86</v>
      </c>
      <c r="I1904" s="31">
        <v>764549.29700000002</v>
      </c>
    </row>
    <row r="1905" spans="2:9" s="6" customFormat="1" ht="11.25" customHeight="1" x14ac:dyDescent="0.55000000000000004">
      <c r="B1905" s="30" t="s">
        <v>3859</v>
      </c>
      <c r="C1905" s="30" t="s">
        <v>3860</v>
      </c>
      <c r="D1905" s="32">
        <v>88030</v>
      </c>
      <c r="E1905" s="30" t="s">
        <v>15</v>
      </c>
      <c r="F1905" s="30"/>
      <c r="G1905" s="30"/>
      <c r="H1905" s="30" t="s">
        <v>113</v>
      </c>
      <c r="I1905" s="31" t="s">
        <v>29</v>
      </c>
    </row>
    <row r="1906" spans="2:9" s="6" customFormat="1" ht="11.25" customHeight="1" x14ac:dyDescent="0.55000000000000004">
      <c r="B1906" s="30" t="s">
        <v>3861</v>
      </c>
      <c r="C1906" s="30" t="s">
        <v>3862</v>
      </c>
      <c r="D1906" s="32">
        <v>76961</v>
      </c>
      <c r="E1906" s="30" t="s">
        <v>15</v>
      </c>
      <c r="F1906" s="30"/>
      <c r="G1906" s="30" t="s">
        <v>80</v>
      </c>
      <c r="H1906" s="30" t="s">
        <v>63</v>
      </c>
      <c r="I1906" s="31" t="s">
        <v>29</v>
      </c>
    </row>
    <row r="1907" spans="2:9" s="6" customFormat="1" ht="11.25" customHeight="1" x14ac:dyDescent="0.55000000000000004">
      <c r="B1907" s="30" t="s">
        <v>3863</v>
      </c>
      <c r="C1907" s="30" t="s">
        <v>3864</v>
      </c>
      <c r="D1907" s="32">
        <v>87572</v>
      </c>
      <c r="E1907" s="30" t="s">
        <v>20</v>
      </c>
      <c r="F1907" s="30"/>
      <c r="G1907" s="30" t="s">
        <v>16</v>
      </c>
      <c r="H1907" s="30" t="s">
        <v>686</v>
      </c>
      <c r="I1907" s="31" t="s">
        <v>29</v>
      </c>
    </row>
    <row r="1908" spans="2:9" s="6" customFormat="1" ht="11.25" customHeight="1" x14ac:dyDescent="0.55000000000000004">
      <c r="B1908" s="30" t="s">
        <v>3865</v>
      </c>
      <c r="C1908" s="30" t="s">
        <v>3866</v>
      </c>
      <c r="D1908" s="32">
        <v>90670</v>
      </c>
      <c r="E1908" s="30" t="s">
        <v>15</v>
      </c>
      <c r="F1908" s="30"/>
      <c r="G1908" s="30" t="s">
        <v>35</v>
      </c>
      <c r="H1908" s="30" t="s">
        <v>686</v>
      </c>
      <c r="I1908" s="31" t="s">
        <v>29</v>
      </c>
    </row>
    <row r="1909" spans="2:9" s="6" customFormat="1" ht="11.25" customHeight="1" x14ac:dyDescent="0.55000000000000004">
      <c r="B1909" s="30" t="s">
        <v>3867</v>
      </c>
      <c r="C1909" s="30" t="s">
        <v>3868</v>
      </c>
      <c r="D1909" s="32">
        <v>69914</v>
      </c>
      <c r="E1909" s="30" t="s">
        <v>15</v>
      </c>
      <c r="F1909" s="30"/>
      <c r="G1909" s="30" t="s">
        <v>21</v>
      </c>
      <c r="H1909" s="30" t="s">
        <v>113</v>
      </c>
      <c r="I1909" s="31" t="s">
        <v>29</v>
      </c>
    </row>
    <row r="1910" spans="2:9" s="6" customFormat="1" ht="11.25" customHeight="1" x14ac:dyDescent="0.55000000000000004">
      <c r="B1910" s="30" t="s">
        <v>3869</v>
      </c>
      <c r="C1910" s="30" t="s">
        <v>3870</v>
      </c>
      <c r="D1910" s="32">
        <v>89071</v>
      </c>
      <c r="E1910" s="30" t="s">
        <v>15</v>
      </c>
      <c r="F1910" s="30"/>
      <c r="G1910" s="30" t="s">
        <v>16</v>
      </c>
      <c r="H1910" s="30" t="s">
        <v>105</v>
      </c>
      <c r="I1910" s="31" t="s">
        <v>29</v>
      </c>
    </row>
    <row r="1911" spans="2:9" s="6" customFormat="1" ht="11.25" customHeight="1" x14ac:dyDescent="0.55000000000000004">
      <c r="B1911" s="30" t="s">
        <v>3871</v>
      </c>
      <c r="C1911" s="30" t="s">
        <v>3872</v>
      </c>
      <c r="D1911" s="32">
        <v>68772</v>
      </c>
      <c r="E1911" s="30" t="s">
        <v>20</v>
      </c>
      <c r="F1911" s="30"/>
      <c r="G1911" s="30" t="s">
        <v>35</v>
      </c>
      <c r="H1911" s="30" t="s">
        <v>124</v>
      </c>
      <c r="I1911" s="31">
        <v>2830112.6570000001</v>
      </c>
    </row>
    <row r="1912" spans="2:9" s="6" customFormat="1" ht="11.25" customHeight="1" x14ac:dyDescent="0.55000000000000004">
      <c r="B1912" s="30" t="s">
        <v>3873</v>
      </c>
      <c r="C1912" s="30" t="s">
        <v>3874</v>
      </c>
      <c r="D1912" s="32">
        <v>68772</v>
      </c>
      <c r="E1912" s="30" t="s">
        <v>20</v>
      </c>
      <c r="F1912" s="30"/>
      <c r="G1912" s="30"/>
      <c r="H1912" s="30" t="s">
        <v>124</v>
      </c>
      <c r="I1912" s="31" t="s">
        <v>29</v>
      </c>
    </row>
    <row r="1913" spans="2:9" s="6" customFormat="1" ht="11.25" customHeight="1" x14ac:dyDescent="0.55000000000000004">
      <c r="B1913" s="30" t="s">
        <v>3875</v>
      </c>
      <c r="C1913" s="30" t="s">
        <v>3876</v>
      </c>
      <c r="D1913" s="32">
        <v>68772</v>
      </c>
      <c r="E1913" s="30" t="s">
        <v>20</v>
      </c>
      <c r="F1913" s="30"/>
      <c r="G1913" s="30"/>
      <c r="H1913" s="30" t="s">
        <v>124</v>
      </c>
      <c r="I1913" s="31" t="s">
        <v>29</v>
      </c>
    </row>
    <row r="1914" spans="2:9" s="6" customFormat="1" ht="11.25" customHeight="1" x14ac:dyDescent="0.55000000000000004">
      <c r="B1914" s="30" t="s">
        <v>3877</v>
      </c>
      <c r="C1914" s="30" t="s">
        <v>3878</v>
      </c>
      <c r="D1914" s="32">
        <v>76244</v>
      </c>
      <c r="E1914" s="30" t="s">
        <v>15</v>
      </c>
      <c r="F1914" s="30" t="s">
        <v>1670</v>
      </c>
      <c r="G1914" s="30" t="s">
        <v>35</v>
      </c>
      <c r="H1914" s="30" t="s">
        <v>179</v>
      </c>
      <c r="I1914" s="31" t="s">
        <v>29</v>
      </c>
    </row>
    <row r="1915" spans="2:9" s="6" customFormat="1" ht="11.25" customHeight="1" x14ac:dyDescent="0.55000000000000004">
      <c r="B1915" s="30" t="s">
        <v>3879</v>
      </c>
      <c r="C1915" s="30" t="s">
        <v>3880</v>
      </c>
      <c r="D1915" s="32">
        <v>14924</v>
      </c>
      <c r="E1915" s="30" t="s">
        <v>20</v>
      </c>
      <c r="F1915" s="30"/>
      <c r="G1915" s="30" t="s">
        <v>265</v>
      </c>
      <c r="H1915" s="30" t="s">
        <v>686</v>
      </c>
      <c r="I1915" s="31">
        <v>62996.074000000001</v>
      </c>
    </row>
    <row r="1916" spans="2:9" s="6" customFormat="1" ht="11.25" customHeight="1" x14ac:dyDescent="0.55000000000000004">
      <c r="B1916" s="30" t="s">
        <v>3881</v>
      </c>
      <c r="C1916" s="30" t="s">
        <v>3882</v>
      </c>
      <c r="D1916" s="32">
        <v>64491</v>
      </c>
      <c r="E1916" s="30" t="s">
        <v>15</v>
      </c>
      <c r="F1916" s="30" t="s">
        <v>563</v>
      </c>
      <c r="G1916" s="30"/>
      <c r="H1916" s="30" t="s">
        <v>313</v>
      </c>
      <c r="I1916" s="31" t="s">
        <v>29</v>
      </c>
    </row>
    <row r="1917" spans="2:9" s="6" customFormat="1" ht="11.25" customHeight="1" x14ac:dyDescent="0.55000000000000004">
      <c r="B1917" s="30" t="s">
        <v>3883</v>
      </c>
      <c r="C1917" s="30" t="s">
        <v>3884</v>
      </c>
      <c r="D1917" s="32">
        <v>67113</v>
      </c>
      <c r="E1917" s="30" t="s">
        <v>15</v>
      </c>
      <c r="F1917" s="30"/>
      <c r="G1917" s="30"/>
      <c r="H1917" s="30" t="s">
        <v>113</v>
      </c>
      <c r="I1917" s="31" t="s">
        <v>29</v>
      </c>
    </row>
    <row r="1918" spans="2:9" s="6" customFormat="1" ht="11.25" customHeight="1" x14ac:dyDescent="0.55000000000000004">
      <c r="B1918" s="30" t="s">
        <v>465</v>
      </c>
      <c r="C1918" s="30" t="s">
        <v>3885</v>
      </c>
      <c r="D1918" s="32" t="s">
        <v>29</v>
      </c>
      <c r="E1918" s="30" t="s">
        <v>20</v>
      </c>
      <c r="F1918" s="30" t="s">
        <v>465</v>
      </c>
      <c r="G1918" s="30" t="s">
        <v>265</v>
      </c>
      <c r="H1918" s="30" t="s">
        <v>156</v>
      </c>
      <c r="I1918" s="31">
        <v>57367214.585000001</v>
      </c>
    </row>
    <row r="1919" spans="2:9" s="6" customFormat="1" ht="11.25" customHeight="1" x14ac:dyDescent="0.55000000000000004">
      <c r="B1919" s="30" t="s">
        <v>3886</v>
      </c>
      <c r="C1919" s="30" t="s">
        <v>3887</v>
      </c>
      <c r="D1919" s="32" t="s">
        <v>29</v>
      </c>
      <c r="E1919" s="30" t="s">
        <v>20</v>
      </c>
      <c r="F1919" s="30"/>
      <c r="G1919" s="30"/>
      <c r="H1919" s="30" t="s">
        <v>156</v>
      </c>
      <c r="I1919" s="31" t="s">
        <v>29</v>
      </c>
    </row>
    <row r="1920" spans="2:9" s="6" customFormat="1" ht="11.25" customHeight="1" x14ac:dyDescent="0.55000000000000004">
      <c r="B1920" s="30" t="s">
        <v>3888</v>
      </c>
      <c r="C1920" s="30" t="s">
        <v>3889</v>
      </c>
      <c r="D1920" s="32">
        <v>93742</v>
      </c>
      <c r="E1920" s="30" t="s">
        <v>20</v>
      </c>
      <c r="F1920" s="30" t="s">
        <v>465</v>
      </c>
      <c r="G1920" s="30" t="s">
        <v>25</v>
      </c>
      <c r="H1920" s="30" t="s">
        <v>156</v>
      </c>
      <c r="I1920" s="31">
        <v>1437177.706</v>
      </c>
    </row>
    <row r="1921" spans="2:9" s="6" customFormat="1" ht="11.25" customHeight="1" x14ac:dyDescent="0.55000000000000004">
      <c r="B1921" s="30" t="s">
        <v>3890</v>
      </c>
      <c r="C1921" s="30" t="s">
        <v>3891</v>
      </c>
      <c r="D1921" s="32">
        <v>93742</v>
      </c>
      <c r="E1921" s="30" t="s">
        <v>20</v>
      </c>
      <c r="F1921" s="30"/>
      <c r="G1921" s="30"/>
      <c r="H1921" s="30" t="s">
        <v>156</v>
      </c>
      <c r="I1921" s="31" t="s">
        <v>29</v>
      </c>
    </row>
    <row r="1922" spans="2:9" s="6" customFormat="1" ht="11.25" customHeight="1" x14ac:dyDescent="0.55000000000000004">
      <c r="B1922" s="30" t="s">
        <v>3892</v>
      </c>
      <c r="C1922" s="30" t="s">
        <v>3893</v>
      </c>
      <c r="D1922" s="32">
        <v>93742</v>
      </c>
      <c r="E1922" s="30" t="s">
        <v>20</v>
      </c>
      <c r="F1922" s="30"/>
      <c r="G1922" s="30"/>
      <c r="H1922" s="30" t="s">
        <v>156</v>
      </c>
      <c r="I1922" s="31" t="s">
        <v>29</v>
      </c>
    </row>
    <row r="1923" spans="2:9" s="6" customFormat="1" ht="11.25" customHeight="1" x14ac:dyDescent="0.55000000000000004">
      <c r="B1923" s="30" t="s">
        <v>3894</v>
      </c>
      <c r="C1923" s="30" t="s">
        <v>3895</v>
      </c>
      <c r="D1923" s="32">
        <v>66516</v>
      </c>
      <c r="E1923" s="30" t="s">
        <v>20</v>
      </c>
      <c r="F1923" s="30"/>
      <c r="G1923" s="30" t="s">
        <v>35</v>
      </c>
      <c r="H1923" s="30" t="s">
        <v>113</v>
      </c>
      <c r="I1923" s="31">
        <v>7250.9690000000001</v>
      </c>
    </row>
    <row r="1924" spans="2:9" s="6" customFormat="1" ht="11.25" customHeight="1" x14ac:dyDescent="0.55000000000000004">
      <c r="B1924" s="30" t="s">
        <v>3896</v>
      </c>
      <c r="C1924" s="30" t="s">
        <v>3897</v>
      </c>
      <c r="D1924" s="32">
        <v>84093</v>
      </c>
      <c r="E1924" s="30" t="s">
        <v>15</v>
      </c>
      <c r="F1924" s="30" t="s">
        <v>1000</v>
      </c>
      <c r="G1924" s="30"/>
      <c r="H1924" s="30" t="s">
        <v>113</v>
      </c>
      <c r="I1924" s="31" t="s">
        <v>29</v>
      </c>
    </row>
    <row r="1925" spans="2:9" s="6" customFormat="1" ht="11.25" customHeight="1" x14ac:dyDescent="0.55000000000000004">
      <c r="B1925" s="30" t="s">
        <v>3898</v>
      </c>
      <c r="C1925" s="30" t="s">
        <v>3899</v>
      </c>
      <c r="D1925" s="32">
        <v>61590</v>
      </c>
      <c r="E1925" s="30" t="s">
        <v>15</v>
      </c>
      <c r="F1925" s="30"/>
      <c r="G1925" s="30"/>
      <c r="H1925" s="30" t="s">
        <v>130</v>
      </c>
      <c r="I1925" s="31" t="s">
        <v>29</v>
      </c>
    </row>
    <row r="1926" spans="2:9" s="6" customFormat="1" ht="11.25" customHeight="1" x14ac:dyDescent="0.55000000000000004">
      <c r="B1926" s="30" t="s">
        <v>1702</v>
      </c>
      <c r="C1926" s="30" t="s">
        <v>3900</v>
      </c>
      <c r="D1926" s="32" t="s">
        <v>29</v>
      </c>
      <c r="E1926" s="30" t="s">
        <v>20</v>
      </c>
      <c r="F1926" s="30" t="s">
        <v>1702</v>
      </c>
      <c r="G1926" s="30" t="s">
        <v>155</v>
      </c>
      <c r="H1926" s="30" t="s">
        <v>86</v>
      </c>
      <c r="I1926" s="31">
        <v>36945139.952</v>
      </c>
    </row>
    <row r="1927" spans="2:9" s="6" customFormat="1" ht="11.25" customHeight="1" x14ac:dyDescent="0.55000000000000004">
      <c r="B1927" s="30" t="s">
        <v>3901</v>
      </c>
      <c r="C1927" s="30" t="s">
        <v>3902</v>
      </c>
      <c r="D1927" s="32" t="s">
        <v>29</v>
      </c>
      <c r="E1927" s="30" t="s">
        <v>20</v>
      </c>
      <c r="F1927" s="30"/>
      <c r="G1927" s="30"/>
      <c r="H1927" s="30"/>
      <c r="I1927" s="31" t="s">
        <v>29</v>
      </c>
    </row>
    <row r="1928" spans="2:9" s="6" customFormat="1" ht="11.25" customHeight="1" x14ac:dyDescent="0.55000000000000004">
      <c r="B1928" s="30" t="s">
        <v>3903</v>
      </c>
      <c r="C1928" s="30" t="s">
        <v>3904</v>
      </c>
      <c r="D1928" s="32">
        <v>68675</v>
      </c>
      <c r="E1928" s="30" t="s">
        <v>20</v>
      </c>
      <c r="F1928" s="30" t="s">
        <v>1702</v>
      </c>
      <c r="G1928" s="30" t="s">
        <v>155</v>
      </c>
      <c r="H1928" s="30" t="s">
        <v>86</v>
      </c>
      <c r="I1928" s="31">
        <v>36450727.074000001</v>
      </c>
    </row>
    <row r="1929" spans="2:9" s="6" customFormat="1" ht="11.25" customHeight="1" x14ac:dyDescent="0.55000000000000004">
      <c r="B1929" s="30" t="s">
        <v>3905</v>
      </c>
      <c r="C1929" s="30" t="s">
        <v>3906</v>
      </c>
      <c r="D1929" s="32">
        <v>68675</v>
      </c>
      <c r="E1929" s="30" t="s">
        <v>20</v>
      </c>
      <c r="F1929" s="30"/>
      <c r="G1929" s="30"/>
      <c r="H1929" s="30" t="s">
        <v>86</v>
      </c>
      <c r="I1929" s="31" t="s">
        <v>29</v>
      </c>
    </row>
    <row r="1930" spans="2:9" s="6" customFormat="1" ht="11.25" customHeight="1" x14ac:dyDescent="0.55000000000000004">
      <c r="B1930" s="30" t="s">
        <v>3907</v>
      </c>
      <c r="C1930" s="30" t="s">
        <v>3908</v>
      </c>
      <c r="D1930" s="32">
        <v>68675</v>
      </c>
      <c r="E1930" s="30" t="s">
        <v>20</v>
      </c>
      <c r="F1930" s="30"/>
      <c r="G1930" s="30"/>
      <c r="H1930" s="30" t="s">
        <v>86</v>
      </c>
      <c r="I1930" s="31" t="s">
        <v>29</v>
      </c>
    </row>
    <row r="1931" spans="2:9" s="6" customFormat="1" ht="11.25" customHeight="1" x14ac:dyDescent="0.55000000000000004">
      <c r="B1931" s="30" t="s">
        <v>3909</v>
      </c>
      <c r="C1931" s="30" t="s">
        <v>3910</v>
      </c>
      <c r="D1931" s="32">
        <v>99414</v>
      </c>
      <c r="E1931" s="30" t="s">
        <v>15</v>
      </c>
      <c r="F1931" s="30" t="s">
        <v>428</v>
      </c>
      <c r="G1931" s="30"/>
      <c r="H1931" s="30" t="s">
        <v>124</v>
      </c>
      <c r="I1931" s="31" t="s">
        <v>29</v>
      </c>
    </row>
    <row r="1932" spans="2:9" s="6" customFormat="1" ht="11.25" customHeight="1" x14ac:dyDescent="0.55000000000000004">
      <c r="B1932" s="30" t="s">
        <v>3911</v>
      </c>
      <c r="C1932" s="30" t="s">
        <v>3912</v>
      </c>
      <c r="D1932" s="32">
        <v>99414</v>
      </c>
      <c r="E1932" s="30" t="s">
        <v>15</v>
      </c>
      <c r="F1932" s="30"/>
      <c r="G1932" s="30"/>
      <c r="H1932" s="30" t="s">
        <v>124</v>
      </c>
      <c r="I1932" s="31" t="s">
        <v>29</v>
      </c>
    </row>
    <row r="1933" spans="2:9" s="6" customFormat="1" ht="11.25" customHeight="1" x14ac:dyDescent="0.55000000000000004">
      <c r="B1933" s="30" t="s">
        <v>3913</v>
      </c>
      <c r="C1933" s="30" t="s">
        <v>3914</v>
      </c>
      <c r="D1933" s="32">
        <v>68764</v>
      </c>
      <c r="E1933" s="30" t="s">
        <v>15</v>
      </c>
      <c r="F1933" s="30" t="s">
        <v>615</v>
      </c>
      <c r="G1933" s="30" t="s">
        <v>35</v>
      </c>
      <c r="H1933" s="30" t="s">
        <v>40</v>
      </c>
      <c r="I1933" s="31" t="s">
        <v>29</v>
      </c>
    </row>
    <row r="1934" spans="2:9" s="6" customFormat="1" ht="11.25" customHeight="1" x14ac:dyDescent="0.55000000000000004">
      <c r="B1934" s="30" t="s">
        <v>3915</v>
      </c>
      <c r="C1934" s="30" t="s">
        <v>3916</v>
      </c>
      <c r="D1934" s="32">
        <v>68764</v>
      </c>
      <c r="E1934" s="30" t="s">
        <v>15</v>
      </c>
      <c r="F1934" s="30"/>
      <c r="G1934" s="30"/>
      <c r="H1934" s="30" t="s">
        <v>40</v>
      </c>
      <c r="I1934" s="31" t="s">
        <v>29</v>
      </c>
    </row>
    <row r="1935" spans="2:9" s="6" customFormat="1" ht="11.25" customHeight="1" x14ac:dyDescent="0.55000000000000004">
      <c r="B1935" s="30" t="s">
        <v>3917</v>
      </c>
      <c r="C1935" s="30" t="s">
        <v>3918</v>
      </c>
      <c r="D1935" s="32">
        <v>89010</v>
      </c>
      <c r="E1935" s="30" t="s">
        <v>15</v>
      </c>
      <c r="F1935" s="30" t="s">
        <v>843</v>
      </c>
      <c r="G1935" s="30"/>
      <c r="H1935" s="30" t="s">
        <v>239</v>
      </c>
      <c r="I1935" s="31" t="s">
        <v>29</v>
      </c>
    </row>
    <row r="1936" spans="2:9" s="6" customFormat="1" ht="11.25" customHeight="1" x14ac:dyDescent="0.55000000000000004">
      <c r="B1936" s="30" t="s">
        <v>3919</v>
      </c>
      <c r="C1936" s="30" t="s">
        <v>3920</v>
      </c>
      <c r="D1936" s="32">
        <v>68691</v>
      </c>
      <c r="E1936" s="30" t="s">
        <v>15</v>
      </c>
      <c r="F1936" s="30"/>
      <c r="G1936" s="30"/>
      <c r="H1936" s="30" t="s">
        <v>45</v>
      </c>
      <c r="I1936" s="31" t="s">
        <v>29</v>
      </c>
    </row>
    <row r="1937" spans="2:9" s="6" customFormat="1" ht="11.25" customHeight="1" x14ac:dyDescent="0.55000000000000004">
      <c r="B1937" s="30" t="s">
        <v>3921</v>
      </c>
      <c r="C1937" s="30" t="s">
        <v>3922</v>
      </c>
      <c r="D1937" s="32">
        <v>68756</v>
      </c>
      <c r="E1937" s="30" t="s">
        <v>15</v>
      </c>
      <c r="F1937" s="30" t="s">
        <v>182</v>
      </c>
      <c r="G1937" s="30"/>
      <c r="H1937" s="30" t="s">
        <v>113</v>
      </c>
      <c r="I1937" s="31" t="s">
        <v>29</v>
      </c>
    </row>
    <row r="1938" spans="2:9" s="6" customFormat="1" ht="11.25" customHeight="1" x14ac:dyDescent="0.55000000000000004">
      <c r="B1938" s="30" t="s">
        <v>3923</v>
      </c>
      <c r="C1938" s="30" t="s">
        <v>3924</v>
      </c>
      <c r="D1938" s="32">
        <v>77038</v>
      </c>
      <c r="E1938" s="30" t="s">
        <v>15</v>
      </c>
      <c r="F1938" s="30"/>
      <c r="G1938" s="30"/>
      <c r="H1938" s="30" t="s">
        <v>48</v>
      </c>
      <c r="I1938" s="31" t="s">
        <v>29</v>
      </c>
    </row>
    <row r="1939" spans="2:9" s="6" customFormat="1" ht="11.25" customHeight="1" x14ac:dyDescent="0.55000000000000004">
      <c r="B1939" s="30" t="s">
        <v>3925</v>
      </c>
      <c r="C1939" s="30" t="s">
        <v>3926</v>
      </c>
      <c r="D1939" s="32">
        <v>68721</v>
      </c>
      <c r="E1939" s="30" t="s">
        <v>15</v>
      </c>
      <c r="F1939" s="30" t="s">
        <v>51</v>
      </c>
      <c r="G1939" s="30" t="s">
        <v>21</v>
      </c>
      <c r="H1939" s="30" t="s">
        <v>156</v>
      </c>
      <c r="I1939" s="31" t="s">
        <v>29</v>
      </c>
    </row>
    <row r="1940" spans="2:9" s="6" customFormat="1" ht="11.25" customHeight="1" x14ac:dyDescent="0.55000000000000004">
      <c r="B1940" s="30" t="s">
        <v>3927</v>
      </c>
      <c r="C1940" s="30" t="s">
        <v>3928</v>
      </c>
      <c r="D1940" s="32">
        <v>68713</v>
      </c>
      <c r="E1940" s="30" t="s">
        <v>20</v>
      </c>
      <c r="F1940" s="30" t="s">
        <v>1124</v>
      </c>
      <c r="G1940" s="30" t="s">
        <v>16</v>
      </c>
      <c r="H1940" s="30" t="s">
        <v>108</v>
      </c>
      <c r="I1940" s="31">
        <v>15511325.976</v>
      </c>
    </row>
    <row r="1941" spans="2:9" s="6" customFormat="1" ht="11.25" customHeight="1" x14ac:dyDescent="0.55000000000000004">
      <c r="B1941" s="30" t="s">
        <v>3929</v>
      </c>
      <c r="C1941" s="30" t="s">
        <v>3930</v>
      </c>
      <c r="D1941" s="32">
        <v>68713</v>
      </c>
      <c r="E1941" s="30" t="s">
        <v>20</v>
      </c>
      <c r="F1941" s="30"/>
      <c r="G1941" s="30"/>
      <c r="H1941" s="30" t="s">
        <v>108</v>
      </c>
      <c r="I1941" s="31" t="s">
        <v>29</v>
      </c>
    </row>
    <row r="1942" spans="2:9" s="6" customFormat="1" ht="11.25" customHeight="1" x14ac:dyDescent="0.55000000000000004">
      <c r="B1942" s="30" t="s">
        <v>3931</v>
      </c>
      <c r="C1942" s="30" t="s">
        <v>3932</v>
      </c>
      <c r="D1942" s="32">
        <v>68713</v>
      </c>
      <c r="E1942" s="30" t="s">
        <v>20</v>
      </c>
      <c r="F1942" s="30"/>
      <c r="G1942" s="30"/>
      <c r="H1942" s="30" t="s">
        <v>108</v>
      </c>
      <c r="I1942" s="31" t="s">
        <v>29</v>
      </c>
    </row>
    <row r="1943" spans="2:9" s="6" customFormat="1" ht="11.25" customHeight="1" x14ac:dyDescent="0.55000000000000004">
      <c r="B1943" s="30" t="s">
        <v>1670</v>
      </c>
      <c r="C1943" s="30" t="s">
        <v>3933</v>
      </c>
      <c r="D1943" s="32" t="s">
        <v>29</v>
      </c>
      <c r="E1943" s="30" t="s">
        <v>20</v>
      </c>
      <c r="F1943" s="30" t="s">
        <v>1670</v>
      </c>
      <c r="G1943" s="30" t="s">
        <v>35</v>
      </c>
      <c r="H1943" s="30" t="s">
        <v>89</v>
      </c>
      <c r="I1943" s="31">
        <v>873720.04399999999</v>
      </c>
    </row>
    <row r="1944" spans="2:9" s="6" customFormat="1" ht="11.25" customHeight="1" x14ac:dyDescent="0.55000000000000004">
      <c r="B1944" s="30" t="s">
        <v>3934</v>
      </c>
      <c r="C1944" s="30" t="s">
        <v>3935</v>
      </c>
      <c r="D1944" s="32">
        <v>69485</v>
      </c>
      <c r="E1944" s="30" t="s">
        <v>20</v>
      </c>
      <c r="F1944" s="30" t="s">
        <v>1670</v>
      </c>
      <c r="G1944" s="30" t="s">
        <v>35</v>
      </c>
      <c r="H1944" s="30" t="s">
        <v>89</v>
      </c>
      <c r="I1944" s="31">
        <v>645188.65500000003</v>
      </c>
    </row>
    <row r="1945" spans="2:9" s="6" customFormat="1" ht="11.25" customHeight="1" x14ac:dyDescent="0.55000000000000004">
      <c r="B1945" s="30" t="s">
        <v>3936</v>
      </c>
      <c r="C1945" s="30" t="s">
        <v>3937</v>
      </c>
      <c r="D1945" s="32">
        <v>60076</v>
      </c>
      <c r="E1945" s="30" t="s">
        <v>20</v>
      </c>
      <c r="F1945" s="30" t="s">
        <v>1000</v>
      </c>
      <c r="G1945" s="30" t="s">
        <v>35</v>
      </c>
      <c r="H1945" s="30" t="s">
        <v>113</v>
      </c>
      <c r="I1945" s="31">
        <v>313007.88900000002</v>
      </c>
    </row>
    <row r="1946" spans="2:9" s="6" customFormat="1" ht="11.25" customHeight="1" x14ac:dyDescent="0.55000000000000004">
      <c r="B1946" s="30" t="s">
        <v>3938</v>
      </c>
      <c r="C1946" s="30" t="s">
        <v>3939</v>
      </c>
      <c r="D1946" s="32">
        <v>91588</v>
      </c>
      <c r="E1946" s="30" t="s">
        <v>15</v>
      </c>
      <c r="F1946" s="30" t="s">
        <v>1124</v>
      </c>
      <c r="G1946" s="30"/>
      <c r="H1946" s="30" t="s">
        <v>108</v>
      </c>
      <c r="I1946" s="31" t="s">
        <v>29</v>
      </c>
    </row>
    <row r="1947" spans="2:9" s="6" customFormat="1" ht="11.25" customHeight="1" x14ac:dyDescent="0.55000000000000004">
      <c r="B1947" s="30" t="s">
        <v>3940</v>
      </c>
      <c r="C1947" s="30" t="s">
        <v>3941</v>
      </c>
      <c r="D1947" s="32">
        <v>74195</v>
      </c>
      <c r="E1947" s="30" t="s">
        <v>15</v>
      </c>
      <c r="F1947" s="30" t="s">
        <v>3942</v>
      </c>
      <c r="G1947" s="30" t="s">
        <v>16</v>
      </c>
      <c r="H1947" s="30" t="s">
        <v>130</v>
      </c>
      <c r="I1947" s="31" t="s">
        <v>29</v>
      </c>
    </row>
    <row r="1948" spans="2:9" s="6" customFormat="1" ht="11.25" customHeight="1" x14ac:dyDescent="0.55000000000000004">
      <c r="B1948" s="30" t="s">
        <v>3943</v>
      </c>
      <c r="C1948" s="30" t="s">
        <v>3944</v>
      </c>
      <c r="D1948" s="32">
        <v>83836</v>
      </c>
      <c r="E1948" s="30" t="s">
        <v>20</v>
      </c>
      <c r="F1948" s="30"/>
      <c r="G1948" s="30" t="s">
        <v>35</v>
      </c>
      <c r="H1948" s="30" t="s">
        <v>266</v>
      </c>
      <c r="I1948" s="31">
        <v>189159.834</v>
      </c>
    </row>
    <row r="1949" spans="2:9" s="6" customFormat="1" ht="11.25" customHeight="1" x14ac:dyDescent="0.55000000000000004">
      <c r="B1949" s="30" t="s">
        <v>3945</v>
      </c>
      <c r="C1949" s="30" t="s">
        <v>3946</v>
      </c>
      <c r="D1949" s="32">
        <v>75361</v>
      </c>
      <c r="E1949" s="30" t="s">
        <v>15</v>
      </c>
      <c r="F1949" s="30"/>
      <c r="G1949" s="30"/>
      <c r="H1949" s="30" t="s">
        <v>179</v>
      </c>
      <c r="I1949" s="31" t="s">
        <v>29</v>
      </c>
    </row>
    <row r="1950" spans="2:9" s="6" customFormat="1" ht="11.25" customHeight="1" x14ac:dyDescent="0.55000000000000004">
      <c r="B1950" s="30" t="s">
        <v>3947</v>
      </c>
      <c r="C1950" s="30" t="s">
        <v>3948</v>
      </c>
      <c r="D1950" s="32">
        <v>73628</v>
      </c>
      <c r="E1950" s="30" t="s">
        <v>15</v>
      </c>
      <c r="F1950" s="30"/>
      <c r="G1950" s="30"/>
      <c r="H1950" s="30" t="s">
        <v>113</v>
      </c>
      <c r="I1950" s="31" t="s">
        <v>29</v>
      </c>
    </row>
    <row r="1951" spans="2:9" s="6" customFormat="1" ht="11.25" customHeight="1" x14ac:dyDescent="0.55000000000000004">
      <c r="B1951" s="30" t="s">
        <v>3949</v>
      </c>
      <c r="C1951" s="30" t="s">
        <v>3950</v>
      </c>
      <c r="D1951" s="32">
        <v>78522</v>
      </c>
      <c r="E1951" s="30" t="s">
        <v>15</v>
      </c>
      <c r="F1951" s="30"/>
      <c r="G1951" s="30"/>
      <c r="H1951" s="30" t="s">
        <v>113</v>
      </c>
      <c r="I1951" s="31" t="s">
        <v>29</v>
      </c>
    </row>
    <row r="1952" spans="2:9" s="6" customFormat="1" ht="11.25" customHeight="1" x14ac:dyDescent="0.55000000000000004">
      <c r="B1952" s="30" t="s">
        <v>3951</v>
      </c>
      <c r="C1952" s="30" t="s">
        <v>3952</v>
      </c>
      <c r="D1952" s="32">
        <v>76325</v>
      </c>
      <c r="E1952" s="30" t="s">
        <v>20</v>
      </c>
      <c r="F1952" s="30"/>
      <c r="G1952" s="30" t="s">
        <v>39</v>
      </c>
      <c r="H1952" s="30" t="s">
        <v>150</v>
      </c>
      <c r="I1952" s="31" t="s">
        <v>29</v>
      </c>
    </row>
    <row r="1953" spans="2:9" s="6" customFormat="1" ht="11.25" customHeight="1" x14ac:dyDescent="0.55000000000000004">
      <c r="B1953" s="30" t="s">
        <v>3953</v>
      </c>
      <c r="C1953" s="30" t="s">
        <v>3954</v>
      </c>
      <c r="D1953" s="32">
        <v>87661</v>
      </c>
      <c r="E1953" s="30" t="s">
        <v>20</v>
      </c>
      <c r="F1953" s="30" t="s">
        <v>3498</v>
      </c>
      <c r="G1953" s="30" t="s">
        <v>35</v>
      </c>
      <c r="H1953" s="30" t="s">
        <v>113</v>
      </c>
      <c r="I1953" s="31" t="s">
        <v>29</v>
      </c>
    </row>
    <row r="1954" spans="2:9" s="6" customFormat="1" ht="11.25" customHeight="1" x14ac:dyDescent="0.55000000000000004">
      <c r="B1954" s="30" t="s">
        <v>3955</v>
      </c>
      <c r="C1954" s="30" t="s">
        <v>3956</v>
      </c>
      <c r="D1954" s="32">
        <v>78662</v>
      </c>
      <c r="E1954" s="30" t="s">
        <v>20</v>
      </c>
      <c r="F1954" s="30" t="s">
        <v>3498</v>
      </c>
      <c r="G1954" s="30" t="s">
        <v>35</v>
      </c>
      <c r="H1954" s="30" t="s">
        <v>108</v>
      </c>
      <c r="I1954" s="31">
        <v>69791.903000000006</v>
      </c>
    </row>
    <row r="1955" spans="2:9" s="6" customFormat="1" ht="11.25" customHeight="1" x14ac:dyDescent="0.55000000000000004">
      <c r="B1955" s="30" t="s">
        <v>3957</v>
      </c>
      <c r="C1955" s="30" t="s">
        <v>3958</v>
      </c>
      <c r="D1955" s="32">
        <v>77119</v>
      </c>
      <c r="E1955" s="30" t="s">
        <v>20</v>
      </c>
      <c r="F1955" s="30" t="s">
        <v>792</v>
      </c>
      <c r="G1955" s="30" t="s">
        <v>35</v>
      </c>
      <c r="H1955" s="30" t="s">
        <v>124</v>
      </c>
      <c r="I1955" s="31">
        <v>25948.164000000001</v>
      </c>
    </row>
    <row r="1956" spans="2:9" s="6" customFormat="1" ht="11.25" customHeight="1" x14ac:dyDescent="0.55000000000000004">
      <c r="B1956" s="30" t="s">
        <v>3959</v>
      </c>
      <c r="C1956" s="30" t="s">
        <v>3960</v>
      </c>
      <c r="D1956" s="32">
        <v>68802</v>
      </c>
      <c r="E1956" s="30" t="s">
        <v>20</v>
      </c>
      <c r="F1956" s="30" t="s">
        <v>38</v>
      </c>
      <c r="G1956" s="30" t="s">
        <v>155</v>
      </c>
      <c r="H1956" s="30" t="s">
        <v>89</v>
      </c>
      <c r="I1956" s="31">
        <v>690365.88800000004</v>
      </c>
    </row>
    <row r="1957" spans="2:9" s="6" customFormat="1" ht="11.25" customHeight="1" x14ac:dyDescent="0.55000000000000004">
      <c r="B1957" s="30" t="s">
        <v>3365</v>
      </c>
      <c r="C1957" s="30" t="s">
        <v>3961</v>
      </c>
      <c r="D1957" s="32" t="s">
        <v>29</v>
      </c>
      <c r="E1957" s="30" t="s">
        <v>20</v>
      </c>
      <c r="F1957" s="30" t="s">
        <v>3365</v>
      </c>
      <c r="G1957" s="30" t="s">
        <v>155</v>
      </c>
      <c r="H1957" s="30" t="s">
        <v>146</v>
      </c>
      <c r="I1957" s="31">
        <v>8384602.5729999999</v>
      </c>
    </row>
    <row r="1958" spans="2:9" s="6" customFormat="1" ht="11.25" customHeight="1" x14ac:dyDescent="0.55000000000000004">
      <c r="B1958" s="30" t="s">
        <v>3962</v>
      </c>
      <c r="C1958" s="30" t="s">
        <v>3963</v>
      </c>
      <c r="D1958" s="32" t="s">
        <v>29</v>
      </c>
      <c r="E1958" s="30" t="s">
        <v>20</v>
      </c>
      <c r="F1958" s="30"/>
      <c r="G1958" s="30"/>
      <c r="H1958" s="30" t="s">
        <v>146</v>
      </c>
      <c r="I1958" s="31" t="s">
        <v>29</v>
      </c>
    </row>
    <row r="1959" spans="2:9" s="6" customFormat="1" ht="11.25" customHeight="1" x14ac:dyDescent="0.55000000000000004">
      <c r="B1959" s="30" t="s">
        <v>3964</v>
      </c>
      <c r="C1959" s="30" t="s">
        <v>3965</v>
      </c>
      <c r="D1959" s="32">
        <v>68829</v>
      </c>
      <c r="E1959" s="30" t="s">
        <v>20</v>
      </c>
      <c r="F1959" s="30" t="s">
        <v>3365</v>
      </c>
      <c r="G1959" s="30" t="s">
        <v>155</v>
      </c>
      <c r="H1959" s="30" t="s">
        <v>124</v>
      </c>
      <c r="I1959" s="31">
        <v>129403.399</v>
      </c>
    </row>
    <row r="1960" spans="2:9" s="6" customFormat="1" ht="11.25" customHeight="1" x14ac:dyDescent="0.55000000000000004">
      <c r="B1960" s="30" t="s">
        <v>3966</v>
      </c>
      <c r="C1960" s="30" t="s">
        <v>3967</v>
      </c>
      <c r="D1960" s="32">
        <v>68829</v>
      </c>
      <c r="E1960" s="30" t="s">
        <v>20</v>
      </c>
      <c r="F1960" s="30"/>
      <c r="G1960" s="30"/>
      <c r="H1960" s="30" t="s">
        <v>124</v>
      </c>
      <c r="I1960" s="31" t="s">
        <v>29</v>
      </c>
    </row>
    <row r="1961" spans="2:9" s="6" customFormat="1" ht="11.25" customHeight="1" x14ac:dyDescent="0.55000000000000004">
      <c r="B1961" s="30" t="s">
        <v>3968</v>
      </c>
      <c r="C1961" s="30" t="s">
        <v>3969</v>
      </c>
      <c r="D1961" s="32">
        <v>68829</v>
      </c>
      <c r="E1961" s="30" t="s">
        <v>20</v>
      </c>
      <c r="F1961" s="30"/>
      <c r="G1961" s="30"/>
      <c r="H1961" s="30" t="s">
        <v>124</v>
      </c>
      <c r="I1961" s="31" t="s">
        <v>29</v>
      </c>
    </row>
    <row r="1962" spans="2:9" s="6" customFormat="1" ht="11.25" customHeight="1" x14ac:dyDescent="0.55000000000000004">
      <c r="B1962" s="30" t="s">
        <v>3970</v>
      </c>
      <c r="C1962" s="30" t="s">
        <v>3971</v>
      </c>
      <c r="D1962" s="32">
        <v>68810</v>
      </c>
      <c r="E1962" s="30" t="s">
        <v>20</v>
      </c>
      <c r="F1962" s="30" t="s">
        <v>3365</v>
      </c>
      <c r="G1962" s="30" t="s">
        <v>155</v>
      </c>
      <c r="H1962" s="30" t="s">
        <v>146</v>
      </c>
      <c r="I1962" s="31">
        <v>8168802.8590000002</v>
      </c>
    </row>
    <row r="1963" spans="2:9" s="6" customFormat="1" ht="11.25" customHeight="1" x14ac:dyDescent="0.55000000000000004">
      <c r="B1963" s="30" t="s">
        <v>3972</v>
      </c>
      <c r="C1963" s="30" t="s">
        <v>3973</v>
      </c>
      <c r="D1963" s="32">
        <v>68810</v>
      </c>
      <c r="E1963" s="30" t="s">
        <v>20</v>
      </c>
      <c r="F1963" s="30"/>
      <c r="G1963" s="30"/>
      <c r="H1963" s="30" t="s">
        <v>146</v>
      </c>
      <c r="I1963" s="31" t="s">
        <v>29</v>
      </c>
    </row>
    <row r="1964" spans="2:9" s="6" customFormat="1" ht="11.25" customHeight="1" x14ac:dyDescent="0.55000000000000004">
      <c r="B1964" s="30" t="s">
        <v>3974</v>
      </c>
      <c r="C1964" s="30" t="s">
        <v>3975</v>
      </c>
      <c r="D1964" s="32">
        <v>68810</v>
      </c>
      <c r="E1964" s="30" t="s">
        <v>20</v>
      </c>
      <c r="F1964" s="30"/>
      <c r="G1964" s="30"/>
      <c r="H1964" s="30" t="s">
        <v>146</v>
      </c>
      <c r="I1964" s="31" t="s">
        <v>29</v>
      </c>
    </row>
    <row r="1965" spans="2:9" s="6" customFormat="1" ht="11.25" customHeight="1" x14ac:dyDescent="0.55000000000000004">
      <c r="B1965" s="30" t="s">
        <v>3976</v>
      </c>
      <c r="C1965" s="30" t="s">
        <v>3977</v>
      </c>
      <c r="D1965" s="32">
        <v>60210</v>
      </c>
      <c r="E1965" s="30" t="s">
        <v>15</v>
      </c>
      <c r="F1965" s="30"/>
      <c r="G1965" s="30"/>
      <c r="H1965" s="30" t="s">
        <v>92</v>
      </c>
      <c r="I1965" s="31" t="s">
        <v>29</v>
      </c>
    </row>
    <row r="1966" spans="2:9" s="6" customFormat="1" ht="11.25" customHeight="1" x14ac:dyDescent="0.55000000000000004">
      <c r="B1966" s="30" t="s">
        <v>3978</v>
      </c>
      <c r="C1966" s="30" t="s">
        <v>3979</v>
      </c>
      <c r="D1966" s="32">
        <v>99465</v>
      </c>
      <c r="E1966" s="30" t="s">
        <v>15</v>
      </c>
      <c r="F1966" s="30"/>
      <c r="G1966" s="30" t="s">
        <v>16</v>
      </c>
      <c r="H1966" s="30" t="s">
        <v>113</v>
      </c>
      <c r="I1966" s="31" t="s">
        <v>29</v>
      </c>
    </row>
    <row r="1967" spans="2:9" s="6" customFormat="1" ht="11.25" customHeight="1" x14ac:dyDescent="0.55000000000000004">
      <c r="B1967" s="30" t="s">
        <v>3980</v>
      </c>
      <c r="C1967" s="30" t="s">
        <v>3981</v>
      </c>
      <c r="D1967" s="32">
        <v>77151</v>
      </c>
      <c r="E1967" s="30" t="s">
        <v>15</v>
      </c>
      <c r="F1967" s="30"/>
      <c r="G1967" s="30" t="s">
        <v>16</v>
      </c>
      <c r="H1967" s="30" t="s">
        <v>113</v>
      </c>
      <c r="I1967" s="31" t="s">
        <v>29</v>
      </c>
    </row>
    <row r="1968" spans="2:9" s="6" customFormat="1" ht="11.25" customHeight="1" x14ac:dyDescent="0.55000000000000004">
      <c r="B1968" s="30" t="s">
        <v>3982</v>
      </c>
      <c r="C1968" s="30" t="s">
        <v>3983</v>
      </c>
      <c r="D1968" s="32">
        <v>64220</v>
      </c>
      <c r="E1968" s="30" t="s">
        <v>15</v>
      </c>
      <c r="F1968" s="30" t="s">
        <v>185</v>
      </c>
      <c r="G1968" s="30"/>
      <c r="H1968" s="30" t="s">
        <v>26</v>
      </c>
      <c r="I1968" s="31" t="s">
        <v>29</v>
      </c>
    </row>
    <row r="1969" spans="2:9" s="6" customFormat="1" ht="11.25" customHeight="1" x14ac:dyDescent="0.55000000000000004">
      <c r="B1969" s="30" t="s">
        <v>3984</v>
      </c>
      <c r="C1969" s="30" t="s">
        <v>3985</v>
      </c>
      <c r="D1969" s="32">
        <v>97241</v>
      </c>
      <c r="E1969" s="30" t="s">
        <v>20</v>
      </c>
      <c r="F1969" s="30" t="s">
        <v>185</v>
      </c>
      <c r="G1969" s="30" t="s">
        <v>35</v>
      </c>
      <c r="H1969" s="30" t="s">
        <v>146</v>
      </c>
      <c r="I1969" s="31">
        <v>443670.53600000002</v>
      </c>
    </row>
    <row r="1970" spans="2:9" s="6" customFormat="1" ht="11.25" customHeight="1" x14ac:dyDescent="0.55000000000000004">
      <c r="B1970" s="30" t="s">
        <v>3986</v>
      </c>
      <c r="C1970" s="30" t="s">
        <v>3987</v>
      </c>
      <c r="D1970" s="32">
        <v>64947</v>
      </c>
      <c r="E1970" s="30" t="s">
        <v>15</v>
      </c>
      <c r="F1970" s="30"/>
      <c r="G1970" s="30"/>
      <c r="H1970" s="30" t="s">
        <v>75</v>
      </c>
      <c r="I1970" s="31" t="s">
        <v>29</v>
      </c>
    </row>
    <row r="1971" spans="2:9" s="6" customFormat="1" ht="11.25" customHeight="1" x14ac:dyDescent="0.55000000000000004">
      <c r="B1971" s="30" t="s">
        <v>3988</v>
      </c>
      <c r="C1971" s="30" t="s">
        <v>3989</v>
      </c>
      <c r="D1971" s="32">
        <v>65757</v>
      </c>
      <c r="E1971" s="30" t="s">
        <v>20</v>
      </c>
      <c r="F1971" s="30"/>
      <c r="G1971" s="30" t="s">
        <v>35</v>
      </c>
      <c r="H1971" s="30" t="s">
        <v>500</v>
      </c>
      <c r="I1971" s="31">
        <v>1308791.571</v>
      </c>
    </row>
    <row r="1972" spans="2:9" s="6" customFormat="1" ht="11.25" customHeight="1" x14ac:dyDescent="0.55000000000000004">
      <c r="B1972" s="30" t="s">
        <v>3990</v>
      </c>
      <c r="C1972" s="30" t="s">
        <v>3991</v>
      </c>
      <c r="D1972" s="32" t="s">
        <v>29</v>
      </c>
      <c r="E1972" s="30" t="s">
        <v>20</v>
      </c>
      <c r="F1972" s="30" t="s">
        <v>3990</v>
      </c>
      <c r="G1972" s="30" t="s">
        <v>21</v>
      </c>
      <c r="H1972" s="30" t="s">
        <v>124</v>
      </c>
      <c r="I1972" s="31">
        <v>190206.59700000001</v>
      </c>
    </row>
    <row r="1973" spans="2:9" s="6" customFormat="1" ht="11.25" customHeight="1" x14ac:dyDescent="0.55000000000000004">
      <c r="B1973" s="30" t="s">
        <v>3992</v>
      </c>
      <c r="C1973" s="30" t="s">
        <v>3993</v>
      </c>
      <c r="D1973" s="32">
        <v>89958</v>
      </c>
      <c r="E1973" s="30" t="s">
        <v>20</v>
      </c>
      <c r="F1973" s="30" t="s">
        <v>3990</v>
      </c>
      <c r="G1973" s="30" t="s">
        <v>16</v>
      </c>
      <c r="H1973" s="30" t="s">
        <v>124</v>
      </c>
      <c r="I1973" s="31">
        <v>9658.6139999999996</v>
      </c>
    </row>
    <row r="1974" spans="2:9" s="6" customFormat="1" ht="11.25" customHeight="1" x14ac:dyDescent="0.55000000000000004">
      <c r="B1974" s="30" t="s">
        <v>3994</v>
      </c>
      <c r="C1974" s="30" t="s">
        <v>3995</v>
      </c>
      <c r="D1974" s="32">
        <v>81434</v>
      </c>
      <c r="E1974" s="30" t="s">
        <v>20</v>
      </c>
      <c r="F1974" s="30" t="s">
        <v>3990</v>
      </c>
      <c r="G1974" s="30" t="s">
        <v>21</v>
      </c>
      <c r="H1974" s="30" t="s">
        <v>124</v>
      </c>
      <c r="I1974" s="31">
        <v>189354.71400000001</v>
      </c>
    </row>
    <row r="1975" spans="2:9" s="6" customFormat="1" ht="11.25" customHeight="1" x14ac:dyDescent="0.55000000000000004">
      <c r="B1975" s="30" t="s">
        <v>3996</v>
      </c>
      <c r="C1975" s="30" t="s">
        <v>3997</v>
      </c>
      <c r="D1975" s="32">
        <v>68845</v>
      </c>
      <c r="E1975" s="30" t="s">
        <v>20</v>
      </c>
      <c r="F1975" s="30" t="s">
        <v>3224</v>
      </c>
      <c r="G1975" s="30" t="s">
        <v>265</v>
      </c>
      <c r="H1975" s="30" t="s">
        <v>26</v>
      </c>
      <c r="I1975" s="31">
        <v>1001213.046</v>
      </c>
    </row>
    <row r="1976" spans="2:9" s="6" customFormat="1" ht="11.25" customHeight="1" x14ac:dyDescent="0.55000000000000004">
      <c r="B1976" s="30" t="s">
        <v>3998</v>
      </c>
      <c r="C1976" s="30" t="s">
        <v>3999</v>
      </c>
      <c r="D1976" s="32">
        <v>98868</v>
      </c>
      <c r="E1976" s="30" t="s">
        <v>20</v>
      </c>
      <c r="F1976" s="30" t="s">
        <v>4000</v>
      </c>
      <c r="G1976" s="30" t="s">
        <v>80</v>
      </c>
      <c r="H1976" s="30" t="s">
        <v>45</v>
      </c>
      <c r="I1976" s="31">
        <v>2185.7400000000002</v>
      </c>
    </row>
    <row r="1977" spans="2:9" s="6" customFormat="1" ht="11.25" customHeight="1" x14ac:dyDescent="0.55000000000000004">
      <c r="B1977" s="30" t="s">
        <v>4001</v>
      </c>
      <c r="C1977" s="30" t="s">
        <v>4002</v>
      </c>
      <c r="D1977" s="32">
        <v>77208</v>
      </c>
      <c r="E1977" s="30" t="s">
        <v>15</v>
      </c>
      <c r="F1977" s="30"/>
      <c r="G1977" s="30"/>
      <c r="H1977" s="30" t="s">
        <v>262</v>
      </c>
      <c r="I1977" s="31" t="s">
        <v>29</v>
      </c>
    </row>
    <row r="1978" spans="2:9" s="6" customFormat="1" ht="11.25" customHeight="1" x14ac:dyDescent="0.55000000000000004">
      <c r="B1978" s="30" t="s">
        <v>4003</v>
      </c>
      <c r="C1978" s="30" t="s">
        <v>4004</v>
      </c>
      <c r="D1978" s="32">
        <v>98175</v>
      </c>
      <c r="E1978" s="30" t="s">
        <v>15</v>
      </c>
      <c r="F1978" s="30"/>
      <c r="G1978" s="30"/>
      <c r="H1978" s="30" t="s">
        <v>266</v>
      </c>
      <c r="I1978" s="31" t="s">
        <v>29</v>
      </c>
    </row>
    <row r="1979" spans="2:9" s="6" customFormat="1" ht="11.25" customHeight="1" x14ac:dyDescent="0.55000000000000004">
      <c r="B1979" s="30" t="s">
        <v>4005</v>
      </c>
      <c r="C1979" s="30" t="s">
        <v>4006</v>
      </c>
      <c r="D1979" s="32">
        <v>70980</v>
      </c>
      <c r="E1979" s="30" t="s">
        <v>15</v>
      </c>
      <c r="F1979" s="30" t="s">
        <v>1424</v>
      </c>
      <c r="G1979" s="30"/>
      <c r="H1979" s="30" t="s">
        <v>22</v>
      </c>
      <c r="I1979" s="31" t="s">
        <v>29</v>
      </c>
    </row>
    <row r="1980" spans="2:9" s="6" customFormat="1" ht="11.25" customHeight="1" x14ac:dyDescent="0.55000000000000004">
      <c r="B1980" s="30" t="s">
        <v>1436</v>
      </c>
      <c r="C1980" s="30" t="s">
        <v>4007</v>
      </c>
      <c r="D1980" s="32" t="s">
        <v>29</v>
      </c>
      <c r="E1980" s="30" t="s">
        <v>20</v>
      </c>
      <c r="F1980" s="30" t="s">
        <v>1436</v>
      </c>
      <c r="G1980" s="30" t="s">
        <v>88</v>
      </c>
      <c r="H1980" s="30" t="s">
        <v>89</v>
      </c>
      <c r="I1980" s="31">
        <v>1719379.9480000001</v>
      </c>
    </row>
    <row r="1981" spans="2:9" s="6" customFormat="1" ht="11.25" customHeight="1" x14ac:dyDescent="0.55000000000000004">
      <c r="B1981" s="30" t="s">
        <v>4008</v>
      </c>
      <c r="C1981" s="30" t="s">
        <v>4009</v>
      </c>
      <c r="D1981" s="32">
        <v>60245</v>
      </c>
      <c r="E1981" s="30" t="s">
        <v>15</v>
      </c>
      <c r="F1981" s="30"/>
      <c r="G1981" s="30"/>
      <c r="H1981" s="30" t="s">
        <v>735</v>
      </c>
      <c r="I1981" s="31" t="s">
        <v>29</v>
      </c>
    </row>
    <row r="1982" spans="2:9" s="6" customFormat="1" ht="11.25" customHeight="1" x14ac:dyDescent="0.55000000000000004">
      <c r="B1982" s="30" t="s">
        <v>4010</v>
      </c>
      <c r="C1982" s="30" t="s">
        <v>4011</v>
      </c>
      <c r="D1982" s="32">
        <v>84069</v>
      </c>
      <c r="E1982" s="30" t="s">
        <v>20</v>
      </c>
      <c r="F1982" s="30" t="s">
        <v>4012</v>
      </c>
      <c r="G1982" s="30" t="s">
        <v>35</v>
      </c>
      <c r="H1982" s="30" t="s">
        <v>266</v>
      </c>
      <c r="I1982" s="31" t="s">
        <v>29</v>
      </c>
    </row>
    <row r="1983" spans="2:9" s="6" customFormat="1" ht="11.25" customHeight="1" x14ac:dyDescent="0.55000000000000004">
      <c r="B1983" s="30" t="s">
        <v>4012</v>
      </c>
      <c r="C1983" s="30" t="s">
        <v>4013</v>
      </c>
      <c r="D1983" s="32" t="s">
        <v>29</v>
      </c>
      <c r="E1983" s="30" t="s">
        <v>20</v>
      </c>
      <c r="F1983" s="30" t="s">
        <v>4012</v>
      </c>
      <c r="G1983" s="30" t="s">
        <v>35</v>
      </c>
      <c r="H1983" s="30" t="s">
        <v>266</v>
      </c>
      <c r="I1983" s="31" t="s">
        <v>29</v>
      </c>
    </row>
    <row r="1984" spans="2:9" s="6" customFormat="1" ht="11.25" customHeight="1" x14ac:dyDescent="0.55000000000000004">
      <c r="B1984" s="30" t="s">
        <v>4014</v>
      </c>
      <c r="C1984" s="30" t="s">
        <v>4015</v>
      </c>
      <c r="D1984" s="32">
        <v>99856</v>
      </c>
      <c r="E1984" s="30" t="s">
        <v>15</v>
      </c>
      <c r="F1984" s="30"/>
      <c r="G1984" s="30"/>
      <c r="H1984" s="30" t="s">
        <v>92</v>
      </c>
      <c r="I1984" s="31" t="s">
        <v>29</v>
      </c>
    </row>
    <row r="1985" spans="2:9" s="6" customFormat="1" ht="11.25" customHeight="1" x14ac:dyDescent="0.55000000000000004">
      <c r="B1985" s="30" t="s">
        <v>4016</v>
      </c>
      <c r="C1985" s="30" t="s">
        <v>4017</v>
      </c>
      <c r="D1985" s="32">
        <v>72257</v>
      </c>
      <c r="E1985" s="30" t="s">
        <v>15</v>
      </c>
      <c r="F1985" s="30"/>
      <c r="G1985" s="30"/>
      <c r="H1985" s="30" t="s">
        <v>108</v>
      </c>
      <c r="I1985" s="31" t="s">
        <v>29</v>
      </c>
    </row>
    <row r="1986" spans="2:9" s="6" customFormat="1" ht="11.25" customHeight="1" x14ac:dyDescent="0.55000000000000004">
      <c r="B1986" s="30" t="s">
        <v>4018</v>
      </c>
      <c r="C1986" s="30" t="s">
        <v>4019</v>
      </c>
      <c r="D1986" s="32">
        <v>94617</v>
      </c>
      <c r="E1986" s="30" t="s">
        <v>15</v>
      </c>
      <c r="F1986" s="30"/>
      <c r="G1986" s="30" t="s">
        <v>16</v>
      </c>
      <c r="H1986" s="30" t="s">
        <v>179</v>
      </c>
      <c r="I1986" s="31" t="s">
        <v>29</v>
      </c>
    </row>
    <row r="1987" spans="2:9" s="6" customFormat="1" ht="11.25" customHeight="1" x14ac:dyDescent="0.55000000000000004">
      <c r="B1987" s="30" t="s">
        <v>4020</v>
      </c>
      <c r="C1987" s="30" t="s">
        <v>4021</v>
      </c>
      <c r="D1987" s="32">
        <v>68896</v>
      </c>
      <c r="E1987" s="30" t="s">
        <v>20</v>
      </c>
      <c r="F1987" s="30"/>
      <c r="G1987" s="30" t="s">
        <v>35</v>
      </c>
      <c r="H1987" s="30" t="s">
        <v>179</v>
      </c>
      <c r="I1987" s="31">
        <v>14730989.978</v>
      </c>
    </row>
    <row r="1988" spans="2:9" s="6" customFormat="1" ht="11.25" customHeight="1" x14ac:dyDescent="0.55000000000000004">
      <c r="B1988" s="30" t="s">
        <v>4022</v>
      </c>
      <c r="C1988" s="30" t="s">
        <v>4023</v>
      </c>
      <c r="D1988" s="32">
        <v>68896</v>
      </c>
      <c r="E1988" s="30" t="s">
        <v>20</v>
      </c>
      <c r="F1988" s="30"/>
      <c r="G1988" s="30"/>
      <c r="H1988" s="30" t="s">
        <v>179</v>
      </c>
      <c r="I1988" s="31" t="s">
        <v>29</v>
      </c>
    </row>
    <row r="1989" spans="2:9" s="6" customFormat="1" ht="11.25" customHeight="1" x14ac:dyDescent="0.55000000000000004">
      <c r="B1989" s="30" t="s">
        <v>4024</v>
      </c>
      <c r="C1989" s="30" t="s">
        <v>4025</v>
      </c>
      <c r="D1989" s="32">
        <v>68896</v>
      </c>
      <c r="E1989" s="30" t="s">
        <v>20</v>
      </c>
      <c r="F1989" s="30"/>
      <c r="G1989" s="30"/>
      <c r="H1989" s="30" t="s">
        <v>179</v>
      </c>
      <c r="I1989" s="31" t="s">
        <v>29</v>
      </c>
    </row>
    <row r="1990" spans="2:9" s="6" customFormat="1" ht="11.25" customHeight="1" x14ac:dyDescent="0.55000000000000004">
      <c r="B1990" s="30" t="s">
        <v>4026</v>
      </c>
      <c r="C1990" s="30" t="s">
        <v>4027</v>
      </c>
      <c r="D1990" s="32">
        <v>97004</v>
      </c>
      <c r="E1990" s="30" t="s">
        <v>15</v>
      </c>
      <c r="F1990" s="30"/>
      <c r="G1990" s="30"/>
      <c r="H1990" s="30" t="s">
        <v>179</v>
      </c>
      <c r="I1990" s="31" t="s">
        <v>29</v>
      </c>
    </row>
    <row r="1991" spans="2:9" s="6" customFormat="1" ht="11.25" customHeight="1" x14ac:dyDescent="0.55000000000000004">
      <c r="B1991" s="30" t="s">
        <v>4028</v>
      </c>
      <c r="C1991" s="30" t="s">
        <v>4029</v>
      </c>
      <c r="D1991" s="32">
        <v>84077</v>
      </c>
      <c r="E1991" s="30" t="s">
        <v>20</v>
      </c>
      <c r="F1991" s="30" t="s">
        <v>4012</v>
      </c>
      <c r="G1991" s="30" t="s">
        <v>16</v>
      </c>
      <c r="H1991" s="30" t="s">
        <v>266</v>
      </c>
      <c r="I1991" s="31" t="s">
        <v>29</v>
      </c>
    </row>
    <row r="1992" spans="2:9" s="6" customFormat="1" ht="11.25" customHeight="1" x14ac:dyDescent="0.55000000000000004">
      <c r="B1992" s="30" t="s">
        <v>4030</v>
      </c>
      <c r="C1992" s="30" t="s">
        <v>4031</v>
      </c>
      <c r="D1992" s="32">
        <v>88323</v>
      </c>
      <c r="E1992" s="30" t="s">
        <v>20</v>
      </c>
      <c r="F1992" s="30" t="s">
        <v>1822</v>
      </c>
      <c r="G1992" s="30" t="s">
        <v>155</v>
      </c>
      <c r="H1992" s="30" t="s">
        <v>48</v>
      </c>
      <c r="I1992" s="31">
        <v>68793.358000000007</v>
      </c>
    </row>
    <row r="1993" spans="2:9" s="6" customFormat="1" ht="11.25" customHeight="1" x14ac:dyDescent="0.55000000000000004">
      <c r="B1993" s="30" t="s">
        <v>4032</v>
      </c>
      <c r="C1993" s="30" t="s">
        <v>4033</v>
      </c>
      <c r="D1993" s="32">
        <v>60009</v>
      </c>
      <c r="E1993" s="30" t="s">
        <v>20</v>
      </c>
      <c r="F1993" s="30"/>
      <c r="G1993" s="30" t="s">
        <v>25</v>
      </c>
      <c r="H1993" s="30" t="s">
        <v>66</v>
      </c>
      <c r="I1993" s="31">
        <v>19314.687000000002</v>
      </c>
    </row>
    <row r="1994" spans="2:9" s="6" customFormat="1" ht="11.25" customHeight="1" x14ac:dyDescent="0.55000000000000004">
      <c r="B1994" s="30" t="s">
        <v>4034</v>
      </c>
      <c r="C1994" s="30" t="s">
        <v>4035</v>
      </c>
      <c r="D1994" s="32">
        <v>74365</v>
      </c>
      <c r="E1994" s="30" t="s">
        <v>15</v>
      </c>
      <c r="F1994" s="30" t="s">
        <v>465</v>
      </c>
      <c r="G1994" s="30" t="s">
        <v>80</v>
      </c>
      <c r="H1994" s="30" t="s">
        <v>156</v>
      </c>
      <c r="I1994" s="31" t="s">
        <v>29</v>
      </c>
    </row>
    <row r="1995" spans="2:9" s="6" customFormat="1" ht="11.25" customHeight="1" x14ac:dyDescent="0.55000000000000004">
      <c r="B1995" s="30" t="s">
        <v>4036</v>
      </c>
      <c r="C1995" s="30" t="s">
        <v>4037</v>
      </c>
      <c r="D1995" s="32">
        <v>77275</v>
      </c>
      <c r="E1995" s="30" t="s">
        <v>15</v>
      </c>
      <c r="F1995" s="30"/>
      <c r="G1995" s="30"/>
      <c r="H1995" s="30" t="s">
        <v>105</v>
      </c>
      <c r="I1995" s="31" t="s">
        <v>29</v>
      </c>
    </row>
    <row r="1996" spans="2:9" s="6" customFormat="1" ht="11.25" customHeight="1" x14ac:dyDescent="0.55000000000000004">
      <c r="B1996" s="30" t="s">
        <v>4038</v>
      </c>
      <c r="C1996" s="30" t="s">
        <v>4039</v>
      </c>
      <c r="D1996" s="32">
        <v>98760</v>
      </c>
      <c r="E1996" s="30" t="s">
        <v>15</v>
      </c>
      <c r="F1996" s="30"/>
      <c r="G1996" s="30"/>
      <c r="H1996" s="30" t="s">
        <v>262</v>
      </c>
      <c r="I1996" s="31" t="s">
        <v>29</v>
      </c>
    </row>
    <row r="1997" spans="2:9" s="6" customFormat="1" ht="11.25" customHeight="1" x14ac:dyDescent="0.55000000000000004">
      <c r="B1997" s="30" t="s">
        <v>4040</v>
      </c>
      <c r="C1997" s="30" t="s">
        <v>4041</v>
      </c>
      <c r="D1997" s="32">
        <v>73377</v>
      </c>
      <c r="E1997" s="30" t="s">
        <v>15</v>
      </c>
      <c r="F1997" s="30"/>
      <c r="G1997" s="30" t="s">
        <v>16</v>
      </c>
      <c r="H1997" s="30" t="s">
        <v>262</v>
      </c>
      <c r="I1997" s="31" t="s">
        <v>29</v>
      </c>
    </row>
    <row r="1998" spans="2:9" s="6" customFormat="1" ht="11.25" customHeight="1" x14ac:dyDescent="0.55000000000000004">
      <c r="B1998" s="30" t="s">
        <v>4042</v>
      </c>
      <c r="C1998" s="30" t="s">
        <v>4043</v>
      </c>
      <c r="D1998" s="32">
        <v>75531</v>
      </c>
      <c r="E1998" s="30" t="s">
        <v>20</v>
      </c>
      <c r="F1998" s="30" t="s">
        <v>1670</v>
      </c>
      <c r="G1998" s="30" t="s">
        <v>16</v>
      </c>
      <c r="H1998" s="30" t="s">
        <v>89</v>
      </c>
      <c r="I1998" s="31">
        <v>1626.501</v>
      </c>
    </row>
    <row r="1999" spans="2:9" s="6" customFormat="1" ht="11.25" customHeight="1" x14ac:dyDescent="0.55000000000000004">
      <c r="B1999" s="30" t="s">
        <v>4044</v>
      </c>
      <c r="C1999" s="30" t="s">
        <v>4045</v>
      </c>
      <c r="D1999" s="32">
        <v>68942</v>
      </c>
      <c r="E1999" s="30" t="s">
        <v>15</v>
      </c>
      <c r="F1999" s="30"/>
      <c r="G1999" s="30"/>
      <c r="H1999" s="30" t="s">
        <v>48</v>
      </c>
      <c r="I1999" s="31" t="s">
        <v>29</v>
      </c>
    </row>
    <row r="2000" spans="2:9" s="6" customFormat="1" ht="11.25" customHeight="1" x14ac:dyDescent="0.55000000000000004">
      <c r="B2000" s="30" t="s">
        <v>4046</v>
      </c>
      <c r="C2000" s="30" t="s">
        <v>4047</v>
      </c>
      <c r="D2000" s="32">
        <v>68950</v>
      </c>
      <c r="E2000" s="30" t="s">
        <v>15</v>
      </c>
      <c r="F2000" s="30" t="s">
        <v>1124</v>
      </c>
      <c r="G2000" s="30"/>
      <c r="H2000" s="30" t="s">
        <v>108</v>
      </c>
      <c r="I2000" s="31" t="s">
        <v>29</v>
      </c>
    </row>
    <row r="2001" spans="2:9" s="6" customFormat="1" ht="11.25" customHeight="1" x14ac:dyDescent="0.55000000000000004">
      <c r="B2001" s="30" t="s">
        <v>4048</v>
      </c>
      <c r="C2001" s="30" t="s">
        <v>4049</v>
      </c>
      <c r="D2001" s="32">
        <v>68950</v>
      </c>
      <c r="E2001" s="30" t="s">
        <v>15</v>
      </c>
      <c r="F2001" s="30"/>
      <c r="G2001" s="30"/>
      <c r="H2001" s="30" t="s">
        <v>108</v>
      </c>
      <c r="I2001" s="31" t="s">
        <v>29</v>
      </c>
    </row>
    <row r="2002" spans="2:9" s="6" customFormat="1" ht="11.25" customHeight="1" x14ac:dyDescent="0.55000000000000004">
      <c r="B2002" s="30" t="s">
        <v>4050</v>
      </c>
      <c r="C2002" s="30" t="s">
        <v>4051</v>
      </c>
      <c r="D2002" s="32">
        <v>79057</v>
      </c>
      <c r="E2002" s="30" t="s">
        <v>15</v>
      </c>
      <c r="F2002" s="30"/>
      <c r="G2002" s="30" t="s">
        <v>16</v>
      </c>
      <c r="H2002" s="30" t="s">
        <v>686</v>
      </c>
      <c r="I2002" s="31" t="s">
        <v>29</v>
      </c>
    </row>
    <row r="2003" spans="2:9" s="6" customFormat="1" ht="11.25" customHeight="1" x14ac:dyDescent="0.55000000000000004">
      <c r="B2003" s="30" t="s">
        <v>4052</v>
      </c>
      <c r="C2003" s="30" t="s">
        <v>4053</v>
      </c>
      <c r="D2003" s="32">
        <v>79200</v>
      </c>
      <c r="E2003" s="30" t="s">
        <v>15</v>
      </c>
      <c r="F2003" s="30"/>
      <c r="G2003" s="30"/>
      <c r="H2003" s="30" t="s">
        <v>22</v>
      </c>
      <c r="I2003" s="31" t="s">
        <v>29</v>
      </c>
    </row>
    <row r="2004" spans="2:9" s="6" customFormat="1" ht="11.25" customHeight="1" x14ac:dyDescent="0.55000000000000004">
      <c r="B2004" s="30" t="s">
        <v>4054</v>
      </c>
      <c r="C2004" s="30" t="s">
        <v>4055</v>
      </c>
      <c r="D2004" s="32">
        <v>91448</v>
      </c>
      <c r="E2004" s="30" t="s">
        <v>20</v>
      </c>
      <c r="F2004" s="30"/>
      <c r="G2004" s="30" t="s">
        <v>16</v>
      </c>
      <c r="H2004" s="30" t="s">
        <v>2107</v>
      </c>
      <c r="I2004" s="31" t="s">
        <v>29</v>
      </c>
    </row>
    <row r="2005" spans="2:9" s="6" customFormat="1" ht="11.25" customHeight="1" x14ac:dyDescent="0.55000000000000004">
      <c r="B2005" s="30" t="s">
        <v>4056</v>
      </c>
      <c r="C2005" s="30" t="s">
        <v>4057</v>
      </c>
      <c r="D2005" s="32">
        <v>97519</v>
      </c>
      <c r="E2005" s="30" t="s">
        <v>15</v>
      </c>
      <c r="F2005" s="30"/>
      <c r="G2005" s="30"/>
      <c r="H2005" s="30" t="s">
        <v>105</v>
      </c>
      <c r="I2005" s="31" t="s">
        <v>29</v>
      </c>
    </row>
    <row r="2006" spans="2:9" s="6" customFormat="1" ht="11.25" customHeight="1" x14ac:dyDescent="0.55000000000000004">
      <c r="B2006" s="30" t="s">
        <v>4058</v>
      </c>
      <c r="C2006" s="30" t="s">
        <v>4059</v>
      </c>
      <c r="D2006" s="32">
        <v>82430</v>
      </c>
      <c r="E2006" s="30" t="s">
        <v>20</v>
      </c>
      <c r="F2006" s="30" t="s">
        <v>911</v>
      </c>
      <c r="G2006" s="30" t="s">
        <v>39</v>
      </c>
      <c r="H2006" s="30" t="s">
        <v>113</v>
      </c>
      <c r="I2006" s="31">
        <v>12052.198</v>
      </c>
    </row>
    <row r="2007" spans="2:9" s="6" customFormat="1" ht="11.25" customHeight="1" x14ac:dyDescent="0.55000000000000004">
      <c r="B2007" s="30" t="s">
        <v>4060</v>
      </c>
      <c r="C2007" s="30" t="s">
        <v>4061</v>
      </c>
      <c r="D2007" s="32">
        <v>91391</v>
      </c>
      <c r="E2007" s="30" t="s">
        <v>15</v>
      </c>
      <c r="F2007" s="30" t="s">
        <v>182</v>
      </c>
      <c r="G2007" s="30"/>
      <c r="H2007" s="30" t="s">
        <v>124</v>
      </c>
      <c r="I2007" s="31" t="s">
        <v>29</v>
      </c>
    </row>
    <row r="2008" spans="2:9" s="6" customFormat="1" ht="11.25" customHeight="1" x14ac:dyDescent="0.55000000000000004">
      <c r="B2008" s="30" t="s">
        <v>4062</v>
      </c>
      <c r="C2008" s="30" t="s">
        <v>4063</v>
      </c>
      <c r="D2008" s="32">
        <v>91391</v>
      </c>
      <c r="E2008" s="30" t="s">
        <v>15</v>
      </c>
      <c r="F2008" s="30"/>
      <c r="G2008" s="30"/>
      <c r="H2008" s="30" t="s">
        <v>124</v>
      </c>
      <c r="I2008" s="31" t="s">
        <v>29</v>
      </c>
    </row>
    <row r="2009" spans="2:9" s="6" customFormat="1" ht="11.25" customHeight="1" x14ac:dyDescent="0.55000000000000004">
      <c r="B2009" s="30" t="s">
        <v>4064</v>
      </c>
      <c r="C2009" s="30" t="s">
        <v>4065</v>
      </c>
      <c r="D2009" s="32">
        <v>74950</v>
      </c>
      <c r="E2009" s="30" t="s">
        <v>15</v>
      </c>
      <c r="F2009" s="30" t="s">
        <v>149</v>
      </c>
      <c r="G2009" s="30"/>
      <c r="H2009" s="30" t="s">
        <v>52</v>
      </c>
      <c r="I2009" s="31" t="s">
        <v>29</v>
      </c>
    </row>
    <row r="2010" spans="2:9" s="6" customFormat="1" ht="11.25" customHeight="1" x14ac:dyDescent="0.55000000000000004">
      <c r="B2010" s="30" t="s">
        <v>4066</v>
      </c>
      <c r="C2010" s="30" t="s">
        <v>4067</v>
      </c>
      <c r="D2010" s="32">
        <v>84956</v>
      </c>
      <c r="E2010" s="30" t="s">
        <v>15</v>
      </c>
      <c r="F2010" s="30"/>
      <c r="G2010" s="30"/>
      <c r="H2010" s="30" t="s">
        <v>48</v>
      </c>
      <c r="I2010" s="31" t="s">
        <v>29</v>
      </c>
    </row>
    <row r="2011" spans="2:9" s="6" customFormat="1" ht="11.25" customHeight="1" x14ac:dyDescent="0.55000000000000004">
      <c r="B2011" s="30" t="s">
        <v>4068</v>
      </c>
      <c r="C2011" s="30" t="s">
        <v>4069</v>
      </c>
      <c r="D2011" s="32">
        <v>13554</v>
      </c>
      <c r="E2011" s="30" t="s">
        <v>20</v>
      </c>
      <c r="F2011" s="30" t="s">
        <v>182</v>
      </c>
      <c r="G2011" s="30" t="s">
        <v>16</v>
      </c>
      <c r="H2011" s="30" t="s">
        <v>30</v>
      </c>
      <c r="I2011" s="31" t="s">
        <v>29</v>
      </c>
    </row>
    <row r="2012" spans="2:9" s="6" customFormat="1" ht="11.25" customHeight="1" x14ac:dyDescent="0.55000000000000004">
      <c r="B2012" s="30" t="s">
        <v>3306</v>
      </c>
      <c r="C2012" s="30" t="s">
        <v>4070</v>
      </c>
      <c r="D2012" s="32" t="s">
        <v>29</v>
      </c>
      <c r="E2012" s="30" t="s">
        <v>20</v>
      </c>
      <c r="F2012" s="30" t="s">
        <v>3306</v>
      </c>
      <c r="G2012" s="30" t="s">
        <v>88</v>
      </c>
      <c r="H2012" s="30" t="s">
        <v>2498</v>
      </c>
      <c r="I2012" s="31">
        <v>27536768.952</v>
      </c>
    </row>
    <row r="2013" spans="2:9" s="6" customFormat="1" ht="11.25" customHeight="1" x14ac:dyDescent="0.55000000000000004">
      <c r="B2013" s="30" t="s">
        <v>4071</v>
      </c>
      <c r="C2013" s="30" t="s">
        <v>4072</v>
      </c>
      <c r="D2013" s="32">
        <v>82821</v>
      </c>
      <c r="E2013" s="30" t="s">
        <v>15</v>
      </c>
      <c r="F2013" s="30"/>
      <c r="G2013" s="30"/>
      <c r="H2013" s="30" t="s">
        <v>156</v>
      </c>
      <c r="I2013" s="31" t="s">
        <v>29</v>
      </c>
    </row>
    <row r="2014" spans="2:9" s="6" customFormat="1" ht="11.25" customHeight="1" x14ac:dyDescent="0.55000000000000004">
      <c r="B2014" s="30" t="s">
        <v>4073</v>
      </c>
      <c r="C2014" s="30" t="s">
        <v>4074</v>
      </c>
      <c r="D2014" s="32">
        <v>69019</v>
      </c>
      <c r="E2014" s="30" t="s">
        <v>20</v>
      </c>
      <c r="F2014" s="30" t="s">
        <v>3306</v>
      </c>
      <c r="G2014" s="30" t="s">
        <v>155</v>
      </c>
      <c r="H2014" s="30" t="s">
        <v>2498</v>
      </c>
      <c r="I2014" s="31">
        <v>26665363.624000002</v>
      </c>
    </row>
    <row r="2015" spans="2:9" s="6" customFormat="1" ht="11.25" customHeight="1" x14ac:dyDescent="0.55000000000000004">
      <c r="B2015" s="30" t="s">
        <v>4075</v>
      </c>
      <c r="C2015" s="30" t="s">
        <v>4076</v>
      </c>
      <c r="D2015" s="32">
        <v>69019</v>
      </c>
      <c r="E2015" s="30" t="s">
        <v>20</v>
      </c>
      <c r="F2015" s="30"/>
      <c r="G2015" s="30"/>
      <c r="H2015" s="30" t="s">
        <v>2498</v>
      </c>
      <c r="I2015" s="31" t="s">
        <v>29</v>
      </c>
    </row>
    <row r="2016" spans="2:9" s="6" customFormat="1" ht="11.25" customHeight="1" x14ac:dyDescent="0.55000000000000004">
      <c r="B2016" s="30" t="s">
        <v>4077</v>
      </c>
      <c r="C2016" s="30" t="s">
        <v>4078</v>
      </c>
      <c r="D2016" s="32">
        <v>69019</v>
      </c>
      <c r="E2016" s="30" t="s">
        <v>20</v>
      </c>
      <c r="F2016" s="30"/>
      <c r="G2016" s="30"/>
      <c r="H2016" s="30" t="s">
        <v>2498</v>
      </c>
      <c r="I2016" s="31" t="s">
        <v>29</v>
      </c>
    </row>
    <row r="2017" spans="2:9" s="6" customFormat="1" ht="11.25" customHeight="1" x14ac:dyDescent="0.55000000000000004">
      <c r="B2017" s="30" t="s">
        <v>4079</v>
      </c>
      <c r="C2017" s="30" t="s">
        <v>4080</v>
      </c>
      <c r="D2017" s="32">
        <v>86355</v>
      </c>
      <c r="E2017" s="30" t="s">
        <v>20</v>
      </c>
      <c r="F2017" s="30" t="s">
        <v>283</v>
      </c>
      <c r="G2017" s="30" t="s">
        <v>39</v>
      </c>
      <c r="H2017" s="30" t="s">
        <v>113</v>
      </c>
      <c r="I2017" s="31">
        <v>500366.402</v>
      </c>
    </row>
    <row r="2018" spans="2:9" s="6" customFormat="1" ht="11.25" customHeight="1" x14ac:dyDescent="0.55000000000000004">
      <c r="B2018" s="30" t="s">
        <v>4081</v>
      </c>
      <c r="C2018" s="30" t="s">
        <v>4082</v>
      </c>
      <c r="D2018" s="32">
        <v>71706</v>
      </c>
      <c r="E2018" s="30" t="s">
        <v>20</v>
      </c>
      <c r="F2018" s="30"/>
      <c r="G2018" s="30" t="s">
        <v>194</v>
      </c>
      <c r="H2018" s="30" t="s">
        <v>89</v>
      </c>
      <c r="I2018" s="31">
        <v>37681.46</v>
      </c>
    </row>
    <row r="2019" spans="2:9" s="6" customFormat="1" ht="11.25" customHeight="1" x14ac:dyDescent="0.55000000000000004">
      <c r="B2019" s="30" t="s">
        <v>4083</v>
      </c>
      <c r="C2019" s="30" t="s">
        <v>4084</v>
      </c>
      <c r="D2019" s="32">
        <v>89009</v>
      </c>
      <c r="E2019" s="30" t="s">
        <v>20</v>
      </c>
      <c r="F2019" s="30" t="s">
        <v>3306</v>
      </c>
      <c r="G2019" s="30" t="s">
        <v>21</v>
      </c>
      <c r="H2019" s="30" t="s">
        <v>124</v>
      </c>
      <c r="I2019" s="31">
        <v>305936.33100000001</v>
      </c>
    </row>
    <row r="2020" spans="2:9" s="6" customFormat="1" ht="11.25" customHeight="1" x14ac:dyDescent="0.55000000000000004">
      <c r="B2020" s="30" t="s">
        <v>4085</v>
      </c>
      <c r="C2020" s="30" t="s">
        <v>4086</v>
      </c>
      <c r="D2020" s="32">
        <v>69078</v>
      </c>
      <c r="E2020" s="30" t="s">
        <v>20</v>
      </c>
      <c r="F2020" s="30" t="s">
        <v>1822</v>
      </c>
      <c r="G2020" s="30" t="s">
        <v>21</v>
      </c>
      <c r="H2020" s="30" t="s">
        <v>124</v>
      </c>
      <c r="I2020" s="31">
        <v>114520.99100000001</v>
      </c>
    </row>
    <row r="2021" spans="2:9" s="6" customFormat="1" ht="11.25" customHeight="1" x14ac:dyDescent="0.55000000000000004">
      <c r="B2021" s="30" t="s">
        <v>4087</v>
      </c>
      <c r="C2021" s="30" t="s">
        <v>4088</v>
      </c>
      <c r="D2021" s="32">
        <v>77372</v>
      </c>
      <c r="E2021" s="30" t="s">
        <v>15</v>
      </c>
      <c r="F2021" s="30"/>
      <c r="G2021" s="30" t="s">
        <v>35</v>
      </c>
      <c r="H2021" s="30" t="s">
        <v>105</v>
      </c>
      <c r="I2021" s="31" t="s">
        <v>29</v>
      </c>
    </row>
    <row r="2022" spans="2:9" s="6" customFormat="1" ht="11.25" customHeight="1" x14ac:dyDescent="0.55000000000000004">
      <c r="B2022" s="30" t="s">
        <v>4089</v>
      </c>
      <c r="C2022" s="30" t="s">
        <v>4090</v>
      </c>
      <c r="D2022" s="32">
        <v>81272</v>
      </c>
      <c r="E2022" s="30" t="s">
        <v>15</v>
      </c>
      <c r="F2022" s="30"/>
      <c r="G2022" s="30"/>
      <c r="H2022" s="30" t="s">
        <v>239</v>
      </c>
      <c r="I2022" s="31" t="s">
        <v>29</v>
      </c>
    </row>
    <row r="2023" spans="2:9" s="6" customFormat="1" ht="11.25" customHeight="1" x14ac:dyDescent="0.55000000000000004">
      <c r="B2023" s="30" t="s">
        <v>4091</v>
      </c>
      <c r="C2023" s="30" t="s">
        <v>4092</v>
      </c>
      <c r="D2023" s="32">
        <v>70475</v>
      </c>
      <c r="E2023" s="30" t="s">
        <v>15</v>
      </c>
      <c r="F2023" s="30"/>
      <c r="G2023" s="30"/>
      <c r="H2023" s="30" t="s">
        <v>22</v>
      </c>
      <c r="I2023" s="31" t="s">
        <v>29</v>
      </c>
    </row>
    <row r="2024" spans="2:9" s="6" customFormat="1" ht="11.25" customHeight="1" x14ac:dyDescent="0.55000000000000004">
      <c r="B2024" s="30" t="s">
        <v>4093</v>
      </c>
      <c r="C2024" s="30" t="s">
        <v>4094</v>
      </c>
      <c r="D2024" s="32">
        <v>68985</v>
      </c>
      <c r="E2024" s="30" t="s">
        <v>20</v>
      </c>
      <c r="F2024" s="30" t="s">
        <v>1099</v>
      </c>
      <c r="G2024" s="30" t="s">
        <v>21</v>
      </c>
      <c r="H2024" s="30" t="s">
        <v>66</v>
      </c>
      <c r="I2024" s="31">
        <v>110154.995</v>
      </c>
    </row>
    <row r="2025" spans="2:9" s="6" customFormat="1" ht="11.25" customHeight="1" x14ac:dyDescent="0.55000000000000004">
      <c r="B2025" s="30" t="s">
        <v>4095</v>
      </c>
      <c r="C2025" s="30" t="s">
        <v>4096</v>
      </c>
      <c r="D2025" s="32">
        <v>88587</v>
      </c>
      <c r="E2025" s="30" t="s">
        <v>15</v>
      </c>
      <c r="F2025" s="30"/>
      <c r="G2025" s="30"/>
      <c r="H2025" s="30" t="s">
        <v>22</v>
      </c>
      <c r="I2025" s="31" t="s">
        <v>29</v>
      </c>
    </row>
    <row r="2026" spans="2:9" s="6" customFormat="1" ht="11.25" customHeight="1" x14ac:dyDescent="0.55000000000000004">
      <c r="B2026" s="30" t="s">
        <v>4097</v>
      </c>
      <c r="C2026" s="30" t="s">
        <v>4098</v>
      </c>
      <c r="D2026" s="32">
        <v>88137</v>
      </c>
      <c r="E2026" s="30" t="s">
        <v>15</v>
      </c>
      <c r="F2026" s="30" t="s">
        <v>526</v>
      </c>
      <c r="G2026" s="30"/>
      <c r="H2026" s="30" t="s">
        <v>313</v>
      </c>
      <c r="I2026" s="31" t="s">
        <v>29</v>
      </c>
    </row>
    <row r="2027" spans="2:9" s="6" customFormat="1" ht="11.25" customHeight="1" x14ac:dyDescent="0.55000000000000004">
      <c r="B2027" s="30" t="s">
        <v>4099</v>
      </c>
      <c r="C2027" s="30" t="s">
        <v>4100</v>
      </c>
      <c r="D2027" s="32" t="s">
        <v>29</v>
      </c>
      <c r="E2027" s="30" t="s">
        <v>20</v>
      </c>
      <c r="F2027" s="30" t="s">
        <v>4099</v>
      </c>
      <c r="G2027" s="30" t="s">
        <v>35</v>
      </c>
      <c r="H2027" s="30" t="s">
        <v>22</v>
      </c>
      <c r="I2027" s="31">
        <v>81833204.480000004</v>
      </c>
    </row>
    <row r="2028" spans="2:9" s="6" customFormat="1" ht="11.25" customHeight="1" x14ac:dyDescent="0.55000000000000004">
      <c r="B2028" s="30" t="s">
        <v>4101</v>
      </c>
      <c r="C2028" s="30" t="s">
        <v>4102</v>
      </c>
      <c r="D2028" s="32" t="s">
        <v>29</v>
      </c>
      <c r="E2028" s="30" t="s">
        <v>20</v>
      </c>
      <c r="F2028" s="30"/>
      <c r="G2028" s="30"/>
      <c r="H2028" s="30" t="s">
        <v>22</v>
      </c>
      <c r="I2028" s="31" t="s">
        <v>29</v>
      </c>
    </row>
    <row r="2029" spans="2:9" s="6" customFormat="1" ht="11.25" customHeight="1" x14ac:dyDescent="0.55000000000000004">
      <c r="B2029" s="30" t="s">
        <v>4103</v>
      </c>
      <c r="C2029" s="30" t="s">
        <v>4104</v>
      </c>
      <c r="D2029" s="32">
        <v>94498</v>
      </c>
      <c r="E2029" s="30" t="s">
        <v>20</v>
      </c>
      <c r="F2029" s="30" t="s">
        <v>4099</v>
      </c>
      <c r="G2029" s="30" t="s">
        <v>16</v>
      </c>
      <c r="H2029" s="30" t="s">
        <v>22</v>
      </c>
      <c r="I2029" s="31">
        <v>8439.3809999999994</v>
      </c>
    </row>
    <row r="2030" spans="2:9" s="6" customFormat="1" ht="11.25" customHeight="1" x14ac:dyDescent="0.55000000000000004">
      <c r="B2030" s="30" t="s">
        <v>4105</v>
      </c>
      <c r="C2030" s="30" t="s">
        <v>4106</v>
      </c>
      <c r="D2030" s="32">
        <v>69094</v>
      </c>
      <c r="E2030" s="30" t="s">
        <v>20</v>
      </c>
      <c r="F2030" s="30" t="s">
        <v>4099</v>
      </c>
      <c r="G2030" s="30" t="s">
        <v>35</v>
      </c>
      <c r="H2030" s="30" t="s">
        <v>22</v>
      </c>
      <c r="I2030" s="31">
        <v>3183465.1290000002</v>
      </c>
    </row>
    <row r="2031" spans="2:9" s="6" customFormat="1" ht="11.25" customHeight="1" x14ac:dyDescent="0.55000000000000004">
      <c r="B2031" s="30" t="s">
        <v>4107</v>
      </c>
      <c r="C2031" s="30" t="s">
        <v>4108</v>
      </c>
      <c r="D2031" s="32">
        <v>69094</v>
      </c>
      <c r="E2031" s="30" t="s">
        <v>20</v>
      </c>
      <c r="F2031" s="30"/>
      <c r="G2031" s="30"/>
      <c r="H2031" s="30" t="s">
        <v>22</v>
      </c>
      <c r="I2031" s="31" t="s">
        <v>29</v>
      </c>
    </row>
    <row r="2032" spans="2:9" s="6" customFormat="1" ht="11.25" customHeight="1" x14ac:dyDescent="0.55000000000000004">
      <c r="B2032" s="30" t="s">
        <v>4109</v>
      </c>
      <c r="C2032" s="30" t="s">
        <v>4110</v>
      </c>
      <c r="D2032" s="32">
        <v>69094</v>
      </c>
      <c r="E2032" s="30" t="s">
        <v>20</v>
      </c>
      <c r="F2032" s="30"/>
      <c r="G2032" s="30"/>
      <c r="H2032" s="30" t="s">
        <v>22</v>
      </c>
      <c r="I2032" s="31" t="s">
        <v>29</v>
      </c>
    </row>
    <row r="2033" spans="2:9" s="6" customFormat="1" ht="11.25" customHeight="1" x14ac:dyDescent="0.55000000000000004">
      <c r="B2033" s="30" t="s">
        <v>4111</v>
      </c>
      <c r="C2033" s="30" t="s">
        <v>4112</v>
      </c>
      <c r="D2033" s="32">
        <v>69108</v>
      </c>
      <c r="E2033" s="30" t="s">
        <v>20</v>
      </c>
      <c r="F2033" s="30" t="s">
        <v>4099</v>
      </c>
      <c r="G2033" s="30" t="s">
        <v>35</v>
      </c>
      <c r="H2033" s="30" t="s">
        <v>22</v>
      </c>
      <c r="I2033" s="31">
        <v>78649703.814999998</v>
      </c>
    </row>
    <row r="2034" spans="2:9" s="6" customFormat="1" ht="11.25" customHeight="1" x14ac:dyDescent="0.55000000000000004">
      <c r="B2034" s="30" t="s">
        <v>4113</v>
      </c>
      <c r="C2034" s="30" t="s">
        <v>4114</v>
      </c>
      <c r="D2034" s="32">
        <v>69108</v>
      </c>
      <c r="E2034" s="30" t="s">
        <v>20</v>
      </c>
      <c r="F2034" s="30"/>
      <c r="G2034" s="30"/>
      <c r="H2034" s="30" t="s">
        <v>22</v>
      </c>
      <c r="I2034" s="31" t="s">
        <v>29</v>
      </c>
    </row>
    <row r="2035" spans="2:9" s="6" customFormat="1" ht="11.25" customHeight="1" x14ac:dyDescent="0.55000000000000004">
      <c r="B2035" s="30" t="s">
        <v>4115</v>
      </c>
      <c r="C2035" s="30" t="s">
        <v>4116</v>
      </c>
      <c r="D2035" s="32">
        <v>69108</v>
      </c>
      <c r="E2035" s="30" t="s">
        <v>20</v>
      </c>
      <c r="F2035" s="30"/>
      <c r="G2035" s="30"/>
      <c r="H2035" s="30" t="s">
        <v>22</v>
      </c>
      <c r="I2035" s="31" t="s">
        <v>29</v>
      </c>
    </row>
    <row r="2036" spans="2:9" s="6" customFormat="1" ht="11.25" customHeight="1" x14ac:dyDescent="0.55000000000000004">
      <c r="B2036" s="30" t="s">
        <v>4117</v>
      </c>
      <c r="C2036" s="30" t="s">
        <v>4118</v>
      </c>
      <c r="D2036" s="32">
        <v>69116</v>
      </c>
      <c r="E2036" s="30" t="s">
        <v>20</v>
      </c>
      <c r="F2036" s="30" t="s">
        <v>514</v>
      </c>
      <c r="G2036" s="30" t="s">
        <v>265</v>
      </c>
      <c r="H2036" s="30" t="s">
        <v>150</v>
      </c>
      <c r="I2036" s="31">
        <v>9334497.7870000005</v>
      </c>
    </row>
    <row r="2037" spans="2:9" s="6" customFormat="1" ht="11.25" customHeight="1" x14ac:dyDescent="0.55000000000000004">
      <c r="B2037" s="30" t="s">
        <v>4119</v>
      </c>
      <c r="C2037" s="30" t="s">
        <v>4120</v>
      </c>
      <c r="D2037" s="32">
        <v>70599</v>
      </c>
      <c r="E2037" s="30" t="s">
        <v>20</v>
      </c>
      <c r="F2037" s="30"/>
      <c r="G2037" s="30" t="s">
        <v>35</v>
      </c>
      <c r="H2037" s="30" t="s">
        <v>146</v>
      </c>
      <c r="I2037" s="31" t="s">
        <v>29</v>
      </c>
    </row>
    <row r="2038" spans="2:9" s="6" customFormat="1" ht="11.25" customHeight="1" x14ac:dyDescent="0.55000000000000004">
      <c r="B2038" s="30" t="s">
        <v>4121</v>
      </c>
      <c r="C2038" s="30" t="s">
        <v>4122</v>
      </c>
      <c r="D2038" s="32">
        <v>69132</v>
      </c>
      <c r="E2038" s="30" t="s">
        <v>20</v>
      </c>
      <c r="F2038" s="30"/>
      <c r="G2038" s="30" t="s">
        <v>39</v>
      </c>
      <c r="H2038" s="30" t="s">
        <v>108</v>
      </c>
      <c r="I2038" s="31">
        <v>180075.93</v>
      </c>
    </row>
    <row r="2039" spans="2:9" s="6" customFormat="1" ht="11.25" customHeight="1" x14ac:dyDescent="0.55000000000000004">
      <c r="B2039" s="30" t="s">
        <v>4123</v>
      </c>
      <c r="C2039" s="30" t="s">
        <v>4124</v>
      </c>
      <c r="D2039" s="32">
        <v>66494</v>
      </c>
      <c r="E2039" s="30" t="s">
        <v>15</v>
      </c>
      <c r="F2039" s="30"/>
      <c r="G2039" s="30"/>
      <c r="H2039" s="30" t="s">
        <v>113</v>
      </c>
      <c r="I2039" s="31" t="s">
        <v>29</v>
      </c>
    </row>
    <row r="2040" spans="2:9" s="6" customFormat="1" ht="11.25" customHeight="1" x14ac:dyDescent="0.55000000000000004">
      <c r="B2040" s="30" t="s">
        <v>4125</v>
      </c>
      <c r="C2040" s="30" t="s">
        <v>4126</v>
      </c>
      <c r="D2040" s="32">
        <v>69175</v>
      </c>
      <c r="E2040" s="30" t="s">
        <v>15</v>
      </c>
      <c r="F2040" s="30"/>
      <c r="G2040" s="30"/>
      <c r="H2040" s="30" t="s">
        <v>113</v>
      </c>
      <c r="I2040" s="31" t="s">
        <v>29</v>
      </c>
    </row>
    <row r="2041" spans="2:9" s="6" customFormat="1" ht="11.25" customHeight="1" x14ac:dyDescent="0.55000000000000004">
      <c r="B2041" s="30" t="s">
        <v>4127</v>
      </c>
      <c r="C2041" s="30" t="s">
        <v>4128</v>
      </c>
      <c r="D2041" s="32">
        <v>69183</v>
      </c>
      <c r="E2041" s="30" t="s">
        <v>15</v>
      </c>
      <c r="F2041" s="30"/>
      <c r="G2041" s="30"/>
      <c r="H2041" s="30" t="s">
        <v>113</v>
      </c>
      <c r="I2041" s="31" t="s">
        <v>29</v>
      </c>
    </row>
    <row r="2042" spans="2:9" s="6" customFormat="1" ht="11.25" customHeight="1" x14ac:dyDescent="0.55000000000000004">
      <c r="B2042" s="30" t="s">
        <v>4129</v>
      </c>
      <c r="C2042" s="30" t="s">
        <v>4130</v>
      </c>
      <c r="D2042" s="32">
        <v>69051</v>
      </c>
      <c r="E2042" s="30" t="s">
        <v>15</v>
      </c>
      <c r="F2042" s="30"/>
      <c r="G2042" s="30" t="s">
        <v>35</v>
      </c>
      <c r="H2042" s="30" t="s">
        <v>150</v>
      </c>
      <c r="I2042" s="31" t="s">
        <v>29</v>
      </c>
    </row>
    <row r="2043" spans="2:9" s="6" customFormat="1" ht="11.25" customHeight="1" x14ac:dyDescent="0.55000000000000004">
      <c r="B2043" s="30" t="s">
        <v>4131</v>
      </c>
      <c r="C2043" s="30" t="s">
        <v>4132</v>
      </c>
      <c r="D2043" s="32">
        <v>60039</v>
      </c>
      <c r="E2043" s="30" t="s">
        <v>15</v>
      </c>
      <c r="F2043" s="30"/>
      <c r="G2043" s="30"/>
      <c r="H2043" s="30" t="s">
        <v>22</v>
      </c>
      <c r="I2043" s="31" t="s">
        <v>29</v>
      </c>
    </row>
    <row r="2044" spans="2:9" s="6" customFormat="1" ht="11.25" customHeight="1" x14ac:dyDescent="0.55000000000000004">
      <c r="B2044" s="30" t="s">
        <v>4133</v>
      </c>
      <c r="C2044" s="30" t="s">
        <v>4134</v>
      </c>
      <c r="D2044" s="32">
        <v>89184</v>
      </c>
      <c r="E2044" s="30" t="s">
        <v>20</v>
      </c>
      <c r="F2044" s="30" t="s">
        <v>1436</v>
      </c>
      <c r="G2044" s="30" t="s">
        <v>155</v>
      </c>
      <c r="H2044" s="30" t="s">
        <v>150</v>
      </c>
      <c r="I2044" s="31">
        <v>93700.56</v>
      </c>
    </row>
    <row r="2045" spans="2:9" s="6" customFormat="1" ht="11.25" customHeight="1" x14ac:dyDescent="0.55000000000000004">
      <c r="B2045" s="30" t="s">
        <v>4135</v>
      </c>
      <c r="C2045" s="30" t="s">
        <v>4136</v>
      </c>
      <c r="D2045" s="32">
        <v>77399</v>
      </c>
      <c r="E2045" s="30" t="s">
        <v>20</v>
      </c>
      <c r="F2045" s="30" t="s">
        <v>293</v>
      </c>
      <c r="G2045" s="30" t="s">
        <v>39</v>
      </c>
      <c r="H2045" s="30" t="s">
        <v>113</v>
      </c>
      <c r="I2045" s="31">
        <v>32117.222000000002</v>
      </c>
    </row>
    <row r="2046" spans="2:9" s="6" customFormat="1" ht="11.25" customHeight="1" x14ac:dyDescent="0.55000000000000004">
      <c r="B2046" s="30" t="s">
        <v>4137</v>
      </c>
      <c r="C2046" s="30" t="s">
        <v>4138</v>
      </c>
      <c r="D2046" s="32">
        <v>60242</v>
      </c>
      <c r="E2046" s="30" t="s">
        <v>20</v>
      </c>
      <c r="F2046" s="30" t="s">
        <v>728</v>
      </c>
      <c r="G2046" s="30" t="s">
        <v>39</v>
      </c>
      <c r="H2046" s="30" t="s">
        <v>262</v>
      </c>
      <c r="I2046" s="31">
        <v>13605.053</v>
      </c>
    </row>
    <row r="2047" spans="2:9" s="6" customFormat="1" ht="11.25" customHeight="1" x14ac:dyDescent="0.55000000000000004">
      <c r="B2047" s="30" t="s">
        <v>4139</v>
      </c>
      <c r="C2047" s="30" t="s">
        <v>4140</v>
      </c>
      <c r="D2047" s="32">
        <v>69418</v>
      </c>
      <c r="E2047" s="30" t="s">
        <v>20</v>
      </c>
      <c r="F2047" s="30"/>
      <c r="G2047" s="30" t="s">
        <v>129</v>
      </c>
      <c r="H2047" s="30" t="s">
        <v>108</v>
      </c>
      <c r="I2047" s="31">
        <v>137011.95699999999</v>
      </c>
    </row>
    <row r="2048" spans="2:9" s="6" customFormat="1" ht="11.25" customHeight="1" x14ac:dyDescent="0.55000000000000004">
      <c r="B2048" s="30" t="s">
        <v>4141</v>
      </c>
      <c r="C2048" s="30" t="s">
        <v>4142</v>
      </c>
      <c r="D2048" s="32">
        <v>63703</v>
      </c>
      <c r="E2048" s="30" t="s">
        <v>15</v>
      </c>
      <c r="F2048" s="30" t="s">
        <v>62</v>
      </c>
      <c r="G2048" s="30"/>
      <c r="H2048" s="30" t="s">
        <v>113</v>
      </c>
      <c r="I2048" s="31" t="s">
        <v>29</v>
      </c>
    </row>
    <row r="2049" spans="2:9" s="6" customFormat="1" ht="11.25" customHeight="1" x14ac:dyDescent="0.55000000000000004">
      <c r="B2049" s="30" t="s">
        <v>4143</v>
      </c>
      <c r="C2049" s="30" t="s">
        <v>4144</v>
      </c>
      <c r="D2049" s="32">
        <v>65021</v>
      </c>
      <c r="E2049" s="30" t="s">
        <v>15</v>
      </c>
      <c r="F2049" s="30" t="s">
        <v>62</v>
      </c>
      <c r="G2049" s="30" t="s">
        <v>21</v>
      </c>
      <c r="H2049" s="30" t="s">
        <v>63</v>
      </c>
      <c r="I2049" s="31" t="s">
        <v>29</v>
      </c>
    </row>
    <row r="2050" spans="2:9" s="6" customFormat="1" ht="11.25" customHeight="1" x14ac:dyDescent="0.55000000000000004">
      <c r="B2050" s="30" t="s">
        <v>4145</v>
      </c>
      <c r="C2050" s="30" t="s">
        <v>4146</v>
      </c>
      <c r="D2050" s="32">
        <v>15306</v>
      </c>
      <c r="E2050" s="30" t="s">
        <v>20</v>
      </c>
      <c r="F2050" s="30" t="s">
        <v>273</v>
      </c>
      <c r="G2050" s="30" t="s">
        <v>16</v>
      </c>
      <c r="H2050" s="30" t="s">
        <v>63</v>
      </c>
      <c r="I2050" s="31">
        <v>1378886.3470000001</v>
      </c>
    </row>
    <row r="2051" spans="2:9" s="6" customFormat="1" ht="11.25" customHeight="1" x14ac:dyDescent="0.55000000000000004">
      <c r="B2051" s="30" t="s">
        <v>4147</v>
      </c>
      <c r="C2051" s="30" t="s">
        <v>4148</v>
      </c>
      <c r="D2051" s="32">
        <v>82449</v>
      </c>
      <c r="E2051" s="30" t="s">
        <v>15</v>
      </c>
      <c r="F2051" s="30"/>
      <c r="G2051" s="30" t="s">
        <v>35</v>
      </c>
      <c r="H2051" s="30" t="s">
        <v>113</v>
      </c>
      <c r="I2051" s="31" t="s">
        <v>29</v>
      </c>
    </row>
    <row r="2052" spans="2:9" s="6" customFormat="1" ht="11.25" customHeight="1" x14ac:dyDescent="0.55000000000000004">
      <c r="B2052" s="30" t="s">
        <v>4149</v>
      </c>
      <c r="C2052" s="30" t="s">
        <v>4150</v>
      </c>
      <c r="D2052" s="32">
        <v>85596</v>
      </c>
      <c r="E2052" s="30" t="s">
        <v>15</v>
      </c>
      <c r="F2052" s="30"/>
      <c r="G2052" s="30"/>
      <c r="H2052" s="30"/>
      <c r="I2052" s="31" t="s">
        <v>29</v>
      </c>
    </row>
    <row r="2053" spans="2:9" s="6" customFormat="1" ht="11.25" customHeight="1" x14ac:dyDescent="0.55000000000000004">
      <c r="B2053" s="30" t="s">
        <v>4151</v>
      </c>
      <c r="C2053" s="30" t="s">
        <v>4152</v>
      </c>
      <c r="D2053" s="32">
        <v>90484</v>
      </c>
      <c r="E2053" s="30" t="s">
        <v>15</v>
      </c>
      <c r="F2053" s="30"/>
      <c r="G2053" s="30"/>
      <c r="H2053" s="30" t="s">
        <v>45</v>
      </c>
      <c r="I2053" s="31" t="s">
        <v>29</v>
      </c>
    </row>
    <row r="2054" spans="2:9" s="6" customFormat="1" ht="11.25" customHeight="1" x14ac:dyDescent="0.55000000000000004">
      <c r="B2054" s="30" t="s">
        <v>4153</v>
      </c>
      <c r="C2054" s="30" t="s">
        <v>4154</v>
      </c>
      <c r="D2054" s="32">
        <v>80926</v>
      </c>
      <c r="E2054" s="30" t="s">
        <v>20</v>
      </c>
      <c r="F2054" s="30" t="s">
        <v>2171</v>
      </c>
      <c r="G2054" s="30" t="s">
        <v>129</v>
      </c>
      <c r="H2054" s="30" t="s">
        <v>582</v>
      </c>
      <c r="I2054" s="31">
        <v>964902.33100000001</v>
      </c>
    </row>
    <row r="2055" spans="2:9" s="6" customFormat="1" ht="11.25" customHeight="1" x14ac:dyDescent="0.55000000000000004">
      <c r="B2055" s="30" t="s">
        <v>4155</v>
      </c>
      <c r="C2055" s="30" t="s">
        <v>4156</v>
      </c>
      <c r="D2055" s="32">
        <v>80802</v>
      </c>
      <c r="E2055" s="30" t="s">
        <v>20</v>
      </c>
      <c r="F2055" s="30" t="s">
        <v>2171</v>
      </c>
      <c r="G2055" s="30" t="s">
        <v>21</v>
      </c>
      <c r="H2055" s="30" t="s">
        <v>582</v>
      </c>
      <c r="I2055" s="31">
        <v>19515462.286000002</v>
      </c>
    </row>
    <row r="2056" spans="2:9" s="6" customFormat="1" ht="11.25" customHeight="1" x14ac:dyDescent="0.55000000000000004">
      <c r="B2056" s="30" t="s">
        <v>4157</v>
      </c>
      <c r="C2056" s="30" t="s">
        <v>4158</v>
      </c>
      <c r="D2056" s="32">
        <v>80802</v>
      </c>
      <c r="E2056" s="30" t="s">
        <v>20</v>
      </c>
      <c r="F2056" s="30"/>
      <c r="G2056" s="30"/>
      <c r="H2056" s="30" t="s">
        <v>582</v>
      </c>
      <c r="I2056" s="31" t="s">
        <v>29</v>
      </c>
    </row>
    <row r="2057" spans="2:9" s="6" customFormat="1" ht="11.25" customHeight="1" x14ac:dyDescent="0.55000000000000004">
      <c r="B2057" s="30" t="s">
        <v>4159</v>
      </c>
      <c r="C2057" s="30" t="s">
        <v>4160</v>
      </c>
      <c r="D2057" s="32">
        <v>80802</v>
      </c>
      <c r="E2057" s="30" t="s">
        <v>20</v>
      </c>
      <c r="F2057" s="30"/>
      <c r="G2057" s="30"/>
      <c r="H2057" s="30" t="s">
        <v>582</v>
      </c>
      <c r="I2057" s="31" t="s">
        <v>29</v>
      </c>
    </row>
    <row r="2058" spans="2:9" s="6" customFormat="1" ht="11.25" customHeight="1" x14ac:dyDescent="0.55000000000000004">
      <c r="B2058" s="30" t="s">
        <v>2171</v>
      </c>
      <c r="C2058" s="30" t="s">
        <v>4161</v>
      </c>
      <c r="D2058" s="32" t="s">
        <v>29</v>
      </c>
      <c r="E2058" s="30" t="s">
        <v>20</v>
      </c>
      <c r="F2058" s="30" t="s">
        <v>2171</v>
      </c>
      <c r="G2058" s="30" t="s">
        <v>21</v>
      </c>
      <c r="H2058" s="30" t="s">
        <v>582</v>
      </c>
      <c r="I2058" s="31">
        <v>24015112.462000001</v>
      </c>
    </row>
    <row r="2059" spans="2:9" s="6" customFormat="1" ht="11.25" customHeight="1" x14ac:dyDescent="0.55000000000000004">
      <c r="B2059" s="30" t="s">
        <v>4162</v>
      </c>
      <c r="C2059" s="30" t="s">
        <v>4163</v>
      </c>
      <c r="D2059" s="32" t="s">
        <v>29</v>
      </c>
      <c r="E2059" s="30" t="s">
        <v>20</v>
      </c>
      <c r="F2059" s="30"/>
      <c r="G2059" s="30"/>
      <c r="H2059" s="30"/>
      <c r="I2059" s="31" t="s">
        <v>29</v>
      </c>
    </row>
    <row r="2060" spans="2:9" s="6" customFormat="1" ht="11.25" customHeight="1" x14ac:dyDescent="0.55000000000000004">
      <c r="B2060" s="30" t="s">
        <v>4164</v>
      </c>
      <c r="C2060" s="30" t="s">
        <v>4165</v>
      </c>
      <c r="D2060" s="32">
        <v>77437</v>
      </c>
      <c r="E2060" s="30" t="s">
        <v>15</v>
      </c>
      <c r="F2060" s="30" t="s">
        <v>970</v>
      </c>
      <c r="G2060" s="30"/>
      <c r="H2060" s="30" t="s">
        <v>429</v>
      </c>
      <c r="I2060" s="31" t="s">
        <v>29</v>
      </c>
    </row>
    <row r="2061" spans="2:9" s="6" customFormat="1" ht="11.25" customHeight="1" x14ac:dyDescent="0.55000000000000004">
      <c r="B2061" s="30" t="s">
        <v>4166</v>
      </c>
      <c r="C2061" s="30" t="s">
        <v>4167</v>
      </c>
      <c r="D2061" s="32">
        <v>94722</v>
      </c>
      <c r="E2061" s="30" t="s">
        <v>15</v>
      </c>
      <c r="F2061" s="30"/>
      <c r="G2061" s="30"/>
      <c r="H2061" s="30" t="s">
        <v>735</v>
      </c>
      <c r="I2061" s="31" t="s">
        <v>29</v>
      </c>
    </row>
    <row r="2062" spans="2:9" s="6" customFormat="1" ht="11.25" customHeight="1" x14ac:dyDescent="0.55000000000000004">
      <c r="B2062" s="30" t="s">
        <v>4168</v>
      </c>
      <c r="C2062" s="30" t="s">
        <v>4169</v>
      </c>
      <c r="D2062" s="32">
        <v>60941</v>
      </c>
      <c r="E2062" s="30" t="s">
        <v>15</v>
      </c>
      <c r="F2062" s="30" t="s">
        <v>116</v>
      </c>
      <c r="G2062" s="30" t="s">
        <v>155</v>
      </c>
      <c r="H2062" s="30" t="s">
        <v>239</v>
      </c>
      <c r="I2062" s="31" t="s">
        <v>29</v>
      </c>
    </row>
    <row r="2063" spans="2:9" s="6" customFormat="1" ht="11.25" customHeight="1" x14ac:dyDescent="0.55000000000000004">
      <c r="B2063" s="30" t="s">
        <v>4170</v>
      </c>
      <c r="C2063" s="30" t="s">
        <v>4171</v>
      </c>
      <c r="D2063" s="32">
        <v>60941</v>
      </c>
      <c r="E2063" s="30" t="s">
        <v>15</v>
      </c>
      <c r="F2063" s="30"/>
      <c r="G2063" s="30"/>
      <c r="H2063" s="30" t="s">
        <v>239</v>
      </c>
      <c r="I2063" s="31" t="s">
        <v>29</v>
      </c>
    </row>
    <row r="2064" spans="2:9" s="6" customFormat="1" ht="11.25" customHeight="1" x14ac:dyDescent="0.55000000000000004">
      <c r="B2064" s="30" t="s">
        <v>4172</v>
      </c>
      <c r="C2064" s="30" t="s">
        <v>4173</v>
      </c>
      <c r="D2064" s="32">
        <v>69256</v>
      </c>
      <c r="E2064" s="30" t="s">
        <v>15</v>
      </c>
      <c r="F2064" s="30" t="s">
        <v>116</v>
      </c>
      <c r="G2064" s="30" t="s">
        <v>155</v>
      </c>
      <c r="H2064" s="30" t="s">
        <v>239</v>
      </c>
      <c r="I2064" s="31" t="s">
        <v>29</v>
      </c>
    </row>
    <row r="2065" spans="2:9" s="6" customFormat="1" ht="11.25" customHeight="1" x14ac:dyDescent="0.55000000000000004">
      <c r="B2065" s="30" t="s">
        <v>4174</v>
      </c>
      <c r="C2065" s="30" t="s">
        <v>4175</v>
      </c>
      <c r="D2065" s="32">
        <v>69256</v>
      </c>
      <c r="E2065" s="30" t="s">
        <v>15</v>
      </c>
      <c r="F2065" s="30"/>
      <c r="G2065" s="30"/>
      <c r="H2065" s="30" t="s">
        <v>239</v>
      </c>
      <c r="I2065" s="31" t="s">
        <v>29</v>
      </c>
    </row>
    <row r="2066" spans="2:9" s="6" customFormat="1" ht="11.25" customHeight="1" x14ac:dyDescent="0.55000000000000004">
      <c r="B2066" s="30" t="s">
        <v>4176</v>
      </c>
      <c r="C2066" s="30" t="s">
        <v>4177</v>
      </c>
      <c r="D2066" s="32">
        <v>69264</v>
      </c>
      <c r="E2066" s="30" t="s">
        <v>15</v>
      </c>
      <c r="F2066" s="30"/>
      <c r="G2066" s="30"/>
      <c r="H2066" s="30" t="s">
        <v>113</v>
      </c>
      <c r="I2066" s="31" t="s">
        <v>29</v>
      </c>
    </row>
    <row r="2067" spans="2:9" s="6" customFormat="1" ht="11.25" customHeight="1" x14ac:dyDescent="0.55000000000000004">
      <c r="B2067" s="30" t="s">
        <v>4178</v>
      </c>
      <c r="C2067" s="30" t="s">
        <v>4179</v>
      </c>
      <c r="D2067" s="32">
        <v>69272</v>
      </c>
      <c r="E2067" s="30" t="s">
        <v>20</v>
      </c>
      <c r="F2067" s="30" t="s">
        <v>1897</v>
      </c>
      <c r="G2067" s="30" t="s">
        <v>265</v>
      </c>
      <c r="H2067" s="30" t="s">
        <v>500</v>
      </c>
      <c r="I2067" s="31">
        <v>297802.57500000001</v>
      </c>
    </row>
    <row r="2068" spans="2:9" s="6" customFormat="1" ht="11.25" customHeight="1" x14ac:dyDescent="0.55000000000000004">
      <c r="B2068" s="30" t="s">
        <v>4180</v>
      </c>
      <c r="C2068" s="30" t="s">
        <v>4181</v>
      </c>
      <c r="D2068" s="32">
        <v>85995</v>
      </c>
      <c r="E2068" s="30" t="s">
        <v>15</v>
      </c>
      <c r="F2068" s="30"/>
      <c r="G2068" s="30" t="s">
        <v>16</v>
      </c>
      <c r="H2068" s="30" t="s">
        <v>108</v>
      </c>
      <c r="I2068" s="31" t="s">
        <v>29</v>
      </c>
    </row>
    <row r="2069" spans="2:9" s="6" customFormat="1" ht="11.25" customHeight="1" x14ac:dyDescent="0.55000000000000004">
      <c r="B2069" s="30" t="s">
        <v>4182</v>
      </c>
      <c r="C2069" s="30" t="s">
        <v>4183</v>
      </c>
      <c r="D2069" s="32">
        <v>13175</v>
      </c>
      <c r="E2069" s="30" t="s">
        <v>20</v>
      </c>
      <c r="F2069" s="30"/>
      <c r="G2069" s="30" t="s">
        <v>21</v>
      </c>
      <c r="H2069" s="30" t="s">
        <v>86</v>
      </c>
      <c r="I2069" s="31">
        <v>14909.646000000001</v>
      </c>
    </row>
    <row r="2070" spans="2:9" s="6" customFormat="1" ht="11.25" customHeight="1" x14ac:dyDescent="0.55000000000000004">
      <c r="B2070" s="30" t="s">
        <v>4184</v>
      </c>
      <c r="C2070" s="30" t="s">
        <v>4185</v>
      </c>
      <c r="D2070" s="32">
        <v>99430</v>
      </c>
      <c r="E2070" s="30" t="s">
        <v>15</v>
      </c>
      <c r="F2070" s="30"/>
      <c r="G2070" s="30"/>
      <c r="H2070" s="30" t="s">
        <v>113</v>
      </c>
      <c r="I2070" s="31" t="s">
        <v>29</v>
      </c>
    </row>
    <row r="2071" spans="2:9" s="6" customFormat="1" ht="11.25" customHeight="1" x14ac:dyDescent="0.55000000000000004">
      <c r="B2071" s="30" t="s">
        <v>4186</v>
      </c>
      <c r="C2071" s="30" t="s">
        <v>4187</v>
      </c>
      <c r="D2071" s="32">
        <v>69329</v>
      </c>
      <c r="E2071" s="30" t="s">
        <v>20</v>
      </c>
      <c r="F2071" s="30"/>
      <c r="G2071" s="30" t="s">
        <v>194</v>
      </c>
      <c r="H2071" s="30" t="s">
        <v>1055</v>
      </c>
      <c r="I2071" s="31">
        <v>12997.411</v>
      </c>
    </row>
    <row r="2072" spans="2:9" s="6" customFormat="1" ht="11.25" customHeight="1" x14ac:dyDescent="0.55000000000000004">
      <c r="B2072" s="30" t="s">
        <v>4188</v>
      </c>
      <c r="C2072" s="30" t="s">
        <v>4189</v>
      </c>
      <c r="D2072" s="32">
        <v>69310</v>
      </c>
      <c r="E2072" s="30" t="s">
        <v>20</v>
      </c>
      <c r="F2072" s="30"/>
      <c r="G2072" s="30" t="s">
        <v>16</v>
      </c>
      <c r="H2072" s="30" t="s">
        <v>500</v>
      </c>
      <c r="I2072" s="31">
        <v>28965.383000000002</v>
      </c>
    </row>
    <row r="2073" spans="2:9" s="6" customFormat="1" ht="11.25" customHeight="1" x14ac:dyDescent="0.55000000000000004">
      <c r="B2073" s="30" t="s">
        <v>4190</v>
      </c>
      <c r="C2073" s="30" t="s">
        <v>4191</v>
      </c>
      <c r="D2073" s="32">
        <v>84247</v>
      </c>
      <c r="E2073" s="30" t="s">
        <v>15</v>
      </c>
      <c r="F2073" s="30"/>
      <c r="G2073" s="30"/>
      <c r="H2073" s="30" t="s">
        <v>30</v>
      </c>
      <c r="I2073" s="31" t="s">
        <v>29</v>
      </c>
    </row>
    <row r="2074" spans="2:9" s="6" customFormat="1" ht="11.25" customHeight="1" x14ac:dyDescent="0.55000000000000004">
      <c r="B2074" s="30" t="s">
        <v>4192</v>
      </c>
      <c r="C2074" s="30" t="s">
        <v>4193</v>
      </c>
      <c r="D2074" s="32">
        <v>66176</v>
      </c>
      <c r="E2074" s="30" t="s">
        <v>15</v>
      </c>
      <c r="F2074" s="30"/>
      <c r="G2074" s="30"/>
      <c r="H2074" s="30" t="s">
        <v>113</v>
      </c>
      <c r="I2074" s="31" t="s">
        <v>29</v>
      </c>
    </row>
    <row r="2075" spans="2:9" s="6" customFormat="1" ht="11.25" customHeight="1" x14ac:dyDescent="0.55000000000000004">
      <c r="B2075" s="30" t="s">
        <v>4194</v>
      </c>
      <c r="C2075" s="30" t="s">
        <v>4195</v>
      </c>
      <c r="D2075" s="32">
        <v>99538</v>
      </c>
      <c r="E2075" s="30" t="s">
        <v>20</v>
      </c>
      <c r="F2075" s="30"/>
      <c r="G2075" s="30" t="s">
        <v>80</v>
      </c>
      <c r="H2075" s="30" t="s">
        <v>113</v>
      </c>
      <c r="I2075" s="31">
        <v>34915.739000000001</v>
      </c>
    </row>
    <row r="2076" spans="2:9" s="6" customFormat="1" ht="11.25" customHeight="1" x14ac:dyDescent="0.55000000000000004">
      <c r="B2076" s="30" t="s">
        <v>1393</v>
      </c>
      <c r="C2076" s="30" t="s">
        <v>4196</v>
      </c>
      <c r="D2076" s="32" t="s">
        <v>29</v>
      </c>
      <c r="E2076" s="30" t="s">
        <v>20</v>
      </c>
      <c r="F2076" s="30" t="s">
        <v>1393</v>
      </c>
      <c r="G2076" s="30" t="s">
        <v>35</v>
      </c>
      <c r="H2076" s="30" t="s">
        <v>124</v>
      </c>
      <c r="I2076" s="31">
        <v>12901198.045</v>
      </c>
    </row>
    <row r="2077" spans="2:9" s="6" customFormat="1" ht="11.25" customHeight="1" x14ac:dyDescent="0.55000000000000004">
      <c r="B2077" s="30" t="s">
        <v>4197</v>
      </c>
      <c r="C2077" s="30" t="s">
        <v>4198</v>
      </c>
      <c r="D2077" s="32">
        <v>67016</v>
      </c>
      <c r="E2077" s="30" t="s">
        <v>15</v>
      </c>
      <c r="F2077" s="30" t="s">
        <v>1393</v>
      </c>
      <c r="G2077" s="30"/>
      <c r="H2077" s="30" t="s">
        <v>96</v>
      </c>
      <c r="I2077" s="31" t="s">
        <v>29</v>
      </c>
    </row>
    <row r="2078" spans="2:9" s="6" customFormat="1" ht="11.25" customHeight="1" x14ac:dyDescent="0.55000000000000004">
      <c r="B2078" s="30" t="s">
        <v>4199</v>
      </c>
      <c r="C2078" s="30" t="s">
        <v>4200</v>
      </c>
      <c r="D2078" s="32">
        <v>82627</v>
      </c>
      <c r="E2078" s="30" t="s">
        <v>20</v>
      </c>
      <c r="F2078" s="30" t="s">
        <v>1393</v>
      </c>
      <c r="G2078" s="30" t="s">
        <v>35</v>
      </c>
      <c r="H2078" s="30" t="s">
        <v>124</v>
      </c>
      <c r="I2078" s="31">
        <v>12728907.225</v>
      </c>
    </row>
    <row r="2079" spans="2:9" s="6" customFormat="1" ht="11.25" customHeight="1" x14ac:dyDescent="0.55000000000000004">
      <c r="B2079" s="30" t="s">
        <v>4201</v>
      </c>
      <c r="C2079" s="30" t="s">
        <v>4202</v>
      </c>
      <c r="D2079" s="32">
        <v>84565</v>
      </c>
      <c r="E2079" s="30" t="s">
        <v>15</v>
      </c>
      <c r="F2079" s="30"/>
      <c r="G2079" s="30"/>
      <c r="H2079" s="30"/>
      <c r="I2079" s="31" t="s">
        <v>29</v>
      </c>
    </row>
    <row r="2080" spans="2:9" s="6" customFormat="1" ht="11.25" customHeight="1" x14ac:dyDescent="0.55000000000000004">
      <c r="B2080" s="30" t="s">
        <v>4203</v>
      </c>
      <c r="C2080" s="30" t="s">
        <v>4204</v>
      </c>
      <c r="D2080" s="32">
        <v>93483</v>
      </c>
      <c r="E2080" s="30" t="s">
        <v>15</v>
      </c>
      <c r="F2080" s="30" t="s">
        <v>1393</v>
      </c>
      <c r="G2080" s="30"/>
      <c r="H2080" s="30" t="s">
        <v>124</v>
      </c>
      <c r="I2080" s="31" t="s">
        <v>29</v>
      </c>
    </row>
    <row r="2081" spans="2:9" s="6" customFormat="1" ht="11.25" customHeight="1" x14ac:dyDescent="0.55000000000000004">
      <c r="B2081" s="30" t="s">
        <v>503</v>
      </c>
      <c r="C2081" s="30" t="s">
        <v>4205</v>
      </c>
      <c r="D2081" s="32" t="s">
        <v>29</v>
      </c>
      <c r="E2081" s="30" t="s">
        <v>20</v>
      </c>
      <c r="F2081" s="30" t="s">
        <v>503</v>
      </c>
      <c r="G2081" s="30" t="s">
        <v>21</v>
      </c>
      <c r="H2081" s="30" t="s">
        <v>17</v>
      </c>
      <c r="I2081" s="31">
        <v>44832364.219999999</v>
      </c>
    </row>
    <row r="2082" spans="2:9" s="6" customFormat="1" ht="11.25" customHeight="1" x14ac:dyDescent="0.55000000000000004">
      <c r="B2082" s="30" t="s">
        <v>4206</v>
      </c>
      <c r="C2082" s="30" t="s">
        <v>4207</v>
      </c>
      <c r="D2082" s="32" t="s">
        <v>29</v>
      </c>
      <c r="E2082" s="30" t="s">
        <v>20</v>
      </c>
      <c r="F2082" s="30"/>
      <c r="G2082" s="30"/>
      <c r="H2082" s="30"/>
      <c r="I2082" s="31" t="s">
        <v>29</v>
      </c>
    </row>
    <row r="2083" spans="2:9" s="6" customFormat="1" ht="11.25" customHeight="1" x14ac:dyDescent="0.55000000000000004">
      <c r="B2083" s="30" t="s">
        <v>4208</v>
      </c>
      <c r="C2083" s="30" t="s">
        <v>4209</v>
      </c>
      <c r="D2083" s="32">
        <v>85952</v>
      </c>
      <c r="E2083" s="30" t="s">
        <v>15</v>
      </c>
      <c r="F2083" s="30"/>
      <c r="G2083" s="30"/>
      <c r="H2083" s="30"/>
      <c r="I2083" s="31" t="s">
        <v>29</v>
      </c>
    </row>
    <row r="2084" spans="2:9" s="6" customFormat="1" ht="11.25" customHeight="1" x14ac:dyDescent="0.55000000000000004">
      <c r="B2084" s="30" t="s">
        <v>4210</v>
      </c>
      <c r="C2084" s="30" t="s">
        <v>4211</v>
      </c>
      <c r="D2084" s="32">
        <v>85952</v>
      </c>
      <c r="E2084" s="30" t="s">
        <v>15</v>
      </c>
      <c r="F2084" s="30"/>
      <c r="G2084" s="30"/>
      <c r="H2084" s="30"/>
      <c r="I2084" s="31" t="s">
        <v>29</v>
      </c>
    </row>
    <row r="2085" spans="2:9" s="6" customFormat="1" ht="11.25" customHeight="1" x14ac:dyDescent="0.55000000000000004">
      <c r="B2085" s="30" t="s">
        <v>4212</v>
      </c>
      <c r="C2085" s="30" t="s">
        <v>4213</v>
      </c>
      <c r="D2085" s="32">
        <v>68608</v>
      </c>
      <c r="E2085" s="30" t="s">
        <v>20</v>
      </c>
      <c r="F2085" s="30" t="s">
        <v>503</v>
      </c>
      <c r="G2085" s="30" t="s">
        <v>155</v>
      </c>
      <c r="H2085" s="30" t="s">
        <v>17</v>
      </c>
      <c r="I2085" s="31">
        <v>42241900.005000003</v>
      </c>
    </row>
    <row r="2086" spans="2:9" s="6" customFormat="1" ht="11.25" customHeight="1" x14ac:dyDescent="0.55000000000000004">
      <c r="B2086" s="30" t="s">
        <v>4214</v>
      </c>
      <c r="C2086" s="30" t="s">
        <v>4215</v>
      </c>
      <c r="D2086" s="32">
        <v>68608</v>
      </c>
      <c r="E2086" s="30" t="s">
        <v>20</v>
      </c>
      <c r="F2086" s="30"/>
      <c r="G2086" s="30"/>
      <c r="H2086" s="30" t="s">
        <v>17</v>
      </c>
      <c r="I2086" s="31" t="s">
        <v>29</v>
      </c>
    </row>
    <row r="2087" spans="2:9" s="6" customFormat="1" ht="11.25" customHeight="1" x14ac:dyDescent="0.55000000000000004">
      <c r="B2087" s="30" t="s">
        <v>4216</v>
      </c>
      <c r="C2087" s="30" t="s">
        <v>4217</v>
      </c>
      <c r="D2087" s="32">
        <v>68608</v>
      </c>
      <c r="E2087" s="30" t="s">
        <v>20</v>
      </c>
      <c r="F2087" s="30"/>
      <c r="G2087" s="30"/>
      <c r="H2087" s="30" t="s">
        <v>17</v>
      </c>
      <c r="I2087" s="31" t="s">
        <v>29</v>
      </c>
    </row>
    <row r="2088" spans="2:9" s="6" customFormat="1" ht="11.25" customHeight="1" x14ac:dyDescent="0.55000000000000004">
      <c r="B2088" s="30" t="s">
        <v>4218</v>
      </c>
      <c r="C2088" s="30" t="s">
        <v>4219</v>
      </c>
      <c r="D2088" s="32">
        <v>90581</v>
      </c>
      <c r="E2088" s="30" t="s">
        <v>20</v>
      </c>
      <c r="F2088" s="30" t="s">
        <v>503</v>
      </c>
      <c r="G2088" s="30" t="s">
        <v>35</v>
      </c>
      <c r="H2088" s="30" t="s">
        <v>17</v>
      </c>
      <c r="I2088" s="31">
        <v>20877.918000000001</v>
      </c>
    </row>
    <row r="2089" spans="2:9" s="6" customFormat="1" ht="11.25" customHeight="1" x14ac:dyDescent="0.55000000000000004">
      <c r="B2089" s="30" t="s">
        <v>4220</v>
      </c>
      <c r="C2089" s="30" t="s">
        <v>4221</v>
      </c>
      <c r="D2089" s="32">
        <v>93556</v>
      </c>
      <c r="E2089" s="30" t="s">
        <v>15</v>
      </c>
      <c r="F2089" s="30" t="s">
        <v>149</v>
      </c>
      <c r="G2089" s="30" t="s">
        <v>16</v>
      </c>
      <c r="H2089" s="30" t="s">
        <v>735</v>
      </c>
      <c r="I2089" s="31" t="s">
        <v>29</v>
      </c>
    </row>
    <row r="2090" spans="2:9" s="6" customFormat="1" ht="11.25" customHeight="1" x14ac:dyDescent="0.55000000000000004">
      <c r="B2090" s="30" t="s">
        <v>442</v>
      </c>
      <c r="C2090" s="30" t="s">
        <v>4222</v>
      </c>
      <c r="D2090" s="32" t="s">
        <v>29</v>
      </c>
      <c r="E2090" s="30" t="s">
        <v>20</v>
      </c>
      <c r="F2090" s="30" t="s">
        <v>442</v>
      </c>
      <c r="G2090" s="30" t="s">
        <v>155</v>
      </c>
      <c r="H2090" s="30" t="s">
        <v>96</v>
      </c>
      <c r="I2090" s="31">
        <v>122040892.314</v>
      </c>
    </row>
    <row r="2091" spans="2:9" s="6" customFormat="1" ht="11.25" customHeight="1" x14ac:dyDescent="0.55000000000000004">
      <c r="B2091" s="30" t="s">
        <v>4223</v>
      </c>
      <c r="C2091" s="30" t="s">
        <v>4224</v>
      </c>
      <c r="D2091" s="32" t="s">
        <v>29</v>
      </c>
      <c r="E2091" s="30" t="s">
        <v>20</v>
      </c>
      <c r="F2091" s="30"/>
      <c r="G2091" s="30" t="s">
        <v>16</v>
      </c>
      <c r="H2091" s="30" t="s">
        <v>96</v>
      </c>
      <c r="I2091" s="31" t="s">
        <v>29</v>
      </c>
    </row>
    <row r="2092" spans="2:9" s="6" customFormat="1" ht="11.25" customHeight="1" x14ac:dyDescent="0.55000000000000004">
      <c r="B2092" s="30" t="s">
        <v>4225</v>
      </c>
      <c r="C2092" s="30" t="s">
        <v>4226</v>
      </c>
      <c r="D2092" s="32">
        <v>93505</v>
      </c>
      <c r="E2092" s="30" t="s">
        <v>20</v>
      </c>
      <c r="F2092" s="30" t="s">
        <v>442</v>
      </c>
      <c r="G2092" s="30" t="s">
        <v>16</v>
      </c>
      <c r="H2092" s="30" t="s">
        <v>96</v>
      </c>
      <c r="I2092" s="31">
        <v>12094.184999999999</v>
      </c>
    </row>
    <row r="2093" spans="2:9" s="6" customFormat="1" ht="11.25" customHeight="1" x14ac:dyDescent="0.55000000000000004">
      <c r="B2093" s="30" t="s">
        <v>4227</v>
      </c>
      <c r="C2093" s="30" t="s">
        <v>4228</v>
      </c>
      <c r="D2093" s="32">
        <v>88072</v>
      </c>
      <c r="E2093" s="30" t="s">
        <v>20</v>
      </c>
      <c r="F2093" s="30" t="s">
        <v>442</v>
      </c>
      <c r="G2093" s="30" t="s">
        <v>16</v>
      </c>
      <c r="H2093" s="30" t="s">
        <v>96</v>
      </c>
      <c r="I2093" s="31">
        <v>88716224.026000008</v>
      </c>
    </row>
    <row r="2094" spans="2:9" s="6" customFormat="1" ht="11.25" customHeight="1" x14ac:dyDescent="0.55000000000000004">
      <c r="B2094" s="30" t="s">
        <v>4229</v>
      </c>
      <c r="C2094" s="30" t="s">
        <v>4230</v>
      </c>
      <c r="D2094" s="32">
        <v>88072</v>
      </c>
      <c r="E2094" s="30" t="s">
        <v>20</v>
      </c>
      <c r="F2094" s="30"/>
      <c r="G2094" s="30"/>
      <c r="H2094" s="30" t="s">
        <v>96</v>
      </c>
      <c r="I2094" s="31" t="s">
        <v>29</v>
      </c>
    </row>
    <row r="2095" spans="2:9" s="6" customFormat="1" ht="11.25" customHeight="1" x14ac:dyDescent="0.55000000000000004">
      <c r="B2095" s="30" t="s">
        <v>4231</v>
      </c>
      <c r="C2095" s="30" t="s">
        <v>4232</v>
      </c>
      <c r="D2095" s="32">
        <v>88072</v>
      </c>
      <c r="E2095" s="30" t="s">
        <v>20</v>
      </c>
      <c r="F2095" s="30"/>
      <c r="G2095" s="30"/>
      <c r="H2095" s="30" t="s">
        <v>96</v>
      </c>
      <c r="I2095" s="31" t="s">
        <v>29</v>
      </c>
    </row>
    <row r="2096" spans="2:9" s="6" customFormat="1" ht="11.25" customHeight="1" x14ac:dyDescent="0.55000000000000004">
      <c r="B2096" s="30" t="s">
        <v>4233</v>
      </c>
      <c r="C2096" s="30" t="s">
        <v>4234</v>
      </c>
      <c r="D2096" s="32">
        <v>88072</v>
      </c>
      <c r="E2096" s="30" t="s">
        <v>20</v>
      </c>
      <c r="F2096" s="30"/>
      <c r="G2096" s="30"/>
      <c r="H2096" s="30" t="s">
        <v>96</v>
      </c>
      <c r="I2096" s="31" t="s">
        <v>29</v>
      </c>
    </row>
    <row r="2097" spans="2:9" s="6" customFormat="1" ht="11.25" customHeight="1" x14ac:dyDescent="0.55000000000000004">
      <c r="B2097" s="30" t="s">
        <v>4235</v>
      </c>
      <c r="C2097" s="30" t="s">
        <v>4236</v>
      </c>
      <c r="D2097" s="32">
        <v>71153</v>
      </c>
      <c r="E2097" s="30" t="s">
        <v>20</v>
      </c>
      <c r="F2097" s="30" t="s">
        <v>442</v>
      </c>
      <c r="G2097" s="30" t="s">
        <v>155</v>
      </c>
      <c r="H2097" s="30" t="s">
        <v>96</v>
      </c>
      <c r="I2097" s="31">
        <v>34277678.078000002</v>
      </c>
    </row>
    <row r="2098" spans="2:9" s="6" customFormat="1" ht="11.25" customHeight="1" x14ac:dyDescent="0.55000000000000004">
      <c r="B2098" s="30" t="s">
        <v>4237</v>
      </c>
      <c r="C2098" s="30" t="s">
        <v>4238</v>
      </c>
      <c r="D2098" s="32">
        <v>71153</v>
      </c>
      <c r="E2098" s="30" t="s">
        <v>20</v>
      </c>
      <c r="F2098" s="30"/>
      <c r="G2098" s="30"/>
      <c r="H2098" s="30" t="s">
        <v>96</v>
      </c>
      <c r="I2098" s="31" t="s">
        <v>29</v>
      </c>
    </row>
    <row r="2099" spans="2:9" s="6" customFormat="1" ht="11.25" customHeight="1" x14ac:dyDescent="0.55000000000000004">
      <c r="B2099" s="30" t="s">
        <v>4239</v>
      </c>
      <c r="C2099" s="30" t="s">
        <v>4240</v>
      </c>
      <c r="D2099" s="32">
        <v>71153</v>
      </c>
      <c r="E2099" s="30" t="s">
        <v>20</v>
      </c>
      <c r="F2099" s="30"/>
      <c r="G2099" s="30"/>
      <c r="H2099" s="30" t="s">
        <v>96</v>
      </c>
      <c r="I2099" s="31" t="s">
        <v>29</v>
      </c>
    </row>
    <row r="2100" spans="2:9" s="6" customFormat="1" ht="11.25" customHeight="1" x14ac:dyDescent="0.55000000000000004">
      <c r="B2100" s="30" t="s">
        <v>4241</v>
      </c>
      <c r="C2100" s="30" t="s">
        <v>4242</v>
      </c>
      <c r="D2100" s="32">
        <v>91790</v>
      </c>
      <c r="E2100" s="30" t="s">
        <v>15</v>
      </c>
      <c r="F2100" s="30"/>
      <c r="G2100" s="30" t="s">
        <v>16</v>
      </c>
      <c r="H2100" s="30" t="s">
        <v>113</v>
      </c>
      <c r="I2100" s="31" t="s">
        <v>29</v>
      </c>
    </row>
    <row r="2101" spans="2:9" s="6" customFormat="1" ht="11.25" customHeight="1" x14ac:dyDescent="0.55000000000000004">
      <c r="B2101" s="30" t="s">
        <v>4243</v>
      </c>
      <c r="C2101" s="30" t="s">
        <v>4244</v>
      </c>
      <c r="D2101" s="32">
        <v>60157</v>
      </c>
      <c r="E2101" s="30" t="s">
        <v>15</v>
      </c>
      <c r="F2101" s="30"/>
      <c r="G2101" s="30"/>
      <c r="H2101" s="30" t="s">
        <v>113</v>
      </c>
      <c r="I2101" s="31" t="s">
        <v>29</v>
      </c>
    </row>
    <row r="2102" spans="2:9" s="6" customFormat="1" ht="11.25" customHeight="1" x14ac:dyDescent="0.55000000000000004">
      <c r="B2102" s="30" t="s">
        <v>4245</v>
      </c>
      <c r="C2102" s="30" t="s">
        <v>4246</v>
      </c>
      <c r="D2102" s="32">
        <v>69345</v>
      </c>
      <c r="E2102" s="30" t="s">
        <v>20</v>
      </c>
      <c r="F2102" s="30" t="s">
        <v>4247</v>
      </c>
      <c r="G2102" s="30" t="s">
        <v>155</v>
      </c>
      <c r="H2102" s="30" t="s">
        <v>124</v>
      </c>
      <c r="I2102" s="31">
        <v>315595363.84200001</v>
      </c>
    </row>
    <row r="2103" spans="2:9" s="6" customFormat="1" ht="11.25" customHeight="1" x14ac:dyDescent="0.55000000000000004">
      <c r="B2103" s="30" t="s">
        <v>4248</v>
      </c>
      <c r="C2103" s="30" t="s">
        <v>4249</v>
      </c>
      <c r="D2103" s="32">
        <v>69345</v>
      </c>
      <c r="E2103" s="30" t="s">
        <v>20</v>
      </c>
      <c r="F2103" s="30"/>
      <c r="G2103" s="30"/>
      <c r="H2103" s="30" t="s">
        <v>124</v>
      </c>
      <c r="I2103" s="31" t="s">
        <v>29</v>
      </c>
    </row>
    <row r="2104" spans="2:9" s="6" customFormat="1" ht="11.25" customHeight="1" x14ac:dyDescent="0.55000000000000004">
      <c r="B2104" s="30" t="s">
        <v>4250</v>
      </c>
      <c r="C2104" s="30" t="s">
        <v>4251</v>
      </c>
      <c r="D2104" s="32">
        <v>69345</v>
      </c>
      <c r="E2104" s="30" t="s">
        <v>20</v>
      </c>
      <c r="F2104" s="30"/>
      <c r="G2104" s="30"/>
      <c r="H2104" s="30" t="s">
        <v>124</v>
      </c>
      <c r="I2104" s="31" t="s">
        <v>29</v>
      </c>
    </row>
    <row r="2105" spans="2:9" s="6" customFormat="1" ht="11.25" customHeight="1" x14ac:dyDescent="0.55000000000000004">
      <c r="B2105" s="30" t="s">
        <v>4252</v>
      </c>
      <c r="C2105" s="30" t="s">
        <v>4253</v>
      </c>
      <c r="D2105" s="32">
        <v>79472</v>
      </c>
      <c r="E2105" s="30" t="s">
        <v>15</v>
      </c>
      <c r="F2105" s="30"/>
      <c r="G2105" s="30"/>
      <c r="H2105" s="30" t="s">
        <v>113</v>
      </c>
      <c r="I2105" s="31" t="s">
        <v>29</v>
      </c>
    </row>
    <row r="2106" spans="2:9" s="6" customFormat="1" ht="11.25" customHeight="1" x14ac:dyDescent="0.55000000000000004">
      <c r="B2106" s="30" t="s">
        <v>920</v>
      </c>
      <c r="C2106" s="30" t="s">
        <v>4254</v>
      </c>
      <c r="D2106" s="32" t="s">
        <v>29</v>
      </c>
      <c r="E2106" s="30" t="s">
        <v>20</v>
      </c>
      <c r="F2106" s="30" t="s">
        <v>920</v>
      </c>
      <c r="G2106" s="30" t="s">
        <v>194</v>
      </c>
      <c r="H2106" s="30" t="s">
        <v>735</v>
      </c>
      <c r="I2106" s="31" t="s">
        <v>29</v>
      </c>
    </row>
    <row r="2107" spans="2:9" s="6" customFormat="1" ht="11.25" customHeight="1" x14ac:dyDescent="0.55000000000000004">
      <c r="B2107" s="30" t="s">
        <v>4255</v>
      </c>
      <c r="C2107" s="30" t="s">
        <v>4256</v>
      </c>
      <c r="D2107" s="32">
        <v>93017</v>
      </c>
      <c r="E2107" s="30" t="s">
        <v>15</v>
      </c>
      <c r="F2107" s="30"/>
      <c r="G2107" s="30"/>
      <c r="H2107" s="30" t="s">
        <v>113</v>
      </c>
      <c r="I2107" s="31" t="s">
        <v>29</v>
      </c>
    </row>
    <row r="2108" spans="2:9" s="6" customFormat="1" ht="11.25" customHeight="1" x14ac:dyDescent="0.55000000000000004">
      <c r="B2108" s="30" t="s">
        <v>4257</v>
      </c>
      <c r="C2108" s="30" t="s">
        <v>4258</v>
      </c>
      <c r="D2108" s="32">
        <v>92550</v>
      </c>
      <c r="E2108" s="30" t="s">
        <v>15</v>
      </c>
      <c r="F2108" s="30"/>
      <c r="G2108" s="30"/>
      <c r="H2108" s="30" t="s">
        <v>108</v>
      </c>
      <c r="I2108" s="31" t="s">
        <v>29</v>
      </c>
    </row>
    <row r="2109" spans="2:9" s="6" customFormat="1" ht="11.25" customHeight="1" x14ac:dyDescent="0.55000000000000004">
      <c r="B2109" s="30" t="s">
        <v>4259</v>
      </c>
      <c r="C2109" s="30" t="s">
        <v>4260</v>
      </c>
      <c r="D2109" s="32">
        <v>82759</v>
      </c>
      <c r="E2109" s="30" t="s">
        <v>20</v>
      </c>
      <c r="F2109" s="30"/>
      <c r="G2109" s="30" t="s">
        <v>35</v>
      </c>
      <c r="H2109" s="30" t="s">
        <v>92</v>
      </c>
      <c r="I2109" s="31">
        <v>2398767.1540000001</v>
      </c>
    </row>
    <row r="2110" spans="2:9" s="6" customFormat="1" ht="11.25" customHeight="1" x14ac:dyDescent="0.55000000000000004">
      <c r="B2110" s="30" t="s">
        <v>4261</v>
      </c>
      <c r="C2110" s="30" t="s">
        <v>4262</v>
      </c>
      <c r="D2110" s="32">
        <v>69388</v>
      </c>
      <c r="E2110" s="30" t="s">
        <v>15</v>
      </c>
      <c r="F2110" s="30"/>
      <c r="G2110" s="30"/>
      <c r="H2110" s="30" t="s">
        <v>735</v>
      </c>
      <c r="I2110" s="31" t="s">
        <v>29</v>
      </c>
    </row>
    <row r="2111" spans="2:9" s="6" customFormat="1" ht="11.25" customHeight="1" x14ac:dyDescent="0.55000000000000004">
      <c r="B2111" s="30" t="s">
        <v>4263</v>
      </c>
      <c r="C2111" s="30" t="s">
        <v>4264</v>
      </c>
      <c r="D2111" s="32">
        <v>82457</v>
      </c>
      <c r="E2111" s="30" t="s">
        <v>15</v>
      </c>
      <c r="F2111" s="30"/>
      <c r="G2111" s="30"/>
      <c r="H2111" s="30" t="s">
        <v>113</v>
      </c>
      <c r="I2111" s="31" t="s">
        <v>29</v>
      </c>
    </row>
    <row r="2112" spans="2:9" s="6" customFormat="1" ht="11.25" customHeight="1" x14ac:dyDescent="0.55000000000000004">
      <c r="B2112" s="30" t="s">
        <v>4265</v>
      </c>
      <c r="C2112" s="30" t="s">
        <v>4266</v>
      </c>
      <c r="D2112" s="32">
        <v>99546</v>
      </c>
      <c r="E2112" s="30" t="s">
        <v>20</v>
      </c>
      <c r="F2112" s="30" t="s">
        <v>1788</v>
      </c>
      <c r="G2112" s="30" t="s">
        <v>35</v>
      </c>
      <c r="H2112" s="30" t="s">
        <v>113</v>
      </c>
      <c r="I2112" s="31" t="s">
        <v>29</v>
      </c>
    </row>
    <row r="2113" spans="2:9" s="6" customFormat="1" ht="11.25" customHeight="1" x14ac:dyDescent="0.55000000000000004">
      <c r="B2113" s="30" t="s">
        <v>4267</v>
      </c>
      <c r="C2113" s="30" t="s">
        <v>4268</v>
      </c>
      <c r="D2113" s="32">
        <v>82350</v>
      </c>
      <c r="E2113" s="30" t="s">
        <v>15</v>
      </c>
      <c r="F2113" s="30"/>
      <c r="G2113" s="30"/>
      <c r="H2113" s="30" t="s">
        <v>113</v>
      </c>
      <c r="I2113" s="31" t="s">
        <v>29</v>
      </c>
    </row>
    <row r="2114" spans="2:9" s="6" customFormat="1" ht="11.25" customHeight="1" x14ac:dyDescent="0.55000000000000004">
      <c r="B2114" s="30" t="s">
        <v>4269</v>
      </c>
      <c r="C2114" s="30" t="s">
        <v>4270</v>
      </c>
      <c r="D2114" s="32">
        <v>70912</v>
      </c>
      <c r="E2114" s="30" t="s">
        <v>15</v>
      </c>
      <c r="F2114" s="30"/>
      <c r="G2114" s="30"/>
      <c r="H2114" s="30" t="s">
        <v>113</v>
      </c>
      <c r="I2114" s="31" t="s">
        <v>29</v>
      </c>
    </row>
    <row r="2115" spans="2:9" s="6" customFormat="1" ht="11.25" customHeight="1" x14ac:dyDescent="0.55000000000000004">
      <c r="B2115" s="30" t="s">
        <v>4271</v>
      </c>
      <c r="C2115" s="30" t="s">
        <v>4272</v>
      </c>
      <c r="D2115" s="32">
        <v>99449</v>
      </c>
      <c r="E2115" s="30" t="s">
        <v>15</v>
      </c>
      <c r="F2115" s="30" t="s">
        <v>2043</v>
      </c>
      <c r="G2115" s="30" t="s">
        <v>16</v>
      </c>
      <c r="H2115" s="30" t="s">
        <v>113</v>
      </c>
      <c r="I2115" s="31" t="s">
        <v>29</v>
      </c>
    </row>
    <row r="2116" spans="2:9" s="6" customFormat="1" ht="11.25" customHeight="1" x14ac:dyDescent="0.55000000000000004">
      <c r="B2116" s="30" t="s">
        <v>4273</v>
      </c>
      <c r="C2116" s="30" t="s">
        <v>4274</v>
      </c>
      <c r="D2116" s="32">
        <v>86169</v>
      </c>
      <c r="E2116" s="30" t="s">
        <v>15</v>
      </c>
      <c r="F2116" s="30" t="s">
        <v>298</v>
      </c>
      <c r="G2116" s="30" t="s">
        <v>39</v>
      </c>
      <c r="H2116" s="30" t="s">
        <v>113</v>
      </c>
      <c r="I2116" s="31" t="s">
        <v>29</v>
      </c>
    </row>
    <row r="2117" spans="2:9" s="6" customFormat="1" ht="11.25" customHeight="1" x14ac:dyDescent="0.55000000000000004">
      <c r="B2117" s="30" t="s">
        <v>4275</v>
      </c>
      <c r="C2117" s="30" t="s">
        <v>4276</v>
      </c>
      <c r="D2117" s="32">
        <v>69396</v>
      </c>
      <c r="E2117" s="30" t="s">
        <v>20</v>
      </c>
      <c r="F2117" s="30" t="s">
        <v>2067</v>
      </c>
      <c r="G2117" s="30" t="s">
        <v>35</v>
      </c>
      <c r="H2117" s="30" t="s">
        <v>113</v>
      </c>
      <c r="I2117" s="31">
        <v>1351324.635</v>
      </c>
    </row>
    <row r="2118" spans="2:9" s="6" customFormat="1" ht="11.25" customHeight="1" x14ac:dyDescent="0.55000000000000004">
      <c r="B2118" s="30" t="s">
        <v>4277</v>
      </c>
      <c r="C2118" s="30" t="s">
        <v>4278</v>
      </c>
      <c r="D2118" s="32">
        <v>85200</v>
      </c>
      <c r="E2118" s="30" t="s">
        <v>15</v>
      </c>
      <c r="F2118" s="30"/>
      <c r="G2118" s="30" t="s">
        <v>35</v>
      </c>
      <c r="H2118" s="30" t="s">
        <v>113</v>
      </c>
      <c r="I2118" s="31" t="s">
        <v>29</v>
      </c>
    </row>
    <row r="2119" spans="2:9" s="6" customFormat="1" ht="11.25" customHeight="1" x14ac:dyDescent="0.55000000000000004">
      <c r="B2119" s="30" t="s">
        <v>4279</v>
      </c>
      <c r="C2119" s="30" t="s">
        <v>4280</v>
      </c>
      <c r="D2119" s="32">
        <v>82503</v>
      </c>
      <c r="E2119" s="30" t="s">
        <v>15</v>
      </c>
      <c r="F2119" s="30"/>
      <c r="G2119" s="30"/>
      <c r="H2119" s="30" t="s">
        <v>113</v>
      </c>
      <c r="I2119" s="31" t="s">
        <v>29</v>
      </c>
    </row>
    <row r="2120" spans="2:9" s="6" customFormat="1" ht="11.25" customHeight="1" x14ac:dyDescent="0.55000000000000004">
      <c r="B2120" s="30" t="s">
        <v>4281</v>
      </c>
      <c r="C2120" s="30" t="s">
        <v>4282</v>
      </c>
      <c r="D2120" s="32">
        <v>16006</v>
      </c>
      <c r="E2120" s="30" t="s">
        <v>20</v>
      </c>
      <c r="F2120" s="30"/>
      <c r="G2120" s="30" t="s">
        <v>155</v>
      </c>
      <c r="H2120" s="30" t="s">
        <v>113</v>
      </c>
      <c r="I2120" s="31">
        <v>22706.602999999999</v>
      </c>
    </row>
    <row r="2121" spans="2:9" s="6" customFormat="1" ht="11.25" customHeight="1" x14ac:dyDescent="0.55000000000000004">
      <c r="B2121" s="30" t="s">
        <v>4283</v>
      </c>
      <c r="C2121" s="30" t="s">
        <v>4284</v>
      </c>
      <c r="D2121" s="32">
        <v>88285</v>
      </c>
      <c r="E2121" s="30" t="s">
        <v>15</v>
      </c>
      <c r="F2121" s="30" t="s">
        <v>2094</v>
      </c>
      <c r="G2121" s="30" t="s">
        <v>35</v>
      </c>
      <c r="H2121" s="30" t="s">
        <v>45</v>
      </c>
      <c r="I2121" s="31" t="s">
        <v>29</v>
      </c>
    </row>
    <row r="2122" spans="2:9" s="6" customFormat="1" ht="11.25" customHeight="1" x14ac:dyDescent="0.55000000000000004">
      <c r="B2122" s="30" t="s">
        <v>4285</v>
      </c>
      <c r="C2122" s="30" t="s">
        <v>4286</v>
      </c>
      <c r="D2122" s="32">
        <v>70745</v>
      </c>
      <c r="E2122" s="30" t="s">
        <v>15</v>
      </c>
      <c r="F2122" s="30"/>
      <c r="G2122" s="30" t="s">
        <v>35</v>
      </c>
      <c r="H2122" s="30" t="s">
        <v>113</v>
      </c>
      <c r="I2122" s="31" t="s">
        <v>29</v>
      </c>
    </row>
    <row r="2123" spans="2:9" s="6" customFormat="1" ht="11.25" customHeight="1" x14ac:dyDescent="0.55000000000000004">
      <c r="B2123" s="30" t="s">
        <v>4287</v>
      </c>
      <c r="C2123" s="30" t="s">
        <v>4288</v>
      </c>
      <c r="D2123" s="32">
        <v>83160</v>
      </c>
      <c r="E2123" s="30" t="s">
        <v>20</v>
      </c>
      <c r="F2123" s="30"/>
      <c r="G2123" s="30" t="s">
        <v>35</v>
      </c>
      <c r="H2123" s="30" t="s">
        <v>113</v>
      </c>
      <c r="I2123" s="31">
        <v>102937.219</v>
      </c>
    </row>
    <row r="2124" spans="2:9" s="6" customFormat="1" ht="11.25" customHeight="1" x14ac:dyDescent="0.55000000000000004">
      <c r="B2124" s="30" t="s">
        <v>4289</v>
      </c>
      <c r="C2124" s="30" t="s">
        <v>4290</v>
      </c>
      <c r="D2124" s="32">
        <v>87998</v>
      </c>
      <c r="E2124" s="30" t="s">
        <v>15</v>
      </c>
      <c r="F2124" s="30" t="s">
        <v>2094</v>
      </c>
      <c r="G2124" s="30"/>
      <c r="H2124" s="30" t="s">
        <v>113</v>
      </c>
      <c r="I2124" s="31" t="s">
        <v>29</v>
      </c>
    </row>
    <row r="2125" spans="2:9" s="6" customFormat="1" ht="11.25" customHeight="1" x14ac:dyDescent="0.55000000000000004">
      <c r="B2125" s="30" t="s">
        <v>4291</v>
      </c>
      <c r="C2125" s="30" t="s">
        <v>4292</v>
      </c>
      <c r="D2125" s="32">
        <v>77615</v>
      </c>
      <c r="E2125" s="30" t="s">
        <v>15</v>
      </c>
      <c r="F2125" s="30"/>
      <c r="G2125" s="30"/>
      <c r="H2125" s="30" t="s">
        <v>113</v>
      </c>
      <c r="I2125" s="31" t="s">
        <v>29</v>
      </c>
    </row>
    <row r="2126" spans="2:9" s="6" customFormat="1" ht="11.25" customHeight="1" x14ac:dyDescent="0.55000000000000004">
      <c r="B2126" s="30" t="s">
        <v>4293</v>
      </c>
      <c r="C2126" s="30" t="s">
        <v>4294</v>
      </c>
      <c r="D2126" s="32">
        <v>86967</v>
      </c>
      <c r="E2126" s="30" t="s">
        <v>15</v>
      </c>
      <c r="F2126" s="30" t="s">
        <v>1393</v>
      </c>
      <c r="G2126" s="30"/>
      <c r="H2126" s="30" t="s">
        <v>113</v>
      </c>
      <c r="I2126" s="31" t="s">
        <v>29</v>
      </c>
    </row>
    <row r="2127" spans="2:9" s="6" customFormat="1" ht="11.25" customHeight="1" x14ac:dyDescent="0.55000000000000004">
      <c r="B2127" s="30" t="s">
        <v>4295</v>
      </c>
      <c r="C2127" s="30" t="s">
        <v>4296</v>
      </c>
      <c r="D2127" s="32">
        <v>97721</v>
      </c>
      <c r="E2127" s="30" t="s">
        <v>15</v>
      </c>
      <c r="F2127" s="30"/>
      <c r="G2127" s="30" t="s">
        <v>155</v>
      </c>
      <c r="H2127" s="30" t="s">
        <v>156</v>
      </c>
      <c r="I2127" s="31" t="s">
        <v>29</v>
      </c>
    </row>
    <row r="2128" spans="2:9" s="6" customFormat="1" ht="11.25" customHeight="1" x14ac:dyDescent="0.55000000000000004">
      <c r="B2128" s="30" t="s">
        <v>4297</v>
      </c>
      <c r="C2128" s="30" t="s">
        <v>4298</v>
      </c>
      <c r="D2128" s="32">
        <v>97721</v>
      </c>
      <c r="E2128" s="30" t="s">
        <v>15</v>
      </c>
      <c r="F2128" s="30"/>
      <c r="G2128" s="30"/>
      <c r="H2128" s="30" t="s">
        <v>156</v>
      </c>
      <c r="I2128" s="31" t="s">
        <v>29</v>
      </c>
    </row>
    <row r="2129" spans="2:9" s="6" customFormat="1" ht="11.25" customHeight="1" x14ac:dyDescent="0.55000000000000004">
      <c r="B2129" s="30" t="s">
        <v>4299</v>
      </c>
      <c r="C2129" s="30" t="s">
        <v>4300</v>
      </c>
      <c r="D2129" s="32">
        <v>97721</v>
      </c>
      <c r="E2129" s="30" t="s">
        <v>15</v>
      </c>
      <c r="F2129" s="30"/>
      <c r="G2129" s="30"/>
      <c r="H2129" s="30" t="s">
        <v>156</v>
      </c>
      <c r="I2129" s="31" t="s">
        <v>29</v>
      </c>
    </row>
    <row r="2130" spans="2:9" s="6" customFormat="1" ht="11.25" customHeight="1" x14ac:dyDescent="0.55000000000000004">
      <c r="B2130" s="30" t="s">
        <v>4247</v>
      </c>
      <c r="C2130" s="30" t="s">
        <v>4301</v>
      </c>
      <c r="D2130" s="32" t="s">
        <v>29</v>
      </c>
      <c r="E2130" s="30" t="s">
        <v>20</v>
      </c>
      <c r="F2130" s="30" t="s">
        <v>4247</v>
      </c>
      <c r="G2130" s="30" t="s">
        <v>155</v>
      </c>
      <c r="H2130" s="30" t="s">
        <v>124</v>
      </c>
      <c r="I2130" s="31">
        <v>328219074.55500001</v>
      </c>
    </row>
    <row r="2131" spans="2:9" s="6" customFormat="1" ht="11.25" customHeight="1" x14ac:dyDescent="0.55000000000000004">
      <c r="B2131" s="30" t="s">
        <v>4302</v>
      </c>
      <c r="C2131" s="30" t="s">
        <v>4303</v>
      </c>
      <c r="D2131" s="32" t="s">
        <v>29</v>
      </c>
      <c r="E2131" s="30" t="s">
        <v>20</v>
      </c>
      <c r="F2131" s="30"/>
      <c r="G2131" s="30"/>
      <c r="H2131" s="30"/>
      <c r="I2131" s="31" t="s">
        <v>29</v>
      </c>
    </row>
    <row r="2132" spans="2:9" s="6" customFormat="1" ht="11.25" customHeight="1" x14ac:dyDescent="0.55000000000000004">
      <c r="B2132" s="30" t="s">
        <v>4304</v>
      </c>
      <c r="C2132" s="30" t="s">
        <v>4305</v>
      </c>
      <c r="D2132" s="32">
        <v>60142</v>
      </c>
      <c r="E2132" s="30" t="s">
        <v>20</v>
      </c>
      <c r="F2132" s="30" t="s">
        <v>4247</v>
      </c>
      <c r="G2132" s="30" t="s">
        <v>265</v>
      </c>
      <c r="H2132" s="30" t="s">
        <v>124</v>
      </c>
      <c r="I2132" s="31">
        <v>13137836.113</v>
      </c>
    </row>
    <row r="2133" spans="2:9" s="6" customFormat="1" ht="11.25" customHeight="1" x14ac:dyDescent="0.55000000000000004">
      <c r="B2133" s="30" t="s">
        <v>4306</v>
      </c>
      <c r="C2133" s="30" t="s">
        <v>4307</v>
      </c>
      <c r="D2133" s="32">
        <v>60142</v>
      </c>
      <c r="E2133" s="30" t="s">
        <v>20</v>
      </c>
      <c r="F2133" s="30"/>
      <c r="G2133" s="30"/>
      <c r="H2133" s="30" t="s">
        <v>124</v>
      </c>
      <c r="I2133" s="31" t="s">
        <v>29</v>
      </c>
    </row>
    <row r="2134" spans="2:9" s="6" customFormat="1" ht="11.25" customHeight="1" x14ac:dyDescent="0.55000000000000004">
      <c r="B2134" s="30" t="s">
        <v>4308</v>
      </c>
      <c r="C2134" s="30" t="s">
        <v>4309</v>
      </c>
      <c r="D2134" s="32">
        <v>60142</v>
      </c>
      <c r="E2134" s="30" t="s">
        <v>20</v>
      </c>
      <c r="F2134" s="30"/>
      <c r="G2134" s="30"/>
      <c r="H2134" s="30" t="s">
        <v>124</v>
      </c>
      <c r="I2134" s="31" t="s">
        <v>29</v>
      </c>
    </row>
    <row r="2135" spans="2:9" s="6" customFormat="1" ht="11.25" customHeight="1" x14ac:dyDescent="0.55000000000000004">
      <c r="B2135" s="30" t="s">
        <v>4310</v>
      </c>
      <c r="C2135" s="30" t="s">
        <v>4311</v>
      </c>
      <c r="D2135" s="32">
        <v>60142</v>
      </c>
      <c r="E2135" s="30" t="s">
        <v>20</v>
      </c>
      <c r="F2135" s="30"/>
      <c r="G2135" s="30"/>
      <c r="H2135" s="30" t="s">
        <v>124</v>
      </c>
      <c r="I2135" s="31" t="s">
        <v>29</v>
      </c>
    </row>
    <row r="2136" spans="2:9" s="6" customFormat="1" ht="11.25" customHeight="1" x14ac:dyDescent="0.55000000000000004">
      <c r="B2136" s="30" t="s">
        <v>4312</v>
      </c>
      <c r="C2136" s="30" t="s">
        <v>4313</v>
      </c>
      <c r="D2136" s="32">
        <v>92908</v>
      </c>
      <c r="E2136" s="30" t="s">
        <v>20</v>
      </c>
      <c r="F2136" s="30" t="s">
        <v>106</v>
      </c>
      <c r="G2136" s="30" t="s">
        <v>16</v>
      </c>
      <c r="H2136" s="30" t="s">
        <v>108</v>
      </c>
      <c r="I2136" s="31">
        <v>14709.907999999999</v>
      </c>
    </row>
    <row r="2137" spans="2:9" s="6" customFormat="1" ht="11.25" customHeight="1" x14ac:dyDescent="0.55000000000000004">
      <c r="B2137" s="30" t="s">
        <v>4314</v>
      </c>
      <c r="C2137" s="30" t="s">
        <v>4315</v>
      </c>
      <c r="D2137" s="32">
        <v>69477</v>
      </c>
      <c r="E2137" s="30" t="s">
        <v>20</v>
      </c>
      <c r="F2137" s="30"/>
      <c r="G2137" s="30" t="s">
        <v>39</v>
      </c>
      <c r="H2137" s="30" t="s">
        <v>130</v>
      </c>
      <c r="I2137" s="31" t="s">
        <v>29</v>
      </c>
    </row>
    <row r="2138" spans="2:9" s="6" customFormat="1" ht="11.25" customHeight="1" x14ac:dyDescent="0.55000000000000004">
      <c r="B2138" s="30" t="s">
        <v>4316</v>
      </c>
      <c r="C2138" s="30" t="s">
        <v>4317</v>
      </c>
      <c r="D2138" s="32">
        <v>94714</v>
      </c>
      <c r="E2138" s="30" t="s">
        <v>20</v>
      </c>
      <c r="F2138" s="30"/>
      <c r="G2138" s="30" t="s">
        <v>16</v>
      </c>
      <c r="H2138" s="30" t="s">
        <v>105</v>
      </c>
      <c r="I2138" s="31" t="s">
        <v>29</v>
      </c>
    </row>
    <row r="2139" spans="2:9" s="6" customFormat="1" ht="11.25" customHeight="1" x14ac:dyDescent="0.55000000000000004">
      <c r="B2139" s="30" t="s">
        <v>728</v>
      </c>
      <c r="C2139" s="30" t="s">
        <v>4318</v>
      </c>
      <c r="D2139" s="32" t="s">
        <v>29</v>
      </c>
      <c r="E2139" s="30" t="s">
        <v>20</v>
      </c>
      <c r="F2139" s="30" t="s">
        <v>728</v>
      </c>
      <c r="G2139" s="30" t="s">
        <v>80</v>
      </c>
      <c r="H2139" s="30" t="s">
        <v>124</v>
      </c>
      <c r="I2139" s="31">
        <v>157322.674</v>
      </c>
    </row>
    <row r="2140" spans="2:9" s="6" customFormat="1" ht="11.25" customHeight="1" x14ac:dyDescent="0.55000000000000004">
      <c r="B2140" s="30" t="s">
        <v>4319</v>
      </c>
      <c r="C2140" s="30" t="s">
        <v>4320</v>
      </c>
      <c r="D2140" s="32">
        <v>87823</v>
      </c>
      <c r="E2140" s="30" t="s">
        <v>20</v>
      </c>
      <c r="F2140" s="30"/>
      <c r="G2140" s="30" t="s">
        <v>155</v>
      </c>
      <c r="H2140" s="30" t="s">
        <v>113</v>
      </c>
      <c r="I2140" s="31" t="s">
        <v>29</v>
      </c>
    </row>
    <row r="2141" spans="2:9" s="6" customFormat="1" ht="11.25" customHeight="1" x14ac:dyDescent="0.55000000000000004">
      <c r="B2141" s="30" t="s">
        <v>4321</v>
      </c>
      <c r="C2141" s="30" t="s">
        <v>4322</v>
      </c>
      <c r="D2141" s="32">
        <v>60083</v>
      </c>
      <c r="E2141" s="30" t="s">
        <v>15</v>
      </c>
      <c r="F2141" s="30" t="s">
        <v>709</v>
      </c>
      <c r="G2141" s="30"/>
      <c r="H2141" s="30" t="s">
        <v>150</v>
      </c>
      <c r="I2141" s="31" t="s">
        <v>29</v>
      </c>
    </row>
    <row r="2142" spans="2:9" s="6" customFormat="1" ht="11.25" customHeight="1" x14ac:dyDescent="0.55000000000000004">
      <c r="B2142" s="30" t="s">
        <v>4323</v>
      </c>
      <c r="C2142" s="30" t="s">
        <v>4324</v>
      </c>
      <c r="D2142" s="32">
        <v>74250</v>
      </c>
      <c r="E2142" s="30" t="s">
        <v>15</v>
      </c>
      <c r="F2142" s="30"/>
      <c r="G2142" s="30" t="s">
        <v>35</v>
      </c>
      <c r="H2142" s="30" t="s">
        <v>92</v>
      </c>
      <c r="I2142" s="31" t="s">
        <v>29</v>
      </c>
    </row>
    <row r="2143" spans="2:9" s="6" customFormat="1" ht="11.25" customHeight="1" x14ac:dyDescent="0.55000000000000004">
      <c r="B2143" s="30" t="s">
        <v>4325</v>
      </c>
      <c r="C2143" s="30" t="s">
        <v>4326</v>
      </c>
      <c r="D2143" s="32">
        <v>69493</v>
      </c>
      <c r="E2143" s="30" t="s">
        <v>15</v>
      </c>
      <c r="F2143" s="30"/>
      <c r="G2143" s="30" t="s">
        <v>16</v>
      </c>
      <c r="H2143" s="30" t="s">
        <v>113</v>
      </c>
      <c r="I2143" s="31" t="s">
        <v>29</v>
      </c>
    </row>
    <row r="2144" spans="2:9" s="6" customFormat="1" ht="11.25" customHeight="1" x14ac:dyDescent="0.55000000000000004">
      <c r="B2144" s="30" t="s">
        <v>4327</v>
      </c>
      <c r="C2144" s="30" t="s">
        <v>4328</v>
      </c>
      <c r="D2144" s="32">
        <v>77674</v>
      </c>
      <c r="E2144" s="30" t="s">
        <v>20</v>
      </c>
      <c r="F2144" s="30"/>
      <c r="G2144" s="30" t="s">
        <v>21</v>
      </c>
      <c r="H2144" s="30" t="s">
        <v>89</v>
      </c>
      <c r="I2144" s="31">
        <v>7962.89</v>
      </c>
    </row>
    <row r="2145" spans="2:9" s="6" customFormat="1" ht="11.25" customHeight="1" x14ac:dyDescent="0.55000000000000004">
      <c r="B2145" s="30" t="s">
        <v>4329</v>
      </c>
      <c r="C2145" s="30" t="s">
        <v>4330</v>
      </c>
      <c r="D2145" s="32">
        <v>69353</v>
      </c>
      <c r="E2145" s="30" t="s">
        <v>15</v>
      </c>
      <c r="F2145" s="30"/>
      <c r="G2145" s="30" t="s">
        <v>21</v>
      </c>
      <c r="H2145" s="30" t="s">
        <v>75</v>
      </c>
      <c r="I2145" s="31" t="s">
        <v>29</v>
      </c>
    </row>
    <row r="2146" spans="2:9" s="6" customFormat="1" ht="11.25" customHeight="1" x14ac:dyDescent="0.55000000000000004">
      <c r="B2146" s="30" t="s">
        <v>4331</v>
      </c>
      <c r="C2146" s="30" t="s">
        <v>4332</v>
      </c>
      <c r="D2146" s="32">
        <v>60233</v>
      </c>
      <c r="E2146" s="30" t="s">
        <v>15</v>
      </c>
      <c r="F2146" s="30"/>
      <c r="G2146" s="30"/>
      <c r="H2146" s="30" t="s">
        <v>113</v>
      </c>
      <c r="I2146" s="31" t="s">
        <v>29</v>
      </c>
    </row>
    <row r="2147" spans="2:9" s="6" customFormat="1" ht="11.25" customHeight="1" x14ac:dyDescent="0.55000000000000004">
      <c r="B2147" s="30" t="s">
        <v>4333</v>
      </c>
      <c r="C2147" s="30" t="s">
        <v>4334</v>
      </c>
      <c r="D2147" s="32">
        <v>77690</v>
      </c>
      <c r="E2147" s="30" t="s">
        <v>20</v>
      </c>
      <c r="F2147" s="30"/>
      <c r="G2147" s="30" t="s">
        <v>80</v>
      </c>
      <c r="H2147" s="30" t="s">
        <v>105</v>
      </c>
      <c r="I2147" s="31" t="s">
        <v>29</v>
      </c>
    </row>
    <row r="2148" spans="2:9" s="6" customFormat="1" ht="11.25" customHeight="1" x14ac:dyDescent="0.55000000000000004">
      <c r="B2148" s="30" t="s">
        <v>4335</v>
      </c>
      <c r="C2148" s="30" t="s">
        <v>4336</v>
      </c>
      <c r="D2148" s="32">
        <v>69566</v>
      </c>
      <c r="E2148" s="30" t="s">
        <v>20</v>
      </c>
      <c r="F2148" s="30"/>
      <c r="G2148" s="30" t="s">
        <v>35</v>
      </c>
      <c r="H2148" s="30" t="s">
        <v>239</v>
      </c>
      <c r="I2148" s="31">
        <v>342234.10000000003</v>
      </c>
    </row>
    <row r="2149" spans="2:9" s="6" customFormat="1" ht="11.25" customHeight="1" x14ac:dyDescent="0.55000000000000004">
      <c r="B2149" s="30" t="s">
        <v>4337</v>
      </c>
      <c r="C2149" s="30" t="s">
        <v>4338</v>
      </c>
      <c r="D2149" s="32">
        <v>71986</v>
      </c>
      <c r="E2149" s="30" t="s">
        <v>15</v>
      </c>
      <c r="F2149" s="30"/>
      <c r="G2149" s="30" t="s">
        <v>25</v>
      </c>
      <c r="H2149" s="30" t="s">
        <v>262</v>
      </c>
      <c r="I2149" s="31" t="s">
        <v>29</v>
      </c>
    </row>
    <row r="2150" spans="2:9" s="6" customFormat="1" ht="11.25" customHeight="1" x14ac:dyDescent="0.55000000000000004">
      <c r="B2150" s="30" t="s">
        <v>62</v>
      </c>
      <c r="C2150" s="30" t="s">
        <v>4339</v>
      </c>
      <c r="D2150" s="32" t="s">
        <v>29</v>
      </c>
      <c r="E2150" s="30" t="s">
        <v>20</v>
      </c>
      <c r="F2150" s="30" t="s">
        <v>62</v>
      </c>
      <c r="G2150" s="30" t="s">
        <v>155</v>
      </c>
      <c r="H2150" s="30" t="s">
        <v>63</v>
      </c>
      <c r="I2150" s="31">
        <v>214534556.21799999</v>
      </c>
    </row>
    <row r="2151" spans="2:9" s="6" customFormat="1" ht="11.25" customHeight="1" x14ac:dyDescent="0.55000000000000004">
      <c r="B2151" s="30" t="s">
        <v>4340</v>
      </c>
      <c r="C2151" s="30" t="s">
        <v>4341</v>
      </c>
      <c r="D2151" s="32" t="s">
        <v>29</v>
      </c>
      <c r="E2151" s="30" t="s">
        <v>20</v>
      </c>
      <c r="F2151" s="30"/>
      <c r="G2151" s="30"/>
      <c r="H2151" s="30"/>
      <c r="I2151" s="31" t="s">
        <v>29</v>
      </c>
    </row>
    <row r="2152" spans="2:9" s="6" customFormat="1" ht="11.25" customHeight="1" x14ac:dyDescent="0.55000000000000004">
      <c r="B2152" s="30" t="s">
        <v>4342</v>
      </c>
      <c r="C2152" s="30" t="s">
        <v>4343</v>
      </c>
      <c r="D2152" s="32">
        <v>79022</v>
      </c>
      <c r="E2152" s="30" t="s">
        <v>15</v>
      </c>
      <c r="F2152" s="30" t="s">
        <v>62</v>
      </c>
      <c r="G2152" s="30" t="s">
        <v>35</v>
      </c>
      <c r="H2152" s="30" t="s">
        <v>63</v>
      </c>
      <c r="I2152" s="31" t="s">
        <v>29</v>
      </c>
    </row>
    <row r="2153" spans="2:9" s="6" customFormat="1" ht="11.25" customHeight="1" x14ac:dyDescent="0.55000000000000004">
      <c r="B2153" s="30" t="s">
        <v>4344</v>
      </c>
      <c r="C2153" s="30" t="s">
        <v>4345</v>
      </c>
      <c r="D2153" s="32">
        <v>79022</v>
      </c>
      <c r="E2153" s="30" t="s">
        <v>15</v>
      </c>
      <c r="F2153" s="30"/>
      <c r="G2153" s="30"/>
      <c r="H2153" s="30" t="s">
        <v>63</v>
      </c>
      <c r="I2153" s="31" t="s">
        <v>29</v>
      </c>
    </row>
    <row r="2154" spans="2:9" s="6" customFormat="1" ht="11.25" customHeight="1" x14ac:dyDescent="0.55000000000000004">
      <c r="B2154" s="30" t="s">
        <v>4346</v>
      </c>
      <c r="C2154" s="30" t="s">
        <v>4347</v>
      </c>
      <c r="D2154" s="32">
        <v>79022</v>
      </c>
      <c r="E2154" s="30" t="s">
        <v>15</v>
      </c>
      <c r="F2154" s="30"/>
      <c r="G2154" s="30"/>
      <c r="H2154" s="30" t="s">
        <v>63</v>
      </c>
      <c r="I2154" s="31" t="s">
        <v>29</v>
      </c>
    </row>
    <row r="2155" spans="2:9" s="6" customFormat="1" ht="11.25" customHeight="1" x14ac:dyDescent="0.55000000000000004">
      <c r="B2155" s="30" t="s">
        <v>4348</v>
      </c>
      <c r="C2155" s="30" t="s">
        <v>4349</v>
      </c>
      <c r="D2155" s="32">
        <v>79022</v>
      </c>
      <c r="E2155" s="30" t="s">
        <v>15</v>
      </c>
      <c r="F2155" s="30"/>
      <c r="G2155" s="30"/>
      <c r="H2155" s="30" t="s">
        <v>63</v>
      </c>
      <c r="I2155" s="31" t="s">
        <v>29</v>
      </c>
    </row>
    <row r="2156" spans="2:9" s="6" customFormat="1" ht="11.25" customHeight="1" x14ac:dyDescent="0.55000000000000004">
      <c r="B2156" s="30" t="s">
        <v>4350</v>
      </c>
      <c r="C2156" s="30" t="s">
        <v>4351</v>
      </c>
      <c r="D2156" s="32">
        <v>80829</v>
      </c>
      <c r="E2156" s="30" t="s">
        <v>15</v>
      </c>
      <c r="F2156" s="30" t="s">
        <v>62</v>
      </c>
      <c r="G2156" s="30"/>
      <c r="H2156" s="30" t="s">
        <v>266</v>
      </c>
      <c r="I2156" s="31" t="s">
        <v>29</v>
      </c>
    </row>
    <row r="2157" spans="2:9" s="6" customFormat="1" ht="11.25" customHeight="1" x14ac:dyDescent="0.55000000000000004">
      <c r="B2157" s="30" t="s">
        <v>4352</v>
      </c>
      <c r="C2157" s="30" t="s">
        <v>4353</v>
      </c>
      <c r="D2157" s="32">
        <v>70688</v>
      </c>
      <c r="E2157" s="30" t="s">
        <v>20</v>
      </c>
      <c r="F2157" s="30" t="s">
        <v>62</v>
      </c>
      <c r="G2157" s="30" t="s">
        <v>155</v>
      </c>
      <c r="H2157" s="30" t="s">
        <v>124</v>
      </c>
      <c r="I2157" s="31">
        <v>31907544.546</v>
      </c>
    </row>
    <row r="2158" spans="2:9" s="6" customFormat="1" ht="11.25" customHeight="1" x14ac:dyDescent="0.55000000000000004">
      <c r="B2158" s="30" t="s">
        <v>4354</v>
      </c>
      <c r="C2158" s="30" t="s">
        <v>4355</v>
      </c>
      <c r="D2158" s="32">
        <v>70688</v>
      </c>
      <c r="E2158" s="30" t="s">
        <v>20</v>
      </c>
      <c r="F2158" s="30"/>
      <c r="G2158" s="30"/>
      <c r="H2158" s="30" t="s">
        <v>124</v>
      </c>
      <c r="I2158" s="31" t="s">
        <v>29</v>
      </c>
    </row>
    <row r="2159" spans="2:9" s="6" customFormat="1" ht="11.25" customHeight="1" x14ac:dyDescent="0.55000000000000004">
      <c r="B2159" s="30" t="s">
        <v>4356</v>
      </c>
      <c r="C2159" s="30" t="s">
        <v>4357</v>
      </c>
      <c r="D2159" s="32">
        <v>70688</v>
      </c>
      <c r="E2159" s="30" t="s">
        <v>20</v>
      </c>
      <c r="F2159" s="30"/>
      <c r="G2159" s="30"/>
      <c r="H2159" s="30" t="s">
        <v>124</v>
      </c>
      <c r="I2159" s="31" t="s">
        <v>29</v>
      </c>
    </row>
    <row r="2160" spans="2:9" s="6" customFormat="1" ht="11.25" customHeight="1" x14ac:dyDescent="0.55000000000000004">
      <c r="B2160" s="30" t="s">
        <v>4358</v>
      </c>
      <c r="C2160" s="30" t="s">
        <v>4359</v>
      </c>
      <c r="D2160" s="32">
        <v>70688</v>
      </c>
      <c r="E2160" s="30" t="s">
        <v>20</v>
      </c>
      <c r="F2160" s="30"/>
      <c r="G2160" s="30"/>
      <c r="H2160" s="30" t="s">
        <v>124</v>
      </c>
      <c r="I2160" s="31" t="s">
        <v>29</v>
      </c>
    </row>
    <row r="2161" spans="2:9" s="6" customFormat="1" ht="11.25" customHeight="1" x14ac:dyDescent="0.55000000000000004">
      <c r="B2161" s="30" t="s">
        <v>4360</v>
      </c>
      <c r="C2161" s="30" t="s">
        <v>4361</v>
      </c>
      <c r="D2161" s="32">
        <v>80446</v>
      </c>
      <c r="E2161" s="30" t="s">
        <v>15</v>
      </c>
      <c r="F2161" s="30" t="s">
        <v>62</v>
      </c>
      <c r="G2161" s="30"/>
      <c r="H2161" s="30" t="s">
        <v>239</v>
      </c>
      <c r="I2161" s="31" t="s">
        <v>29</v>
      </c>
    </row>
    <row r="2162" spans="2:9" s="6" customFormat="1" ht="11.25" customHeight="1" x14ac:dyDescent="0.55000000000000004">
      <c r="B2162" s="30" t="s">
        <v>4362</v>
      </c>
      <c r="C2162" s="30" t="s">
        <v>4363</v>
      </c>
      <c r="D2162" s="32">
        <v>83399</v>
      </c>
      <c r="E2162" s="30" t="s">
        <v>15</v>
      </c>
      <c r="F2162" s="30" t="s">
        <v>62</v>
      </c>
      <c r="G2162" s="30"/>
      <c r="H2162" s="30" t="s">
        <v>124</v>
      </c>
      <c r="I2162" s="31" t="s">
        <v>29</v>
      </c>
    </row>
    <row r="2163" spans="2:9" s="6" customFormat="1" ht="11.25" customHeight="1" x14ac:dyDescent="0.55000000000000004">
      <c r="B2163" s="30" t="s">
        <v>4364</v>
      </c>
      <c r="C2163" s="30" t="s">
        <v>4365</v>
      </c>
      <c r="D2163" s="32">
        <v>83399</v>
      </c>
      <c r="E2163" s="30" t="s">
        <v>15</v>
      </c>
      <c r="F2163" s="30"/>
      <c r="G2163" s="30"/>
      <c r="H2163" s="30" t="s">
        <v>124</v>
      </c>
      <c r="I2163" s="31" t="s">
        <v>29</v>
      </c>
    </row>
    <row r="2164" spans="2:9" s="6" customFormat="1" ht="11.25" customHeight="1" x14ac:dyDescent="0.55000000000000004">
      <c r="B2164" s="30" t="s">
        <v>4366</v>
      </c>
      <c r="C2164" s="30" t="s">
        <v>4367</v>
      </c>
      <c r="D2164" s="32">
        <v>86231</v>
      </c>
      <c r="E2164" s="30" t="s">
        <v>20</v>
      </c>
      <c r="F2164" s="30" t="s">
        <v>62</v>
      </c>
      <c r="G2164" s="30" t="s">
        <v>155</v>
      </c>
      <c r="H2164" s="30" t="s">
        <v>63</v>
      </c>
      <c r="I2164" s="31">
        <v>130191349.52</v>
      </c>
    </row>
    <row r="2165" spans="2:9" s="6" customFormat="1" ht="11.25" customHeight="1" x14ac:dyDescent="0.55000000000000004">
      <c r="B2165" s="30" t="s">
        <v>5545</v>
      </c>
      <c r="C2165" s="30" t="s">
        <v>5546</v>
      </c>
      <c r="D2165" s="32">
        <v>86231</v>
      </c>
      <c r="E2165" s="30" t="s">
        <v>20</v>
      </c>
      <c r="F2165" s="30"/>
      <c r="G2165" s="30"/>
      <c r="H2165" s="30" t="s">
        <v>63</v>
      </c>
      <c r="I2165" s="31" t="s">
        <v>29</v>
      </c>
    </row>
    <row r="2166" spans="2:9" s="6" customFormat="1" ht="11.25" customHeight="1" x14ac:dyDescent="0.55000000000000004">
      <c r="B2166" s="30" t="s">
        <v>4368</v>
      </c>
      <c r="C2166" s="30" t="s">
        <v>4369</v>
      </c>
      <c r="D2166" s="32">
        <v>86231</v>
      </c>
      <c r="E2166" s="30" t="s">
        <v>20</v>
      </c>
      <c r="F2166" s="30"/>
      <c r="G2166" s="30"/>
      <c r="H2166" s="30" t="s">
        <v>63</v>
      </c>
      <c r="I2166" s="31" t="s">
        <v>29</v>
      </c>
    </row>
    <row r="2167" spans="2:9" s="6" customFormat="1" ht="11.25" customHeight="1" x14ac:dyDescent="0.55000000000000004">
      <c r="B2167" s="30" t="s">
        <v>4370</v>
      </c>
      <c r="C2167" s="30" t="s">
        <v>4371</v>
      </c>
      <c r="D2167" s="32">
        <v>86231</v>
      </c>
      <c r="E2167" s="30" t="s">
        <v>20</v>
      </c>
      <c r="F2167" s="30"/>
      <c r="G2167" s="30"/>
      <c r="H2167" s="30" t="s">
        <v>63</v>
      </c>
      <c r="I2167" s="31" t="s">
        <v>29</v>
      </c>
    </row>
    <row r="2168" spans="2:9" s="6" customFormat="1" ht="11.25" customHeight="1" x14ac:dyDescent="0.55000000000000004">
      <c r="B2168" s="30" t="s">
        <v>4372</v>
      </c>
      <c r="C2168" s="30" t="s">
        <v>4373</v>
      </c>
      <c r="D2168" s="32">
        <v>67121</v>
      </c>
      <c r="E2168" s="30" t="s">
        <v>15</v>
      </c>
      <c r="F2168" s="30" t="s">
        <v>62</v>
      </c>
      <c r="G2168" s="30" t="s">
        <v>35</v>
      </c>
      <c r="H2168" s="30" t="s">
        <v>63</v>
      </c>
      <c r="I2168" s="31" t="s">
        <v>29</v>
      </c>
    </row>
    <row r="2169" spans="2:9" s="6" customFormat="1" ht="11.25" customHeight="1" x14ac:dyDescent="0.55000000000000004">
      <c r="B2169" s="30" t="s">
        <v>4374</v>
      </c>
      <c r="C2169" s="30" t="s">
        <v>4375</v>
      </c>
      <c r="D2169" s="32">
        <v>67121</v>
      </c>
      <c r="E2169" s="30" t="s">
        <v>15</v>
      </c>
      <c r="F2169" s="30"/>
      <c r="G2169" s="30"/>
      <c r="H2169" s="30" t="s">
        <v>63</v>
      </c>
      <c r="I2169" s="31" t="s">
        <v>29</v>
      </c>
    </row>
    <row r="2170" spans="2:9" s="6" customFormat="1" ht="11.25" customHeight="1" x14ac:dyDescent="0.55000000000000004">
      <c r="B2170" s="30" t="s">
        <v>4376</v>
      </c>
      <c r="C2170" s="30" t="s">
        <v>4377</v>
      </c>
      <c r="D2170" s="32">
        <v>77704</v>
      </c>
      <c r="E2170" s="30" t="s">
        <v>15</v>
      </c>
      <c r="F2170" s="30"/>
      <c r="G2170" s="30" t="s">
        <v>80</v>
      </c>
      <c r="H2170" s="30" t="s">
        <v>113</v>
      </c>
      <c r="I2170" s="31" t="s">
        <v>29</v>
      </c>
    </row>
    <row r="2171" spans="2:9" s="6" customFormat="1" ht="11.25" customHeight="1" x14ac:dyDescent="0.55000000000000004">
      <c r="B2171" s="30" t="s">
        <v>4378</v>
      </c>
      <c r="C2171" s="30" t="s">
        <v>4379</v>
      </c>
      <c r="D2171" s="32">
        <v>69523</v>
      </c>
      <c r="E2171" s="30" t="s">
        <v>20</v>
      </c>
      <c r="F2171" s="30"/>
      <c r="G2171" s="30" t="s">
        <v>39</v>
      </c>
      <c r="H2171" s="30" t="s">
        <v>130</v>
      </c>
      <c r="I2171" s="31" t="s">
        <v>29</v>
      </c>
    </row>
    <row r="2172" spans="2:9" s="6" customFormat="1" ht="11.25" customHeight="1" x14ac:dyDescent="0.55000000000000004">
      <c r="B2172" s="30" t="s">
        <v>4380</v>
      </c>
      <c r="C2172" s="30" t="s">
        <v>4381</v>
      </c>
      <c r="D2172" s="32">
        <v>69531</v>
      </c>
      <c r="E2172" s="30" t="s">
        <v>15</v>
      </c>
      <c r="F2172" s="30"/>
      <c r="G2172" s="30"/>
      <c r="H2172" s="30" t="s">
        <v>150</v>
      </c>
      <c r="I2172" s="31" t="s">
        <v>29</v>
      </c>
    </row>
    <row r="2173" spans="2:9" s="6" customFormat="1" ht="11.25" customHeight="1" x14ac:dyDescent="0.55000000000000004">
      <c r="B2173" s="30" t="s">
        <v>4382</v>
      </c>
      <c r="C2173" s="30" t="s">
        <v>4383</v>
      </c>
      <c r="D2173" s="32">
        <v>99473</v>
      </c>
      <c r="E2173" s="30" t="s">
        <v>20</v>
      </c>
      <c r="F2173" s="30" t="s">
        <v>1670</v>
      </c>
      <c r="G2173" s="30" t="s">
        <v>16</v>
      </c>
      <c r="H2173" s="30" t="s">
        <v>89</v>
      </c>
      <c r="I2173" s="31">
        <v>522.30200000000002</v>
      </c>
    </row>
    <row r="2174" spans="2:9" s="6" customFormat="1" ht="11.25" customHeight="1" x14ac:dyDescent="0.55000000000000004">
      <c r="B2174" s="30" t="s">
        <v>4384</v>
      </c>
      <c r="C2174" s="30" t="s">
        <v>4385</v>
      </c>
      <c r="D2174" s="32">
        <v>97802</v>
      </c>
      <c r="E2174" s="30" t="s">
        <v>15</v>
      </c>
      <c r="F2174" s="30" t="s">
        <v>843</v>
      </c>
      <c r="G2174" s="30"/>
      <c r="H2174" s="30" t="s">
        <v>113</v>
      </c>
      <c r="I2174" s="31" t="s">
        <v>29</v>
      </c>
    </row>
    <row r="2175" spans="2:9" s="6" customFormat="1" ht="11.25" customHeight="1" x14ac:dyDescent="0.55000000000000004">
      <c r="B2175" s="30" t="s">
        <v>4386</v>
      </c>
      <c r="C2175" s="30" t="s">
        <v>4387</v>
      </c>
      <c r="D2175" s="32">
        <v>79545</v>
      </c>
      <c r="E2175" s="30" t="s">
        <v>15</v>
      </c>
      <c r="F2175" s="30"/>
      <c r="G2175" s="30"/>
      <c r="H2175" s="30" t="s">
        <v>22</v>
      </c>
      <c r="I2175" s="31" t="s">
        <v>29</v>
      </c>
    </row>
    <row r="2176" spans="2:9" s="6" customFormat="1" ht="11.25" customHeight="1" x14ac:dyDescent="0.55000000000000004">
      <c r="B2176" s="30" t="s">
        <v>4388</v>
      </c>
      <c r="C2176" s="30" t="s">
        <v>4389</v>
      </c>
      <c r="D2176" s="32">
        <v>93270</v>
      </c>
      <c r="E2176" s="30" t="s">
        <v>15</v>
      </c>
      <c r="F2176" s="30" t="s">
        <v>728</v>
      </c>
      <c r="G2176" s="30" t="s">
        <v>80</v>
      </c>
      <c r="H2176" s="30" t="s">
        <v>262</v>
      </c>
      <c r="I2176" s="31" t="s">
        <v>29</v>
      </c>
    </row>
    <row r="2177" spans="2:9" s="6" customFormat="1" ht="11.25" customHeight="1" x14ac:dyDescent="0.55000000000000004">
      <c r="B2177" s="30" t="s">
        <v>4390</v>
      </c>
      <c r="C2177" s="30" t="s">
        <v>4391</v>
      </c>
      <c r="D2177" s="32">
        <v>76155</v>
      </c>
      <c r="E2177" s="30" t="s">
        <v>15</v>
      </c>
      <c r="F2177" s="30"/>
      <c r="G2177" s="30"/>
      <c r="H2177" s="30" t="s">
        <v>86</v>
      </c>
      <c r="I2177" s="31" t="s">
        <v>29</v>
      </c>
    </row>
    <row r="2178" spans="2:9" s="6" customFormat="1" ht="11.25" customHeight="1" x14ac:dyDescent="0.55000000000000004">
      <c r="B2178" s="30" t="s">
        <v>4392</v>
      </c>
      <c r="C2178" s="30" t="s">
        <v>4393</v>
      </c>
      <c r="D2178" s="32">
        <v>12748</v>
      </c>
      <c r="E2178" s="30" t="s">
        <v>15</v>
      </c>
      <c r="F2178" s="30" t="s">
        <v>5544</v>
      </c>
      <c r="G2178" s="30" t="s">
        <v>35</v>
      </c>
      <c r="H2178" s="30" t="s">
        <v>45</v>
      </c>
      <c r="I2178" s="31" t="s">
        <v>29</v>
      </c>
    </row>
    <row r="2179" spans="2:9" s="6" customFormat="1" ht="11.25" customHeight="1" x14ac:dyDescent="0.55000000000000004">
      <c r="B2179" s="30" t="s">
        <v>4394</v>
      </c>
      <c r="C2179" s="30" t="s">
        <v>4395</v>
      </c>
      <c r="D2179" s="32">
        <v>60227</v>
      </c>
      <c r="E2179" s="30" t="s">
        <v>20</v>
      </c>
      <c r="F2179" s="30" t="s">
        <v>5544</v>
      </c>
      <c r="G2179" s="30" t="s">
        <v>265</v>
      </c>
      <c r="H2179" s="30" t="s">
        <v>45</v>
      </c>
      <c r="I2179" s="31">
        <v>315194.04300000001</v>
      </c>
    </row>
    <row r="2180" spans="2:9" s="6" customFormat="1" ht="11.25" customHeight="1" x14ac:dyDescent="0.55000000000000004">
      <c r="B2180" s="30" t="s">
        <v>4396</v>
      </c>
      <c r="C2180" s="30" t="s">
        <v>4397</v>
      </c>
      <c r="D2180" s="32">
        <v>61158</v>
      </c>
      <c r="E2180" s="30" t="s">
        <v>20</v>
      </c>
      <c r="F2180" s="30" t="s">
        <v>3942</v>
      </c>
      <c r="G2180" s="30" t="s">
        <v>39</v>
      </c>
      <c r="H2180" s="30" t="s">
        <v>130</v>
      </c>
      <c r="I2180" s="31" t="s">
        <v>29</v>
      </c>
    </row>
    <row r="2181" spans="2:9" s="6" customFormat="1" ht="11.25" customHeight="1" x14ac:dyDescent="0.55000000000000004">
      <c r="B2181" s="30" t="s">
        <v>3942</v>
      </c>
      <c r="C2181" s="30" t="s">
        <v>4398</v>
      </c>
      <c r="D2181" s="32" t="s">
        <v>29</v>
      </c>
      <c r="E2181" s="30" t="s">
        <v>20</v>
      </c>
      <c r="F2181" s="30" t="s">
        <v>3942</v>
      </c>
      <c r="G2181" s="30" t="s">
        <v>194</v>
      </c>
      <c r="H2181" s="30" t="s">
        <v>130</v>
      </c>
      <c r="I2181" s="31" t="s">
        <v>29</v>
      </c>
    </row>
    <row r="2182" spans="2:9" s="6" customFormat="1" ht="11.25" customHeight="1" x14ac:dyDescent="0.55000000000000004">
      <c r="B2182" s="30" t="s">
        <v>4399</v>
      </c>
      <c r="C2182" s="30" t="s">
        <v>4400</v>
      </c>
      <c r="D2182" s="32">
        <v>73814</v>
      </c>
      <c r="E2182" s="30" t="s">
        <v>20</v>
      </c>
      <c r="F2182" s="30" t="s">
        <v>3942</v>
      </c>
      <c r="G2182" s="30" t="s">
        <v>194</v>
      </c>
      <c r="H2182" s="30" t="s">
        <v>130</v>
      </c>
      <c r="I2182" s="31" t="s">
        <v>29</v>
      </c>
    </row>
    <row r="2183" spans="2:9" s="6" customFormat="1" ht="11.25" customHeight="1" x14ac:dyDescent="0.55000000000000004">
      <c r="B2183" s="30" t="s">
        <v>4401</v>
      </c>
      <c r="C2183" s="30" t="s">
        <v>4402</v>
      </c>
      <c r="D2183" s="32">
        <v>69213</v>
      </c>
      <c r="E2183" s="30" t="s">
        <v>15</v>
      </c>
      <c r="F2183" s="30"/>
      <c r="G2183" s="30"/>
      <c r="H2183" s="30" t="s">
        <v>686</v>
      </c>
      <c r="I2183" s="31" t="s">
        <v>29</v>
      </c>
    </row>
    <row r="2184" spans="2:9" s="6" customFormat="1" ht="11.25" customHeight="1" x14ac:dyDescent="0.55000000000000004">
      <c r="B2184" s="30" t="s">
        <v>4403</v>
      </c>
      <c r="C2184" s="30" t="s">
        <v>4404</v>
      </c>
      <c r="D2184" s="32">
        <v>69507</v>
      </c>
      <c r="E2184" s="30" t="s">
        <v>15</v>
      </c>
      <c r="F2184" s="30" t="s">
        <v>62</v>
      </c>
      <c r="G2184" s="30"/>
      <c r="H2184" s="30" t="s">
        <v>239</v>
      </c>
      <c r="I2184" s="31" t="s">
        <v>29</v>
      </c>
    </row>
    <row r="2185" spans="2:9" s="6" customFormat="1" ht="11.25" customHeight="1" x14ac:dyDescent="0.55000000000000004">
      <c r="B2185" s="30" t="s">
        <v>4405</v>
      </c>
      <c r="C2185" s="30" t="s">
        <v>4406</v>
      </c>
      <c r="D2185" s="32">
        <v>69507</v>
      </c>
      <c r="E2185" s="30" t="s">
        <v>15</v>
      </c>
      <c r="F2185" s="30"/>
      <c r="G2185" s="30"/>
      <c r="H2185" s="30" t="s">
        <v>239</v>
      </c>
      <c r="I2185" s="31" t="s">
        <v>29</v>
      </c>
    </row>
    <row r="2186" spans="2:9" s="6" customFormat="1" ht="11.25" customHeight="1" x14ac:dyDescent="0.55000000000000004">
      <c r="B2186" s="30" t="s">
        <v>4407</v>
      </c>
      <c r="C2186" s="30" t="s">
        <v>4408</v>
      </c>
      <c r="D2186" s="32">
        <v>82848</v>
      </c>
      <c r="E2186" s="30" t="s">
        <v>15</v>
      </c>
      <c r="F2186" s="30" t="s">
        <v>62</v>
      </c>
      <c r="G2186" s="30" t="s">
        <v>16</v>
      </c>
      <c r="H2186" s="30" t="s">
        <v>124</v>
      </c>
      <c r="I2186" s="31" t="s">
        <v>29</v>
      </c>
    </row>
    <row r="2187" spans="2:9" s="6" customFormat="1" ht="11.25" customHeight="1" x14ac:dyDescent="0.55000000000000004">
      <c r="B2187" s="30" t="s">
        <v>4409</v>
      </c>
      <c r="C2187" s="30" t="s">
        <v>4410</v>
      </c>
      <c r="D2187" s="32">
        <v>82848</v>
      </c>
      <c r="E2187" s="30" t="s">
        <v>15</v>
      </c>
      <c r="F2187" s="30"/>
      <c r="G2187" s="30"/>
      <c r="H2187" s="30" t="s">
        <v>124</v>
      </c>
      <c r="I2187" s="31" t="s">
        <v>29</v>
      </c>
    </row>
    <row r="2188" spans="2:9" s="6" customFormat="1" ht="11.25" customHeight="1" x14ac:dyDescent="0.55000000000000004">
      <c r="B2188" s="30" t="s">
        <v>4411</v>
      </c>
      <c r="C2188" s="30" t="s">
        <v>4412</v>
      </c>
      <c r="D2188" s="32">
        <v>82848</v>
      </c>
      <c r="E2188" s="30" t="s">
        <v>15</v>
      </c>
      <c r="F2188" s="30"/>
      <c r="G2188" s="30"/>
      <c r="H2188" s="30" t="s">
        <v>124</v>
      </c>
      <c r="I2188" s="31" t="s">
        <v>29</v>
      </c>
    </row>
    <row r="2189" spans="2:9" s="6" customFormat="1" ht="11.25" customHeight="1" x14ac:dyDescent="0.55000000000000004">
      <c r="B2189" s="30" t="s">
        <v>4413</v>
      </c>
      <c r="C2189" s="30" t="s">
        <v>4414</v>
      </c>
      <c r="D2189" s="32">
        <v>82848</v>
      </c>
      <c r="E2189" s="30" t="s">
        <v>15</v>
      </c>
      <c r="F2189" s="30"/>
      <c r="G2189" s="30"/>
      <c r="H2189" s="30" t="s">
        <v>124</v>
      </c>
      <c r="I2189" s="31" t="s">
        <v>29</v>
      </c>
    </row>
    <row r="2190" spans="2:9" s="6" customFormat="1" ht="11.25" customHeight="1" x14ac:dyDescent="0.55000000000000004">
      <c r="B2190" s="30" t="s">
        <v>4415</v>
      </c>
      <c r="C2190" s="30" t="s">
        <v>4416</v>
      </c>
      <c r="D2190" s="32">
        <v>66281</v>
      </c>
      <c r="E2190" s="30" t="s">
        <v>20</v>
      </c>
      <c r="F2190" s="30" t="s">
        <v>62</v>
      </c>
      <c r="G2190" s="30" t="s">
        <v>35</v>
      </c>
      <c r="H2190" s="30" t="s">
        <v>63</v>
      </c>
      <c r="I2190" s="31">
        <v>52514951.858999997</v>
      </c>
    </row>
    <row r="2191" spans="2:9" s="6" customFormat="1" ht="11.25" customHeight="1" x14ac:dyDescent="0.55000000000000004">
      <c r="B2191" s="30" t="s">
        <v>4417</v>
      </c>
      <c r="C2191" s="30" t="s">
        <v>4418</v>
      </c>
      <c r="D2191" s="32">
        <v>66281</v>
      </c>
      <c r="E2191" s="30" t="s">
        <v>20</v>
      </c>
      <c r="F2191" s="30"/>
      <c r="G2191" s="30"/>
      <c r="H2191" s="30" t="s">
        <v>63</v>
      </c>
      <c r="I2191" s="31" t="s">
        <v>29</v>
      </c>
    </row>
    <row r="2192" spans="2:9" s="6" customFormat="1" ht="11.25" customHeight="1" x14ac:dyDescent="0.55000000000000004">
      <c r="B2192" s="30" t="s">
        <v>4419</v>
      </c>
      <c r="C2192" s="30" t="s">
        <v>4420</v>
      </c>
      <c r="D2192" s="32">
        <v>66281</v>
      </c>
      <c r="E2192" s="30" t="s">
        <v>20</v>
      </c>
      <c r="F2192" s="30"/>
      <c r="G2192" s="30"/>
      <c r="H2192" s="30" t="s">
        <v>63</v>
      </c>
      <c r="I2192" s="31" t="s">
        <v>29</v>
      </c>
    </row>
    <row r="2193" spans="2:9" s="6" customFormat="1" ht="11.25" customHeight="1" x14ac:dyDescent="0.55000000000000004">
      <c r="B2193" s="30" t="s">
        <v>4421</v>
      </c>
      <c r="C2193" s="30" t="s">
        <v>4422</v>
      </c>
      <c r="D2193" s="32" t="s">
        <v>29</v>
      </c>
      <c r="E2193" s="30" t="s">
        <v>20</v>
      </c>
      <c r="F2193" s="30" t="s">
        <v>4421</v>
      </c>
      <c r="G2193" s="30" t="s">
        <v>129</v>
      </c>
      <c r="H2193" s="30" t="s">
        <v>22</v>
      </c>
      <c r="I2193" s="31">
        <v>1940963.923</v>
      </c>
    </row>
    <row r="2194" spans="2:9" s="6" customFormat="1" ht="11.25" customHeight="1" x14ac:dyDescent="0.55000000000000004">
      <c r="B2194" s="30" t="s">
        <v>4423</v>
      </c>
      <c r="C2194" s="30" t="s">
        <v>4424</v>
      </c>
      <c r="D2194" s="32">
        <v>61425</v>
      </c>
      <c r="E2194" s="30" t="s">
        <v>20</v>
      </c>
      <c r="F2194" s="30" t="s">
        <v>4421</v>
      </c>
      <c r="G2194" s="30" t="s">
        <v>129</v>
      </c>
      <c r="H2194" s="30" t="s">
        <v>22</v>
      </c>
      <c r="I2194" s="31">
        <v>1654084.7110000001</v>
      </c>
    </row>
    <row r="2195" spans="2:9" s="6" customFormat="1" ht="11.25" customHeight="1" x14ac:dyDescent="0.55000000000000004">
      <c r="B2195" s="30" t="s">
        <v>4425</v>
      </c>
      <c r="C2195" s="30" t="s">
        <v>4426</v>
      </c>
      <c r="D2195" s="32">
        <v>13653</v>
      </c>
      <c r="E2195" s="30" t="s">
        <v>20</v>
      </c>
      <c r="F2195" s="30" t="s">
        <v>4421</v>
      </c>
      <c r="G2195" s="30" t="s">
        <v>35</v>
      </c>
      <c r="H2195" s="30" t="s">
        <v>22</v>
      </c>
      <c r="I2195" s="31">
        <v>10197.394</v>
      </c>
    </row>
    <row r="2196" spans="2:9" s="6" customFormat="1" ht="11.25" customHeight="1" x14ac:dyDescent="0.55000000000000004">
      <c r="B2196" s="30" t="s">
        <v>4427</v>
      </c>
      <c r="C2196" s="30" t="s">
        <v>4428</v>
      </c>
      <c r="D2196" s="32">
        <v>62863</v>
      </c>
      <c r="E2196" s="30" t="s">
        <v>20</v>
      </c>
      <c r="F2196" s="30" t="s">
        <v>4421</v>
      </c>
      <c r="G2196" s="30" t="s">
        <v>21</v>
      </c>
      <c r="H2196" s="30" t="s">
        <v>22</v>
      </c>
      <c r="I2196" s="31">
        <v>276681.81800000003</v>
      </c>
    </row>
    <row r="2197" spans="2:9" s="6" customFormat="1" ht="11.25" customHeight="1" x14ac:dyDescent="0.55000000000000004">
      <c r="B2197" s="30" t="s">
        <v>4429</v>
      </c>
      <c r="C2197" s="30" t="s">
        <v>4430</v>
      </c>
      <c r="D2197" s="32">
        <v>80306</v>
      </c>
      <c r="E2197" s="30" t="s">
        <v>15</v>
      </c>
      <c r="F2197" s="30"/>
      <c r="G2197" s="30"/>
      <c r="H2197" s="30" t="s">
        <v>75</v>
      </c>
      <c r="I2197" s="31" t="s">
        <v>29</v>
      </c>
    </row>
    <row r="2198" spans="2:9" s="6" customFormat="1" ht="11.25" customHeight="1" x14ac:dyDescent="0.55000000000000004">
      <c r="B2198" s="30" t="s">
        <v>4431</v>
      </c>
      <c r="C2198" s="30" t="s">
        <v>4432</v>
      </c>
      <c r="D2198" s="32">
        <v>80209</v>
      </c>
      <c r="E2198" s="30" t="s">
        <v>15</v>
      </c>
      <c r="F2198" s="30"/>
      <c r="G2198" s="30" t="s">
        <v>80</v>
      </c>
      <c r="H2198" s="30" t="s">
        <v>113</v>
      </c>
      <c r="I2198" s="31" t="s">
        <v>29</v>
      </c>
    </row>
    <row r="2199" spans="2:9" s="6" customFormat="1" ht="11.25" customHeight="1" x14ac:dyDescent="0.55000000000000004">
      <c r="B2199" s="30" t="s">
        <v>4433</v>
      </c>
      <c r="C2199" s="30" t="s">
        <v>4434</v>
      </c>
      <c r="D2199" s="32">
        <v>89060</v>
      </c>
      <c r="E2199" s="30" t="s">
        <v>15</v>
      </c>
      <c r="F2199" s="30"/>
      <c r="G2199" s="30"/>
      <c r="H2199" s="30" t="s">
        <v>105</v>
      </c>
      <c r="I2199" s="31" t="s">
        <v>29</v>
      </c>
    </row>
    <row r="2200" spans="2:9" s="6" customFormat="1" ht="11.25" customHeight="1" x14ac:dyDescent="0.55000000000000004">
      <c r="B2200" s="30" t="s">
        <v>4435</v>
      </c>
      <c r="C2200" s="30" t="s">
        <v>4436</v>
      </c>
      <c r="D2200" s="32">
        <v>81914</v>
      </c>
      <c r="E2200" s="30" t="s">
        <v>15</v>
      </c>
      <c r="F2200" s="30" t="s">
        <v>2171</v>
      </c>
      <c r="G2200" s="30"/>
      <c r="H2200" s="30" t="s">
        <v>146</v>
      </c>
      <c r="I2200" s="31" t="s">
        <v>29</v>
      </c>
    </row>
    <row r="2201" spans="2:9" s="6" customFormat="1" ht="11.25" customHeight="1" x14ac:dyDescent="0.55000000000000004">
      <c r="B2201" s="30" t="s">
        <v>4437</v>
      </c>
      <c r="C2201" s="30" t="s">
        <v>4438</v>
      </c>
      <c r="D2201" s="32">
        <v>84530</v>
      </c>
      <c r="E2201" s="30" t="s">
        <v>20</v>
      </c>
      <c r="F2201" s="30" t="s">
        <v>683</v>
      </c>
      <c r="G2201" s="30" t="s">
        <v>35</v>
      </c>
      <c r="H2201" s="30" t="s">
        <v>385</v>
      </c>
      <c r="I2201" s="31">
        <v>529305.93799999997</v>
      </c>
    </row>
    <row r="2202" spans="2:9" s="6" customFormat="1" ht="11.25" customHeight="1" x14ac:dyDescent="0.55000000000000004">
      <c r="B2202" s="30" t="s">
        <v>4439</v>
      </c>
      <c r="C2202" s="30" t="s">
        <v>4440</v>
      </c>
      <c r="D2202" s="32">
        <v>70106</v>
      </c>
      <c r="E2202" s="30" t="s">
        <v>20</v>
      </c>
      <c r="F2202" s="30" t="s">
        <v>116</v>
      </c>
      <c r="G2202" s="30" t="s">
        <v>155</v>
      </c>
      <c r="H2202" s="30" t="s">
        <v>113</v>
      </c>
      <c r="I2202" s="31">
        <v>29539983.628000002</v>
      </c>
    </row>
    <row r="2203" spans="2:9" s="6" customFormat="1" ht="11.25" customHeight="1" x14ac:dyDescent="0.55000000000000004">
      <c r="B2203" s="30" t="s">
        <v>4441</v>
      </c>
      <c r="C2203" s="30" t="s">
        <v>4442</v>
      </c>
      <c r="D2203" s="32">
        <v>70106</v>
      </c>
      <c r="E2203" s="30" t="s">
        <v>20</v>
      </c>
      <c r="F2203" s="30"/>
      <c r="G2203" s="30"/>
      <c r="H2203" s="30" t="s">
        <v>113</v>
      </c>
      <c r="I2203" s="31" t="s">
        <v>29</v>
      </c>
    </row>
    <row r="2204" spans="2:9" s="6" customFormat="1" ht="11.25" customHeight="1" x14ac:dyDescent="0.55000000000000004">
      <c r="B2204" s="30" t="s">
        <v>4443</v>
      </c>
      <c r="C2204" s="30" t="s">
        <v>4444</v>
      </c>
      <c r="D2204" s="32">
        <v>70106</v>
      </c>
      <c r="E2204" s="30" t="s">
        <v>20</v>
      </c>
      <c r="F2204" s="30"/>
      <c r="G2204" s="30"/>
      <c r="H2204" s="30" t="s">
        <v>113</v>
      </c>
      <c r="I2204" s="31" t="s">
        <v>29</v>
      </c>
    </row>
    <row r="2205" spans="2:9" s="6" customFormat="1" ht="11.25" customHeight="1" x14ac:dyDescent="0.55000000000000004">
      <c r="B2205" s="30" t="s">
        <v>4445</v>
      </c>
      <c r="C2205" s="30" t="s">
        <v>4446</v>
      </c>
      <c r="D2205" s="32">
        <v>67423</v>
      </c>
      <c r="E2205" s="30" t="s">
        <v>20</v>
      </c>
      <c r="F2205" s="30"/>
      <c r="G2205" s="30" t="s">
        <v>155</v>
      </c>
      <c r="H2205" s="30" t="s">
        <v>75</v>
      </c>
      <c r="I2205" s="31">
        <v>43638.830999999998</v>
      </c>
    </row>
    <row r="2206" spans="2:9" s="6" customFormat="1" ht="11.25" customHeight="1" x14ac:dyDescent="0.55000000000000004">
      <c r="B2206" s="30" t="s">
        <v>4447</v>
      </c>
      <c r="C2206" s="30" t="s">
        <v>4448</v>
      </c>
      <c r="D2206" s="32">
        <v>67423</v>
      </c>
      <c r="E2206" s="30" t="s">
        <v>20</v>
      </c>
      <c r="F2206" s="30"/>
      <c r="G2206" s="30"/>
      <c r="H2206" s="30" t="s">
        <v>75</v>
      </c>
      <c r="I2206" s="31" t="s">
        <v>29</v>
      </c>
    </row>
    <row r="2207" spans="2:9" s="6" customFormat="1" ht="11.25" customHeight="1" x14ac:dyDescent="0.55000000000000004">
      <c r="B2207" s="30" t="s">
        <v>4449</v>
      </c>
      <c r="C2207" s="30" t="s">
        <v>4450</v>
      </c>
      <c r="D2207" s="32">
        <v>67423</v>
      </c>
      <c r="E2207" s="30" t="s">
        <v>20</v>
      </c>
      <c r="F2207" s="30"/>
      <c r="G2207" s="30"/>
      <c r="H2207" s="30" t="s">
        <v>75</v>
      </c>
      <c r="I2207" s="31" t="s">
        <v>29</v>
      </c>
    </row>
    <row r="2208" spans="2:9" s="6" customFormat="1" ht="11.25" customHeight="1" x14ac:dyDescent="0.55000000000000004">
      <c r="B2208" s="30" t="s">
        <v>4451</v>
      </c>
      <c r="C2208" s="30" t="s">
        <v>4452</v>
      </c>
      <c r="D2208" s="32">
        <v>71757</v>
      </c>
      <c r="E2208" s="30" t="s">
        <v>15</v>
      </c>
      <c r="F2208" s="30"/>
      <c r="G2208" s="30"/>
      <c r="H2208" s="30" t="s">
        <v>63</v>
      </c>
      <c r="I2208" s="31" t="s">
        <v>29</v>
      </c>
    </row>
    <row r="2209" spans="2:9" s="6" customFormat="1" ht="11.25" customHeight="1" x14ac:dyDescent="0.55000000000000004">
      <c r="B2209" s="30" t="s">
        <v>4453</v>
      </c>
      <c r="C2209" s="30" t="s">
        <v>4454</v>
      </c>
      <c r="D2209" s="32">
        <v>80314</v>
      </c>
      <c r="E2209" s="30" t="s">
        <v>20</v>
      </c>
      <c r="F2209" s="30" t="s">
        <v>568</v>
      </c>
      <c r="G2209" s="30" t="s">
        <v>21</v>
      </c>
      <c r="H2209" s="30" t="s">
        <v>22</v>
      </c>
      <c r="I2209" s="31">
        <v>894834.91300000006</v>
      </c>
    </row>
    <row r="2210" spans="2:9" s="6" customFormat="1" ht="11.25" customHeight="1" x14ac:dyDescent="0.55000000000000004">
      <c r="B2210" s="30" t="s">
        <v>4455</v>
      </c>
      <c r="C2210" s="30" t="s">
        <v>4456</v>
      </c>
      <c r="D2210" s="32">
        <v>11121</v>
      </c>
      <c r="E2210" s="30" t="s">
        <v>20</v>
      </c>
      <c r="F2210" s="30"/>
      <c r="G2210" s="30" t="s">
        <v>21</v>
      </c>
      <c r="H2210" s="30" t="s">
        <v>86</v>
      </c>
      <c r="I2210" s="31">
        <v>222178.68799999999</v>
      </c>
    </row>
    <row r="2211" spans="2:9" s="6" customFormat="1" ht="11.25" customHeight="1" x14ac:dyDescent="0.55000000000000004">
      <c r="B2211" s="30" t="s">
        <v>4457</v>
      </c>
      <c r="C2211" s="30" t="s">
        <v>4458</v>
      </c>
      <c r="D2211" s="32">
        <v>62448</v>
      </c>
      <c r="E2211" s="30" t="s">
        <v>15</v>
      </c>
      <c r="F2211" s="30" t="s">
        <v>2114</v>
      </c>
      <c r="G2211" s="30"/>
      <c r="H2211" s="30" t="s">
        <v>108</v>
      </c>
      <c r="I2211" s="31" t="s">
        <v>29</v>
      </c>
    </row>
    <row r="2212" spans="2:9" s="6" customFormat="1" ht="11.25" customHeight="1" x14ac:dyDescent="0.55000000000000004">
      <c r="B2212" s="30" t="s">
        <v>4459</v>
      </c>
      <c r="C2212" s="30" t="s">
        <v>4460</v>
      </c>
      <c r="D2212" s="32">
        <v>91529</v>
      </c>
      <c r="E2212" s="30" t="s">
        <v>20</v>
      </c>
      <c r="F2212" s="30" t="s">
        <v>149</v>
      </c>
      <c r="G2212" s="30" t="s">
        <v>21</v>
      </c>
      <c r="H2212" s="30" t="s">
        <v>156</v>
      </c>
      <c r="I2212" s="31">
        <v>396027.19800000003</v>
      </c>
    </row>
    <row r="2213" spans="2:9" s="6" customFormat="1" ht="11.25" customHeight="1" x14ac:dyDescent="0.55000000000000004">
      <c r="B2213" s="30" t="s">
        <v>4461</v>
      </c>
      <c r="C2213" s="30" t="s">
        <v>4462</v>
      </c>
      <c r="D2213" s="32">
        <v>11596</v>
      </c>
      <c r="E2213" s="30" t="s">
        <v>20</v>
      </c>
      <c r="F2213" s="30" t="s">
        <v>149</v>
      </c>
      <c r="G2213" s="30" t="s">
        <v>129</v>
      </c>
      <c r="H2213" s="30" t="s">
        <v>124</v>
      </c>
      <c r="I2213" s="31">
        <v>36417.095000000001</v>
      </c>
    </row>
    <row r="2214" spans="2:9" s="6" customFormat="1" ht="11.25" customHeight="1" x14ac:dyDescent="0.55000000000000004">
      <c r="B2214" s="30" t="s">
        <v>4463</v>
      </c>
      <c r="C2214" s="30" t="s">
        <v>4464</v>
      </c>
      <c r="D2214" s="32">
        <v>69701</v>
      </c>
      <c r="E2214" s="30" t="s">
        <v>15</v>
      </c>
      <c r="F2214" s="30" t="s">
        <v>481</v>
      </c>
      <c r="G2214" s="30" t="s">
        <v>39</v>
      </c>
      <c r="H2214" s="30" t="s">
        <v>262</v>
      </c>
      <c r="I2214" s="31" t="s">
        <v>29</v>
      </c>
    </row>
    <row r="2215" spans="2:9" s="6" customFormat="1" ht="11.25" customHeight="1" x14ac:dyDescent="0.55000000000000004">
      <c r="B2215" s="30" t="s">
        <v>4465</v>
      </c>
      <c r="C2215" s="30" t="s">
        <v>4466</v>
      </c>
      <c r="D2215" s="32">
        <v>80837</v>
      </c>
      <c r="E2215" s="30" t="s">
        <v>15</v>
      </c>
      <c r="F2215" s="30" t="s">
        <v>51</v>
      </c>
      <c r="G2215" s="30" t="s">
        <v>194</v>
      </c>
      <c r="H2215" s="30" t="s">
        <v>313</v>
      </c>
      <c r="I2215" s="31" t="s">
        <v>29</v>
      </c>
    </row>
    <row r="2216" spans="2:9" s="6" customFormat="1" ht="11.25" customHeight="1" x14ac:dyDescent="0.55000000000000004">
      <c r="B2216" s="30" t="s">
        <v>4467</v>
      </c>
      <c r="C2216" s="30" t="s">
        <v>4468</v>
      </c>
      <c r="D2216" s="32">
        <v>80837</v>
      </c>
      <c r="E2216" s="30" t="s">
        <v>15</v>
      </c>
      <c r="F2216" s="30"/>
      <c r="G2216" s="30"/>
      <c r="H2216" s="30" t="s">
        <v>313</v>
      </c>
      <c r="I2216" s="31" t="s">
        <v>29</v>
      </c>
    </row>
    <row r="2217" spans="2:9" s="6" customFormat="1" ht="11.25" customHeight="1" x14ac:dyDescent="0.55000000000000004">
      <c r="B2217" s="30" t="s">
        <v>4469</v>
      </c>
      <c r="C2217" s="30" t="s">
        <v>4470</v>
      </c>
      <c r="D2217" s="32">
        <v>80837</v>
      </c>
      <c r="E2217" s="30" t="s">
        <v>15</v>
      </c>
      <c r="F2217" s="30"/>
      <c r="G2217" s="30"/>
      <c r="H2217" s="30" t="s">
        <v>313</v>
      </c>
      <c r="I2217" s="31" t="s">
        <v>29</v>
      </c>
    </row>
    <row r="2218" spans="2:9" s="6" customFormat="1" ht="11.25" customHeight="1" x14ac:dyDescent="0.55000000000000004">
      <c r="B2218" s="30" t="s">
        <v>4471</v>
      </c>
      <c r="C2218" s="30" t="s">
        <v>4472</v>
      </c>
      <c r="D2218" s="32">
        <v>62596</v>
      </c>
      <c r="E2218" s="30" t="s">
        <v>20</v>
      </c>
      <c r="F2218" s="30" t="s">
        <v>1424</v>
      </c>
      <c r="G2218" s="30" t="s">
        <v>39</v>
      </c>
      <c r="H2218" s="30" t="s">
        <v>86</v>
      </c>
      <c r="I2218" s="31">
        <v>20382772.969999999</v>
      </c>
    </row>
    <row r="2219" spans="2:9" s="6" customFormat="1" ht="11.25" customHeight="1" x14ac:dyDescent="0.55000000000000004">
      <c r="B2219" s="30" t="s">
        <v>4473</v>
      </c>
      <c r="C2219" s="30" t="s">
        <v>4474</v>
      </c>
      <c r="D2219" s="32">
        <v>69744</v>
      </c>
      <c r="E2219" s="30" t="s">
        <v>20</v>
      </c>
      <c r="F2219" s="30"/>
      <c r="G2219" s="30" t="s">
        <v>21</v>
      </c>
      <c r="H2219" s="30" t="s">
        <v>52</v>
      </c>
      <c r="I2219" s="31">
        <v>4284759.9340000004</v>
      </c>
    </row>
    <row r="2220" spans="2:9" s="6" customFormat="1" ht="11.25" customHeight="1" x14ac:dyDescent="0.55000000000000004">
      <c r="B2220" s="30" t="s">
        <v>4475</v>
      </c>
      <c r="C2220" s="30" t="s">
        <v>4476</v>
      </c>
      <c r="D2220" s="32">
        <v>69744</v>
      </c>
      <c r="E2220" s="30" t="s">
        <v>20</v>
      </c>
      <c r="F2220" s="30"/>
      <c r="G2220" s="30"/>
      <c r="H2220" s="30" t="s">
        <v>52</v>
      </c>
      <c r="I2220" s="31" t="s">
        <v>29</v>
      </c>
    </row>
    <row r="2221" spans="2:9" s="6" customFormat="1" ht="11.25" customHeight="1" x14ac:dyDescent="0.55000000000000004">
      <c r="B2221" s="30" t="s">
        <v>4477</v>
      </c>
      <c r="C2221" s="30" t="s">
        <v>4478</v>
      </c>
      <c r="D2221" s="32">
        <v>69744</v>
      </c>
      <c r="E2221" s="30" t="s">
        <v>20</v>
      </c>
      <c r="F2221" s="30"/>
      <c r="G2221" s="30"/>
      <c r="H2221" s="30" t="s">
        <v>52</v>
      </c>
      <c r="I2221" s="31" t="s">
        <v>29</v>
      </c>
    </row>
    <row r="2222" spans="2:9" s="6" customFormat="1" ht="11.25" customHeight="1" x14ac:dyDescent="0.55000000000000004">
      <c r="B2222" s="30" t="s">
        <v>4479</v>
      </c>
      <c r="C2222" s="30" t="s">
        <v>4480</v>
      </c>
      <c r="D2222" s="32">
        <v>83909</v>
      </c>
      <c r="E2222" s="30" t="s">
        <v>15</v>
      </c>
      <c r="F2222" s="30"/>
      <c r="G2222" s="30" t="s">
        <v>16</v>
      </c>
      <c r="H2222" s="30" t="s">
        <v>313</v>
      </c>
      <c r="I2222" s="31" t="s">
        <v>29</v>
      </c>
    </row>
    <row r="2223" spans="2:9" s="6" customFormat="1" ht="11.25" customHeight="1" x14ac:dyDescent="0.55000000000000004">
      <c r="B2223" s="30" t="s">
        <v>4481</v>
      </c>
      <c r="C2223" s="30" t="s">
        <v>4482</v>
      </c>
      <c r="D2223" s="32">
        <v>69779</v>
      </c>
      <c r="E2223" s="30" t="s">
        <v>20</v>
      </c>
      <c r="F2223" s="30" t="s">
        <v>2371</v>
      </c>
      <c r="G2223" s="30" t="s">
        <v>16</v>
      </c>
      <c r="H2223" s="30" t="s">
        <v>500</v>
      </c>
      <c r="I2223" s="31">
        <v>19667.559000000001</v>
      </c>
    </row>
    <row r="2224" spans="2:9" s="6" customFormat="1" ht="11.25" customHeight="1" x14ac:dyDescent="0.55000000000000004">
      <c r="B2224" s="30" t="s">
        <v>4483</v>
      </c>
      <c r="C2224" s="30" t="s">
        <v>4484</v>
      </c>
      <c r="D2224" s="32">
        <v>81477</v>
      </c>
      <c r="E2224" s="30" t="s">
        <v>20</v>
      </c>
      <c r="F2224" s="30" t="s">
        <v>307</v>
      </c>
      <c r="G2224" s="30" t="s">
        <v>21</v>
      </c>
      <c r="H2224" s="30" t="s">
        <v>124</v>
      </c>
      <c r="I2224" s="31">
        <v>56587.503000000004</v>
      </c>
    </row>
    <row r="2225" spans="2:9" s="6" customFormat="1" ht="11.25" customHeight="1" x14ac:dyDescent="0.55000000000000004">
      <c r="B2225" s="30" t="s">
        <v>4485</v>
      </c>
      <c r="C2225" s="30" t="s">
        <v>4486</v>
      </c>
      <c r="D2225" s="32">
        <v>81477</v>
      </c>
      <c r="E2225" s="30" t="s">
        <v>20</v>
      </c>
      <c r="F2225" s="30"/>
      <c r="G2225" s="30"/>
      <c r="H2225" s="30" t="s">
        <v>124</v>
      </c>
      <c r="I2225" s="31" t="s">
        <v>29</v>
      </c>
    </row>
    <row r="2226" spans="2:9" s="6" customFormat="1" ht="11.25" customHeight="1" x14ac:dyDescent="0.55000000000000004">
      <c r="B2226" s="30" t="s">
        <v>4487</v>
      </c>
      <c r="C2226" s="30" t="s">
        <v>4488</v>
      </c>
      <c r="D2226" s="32">
        <v>81477</v>
      </c>
      <c r="E2226" s="30" t="s">
        <v>20</v>
      </c>
      <c r="F2226" s="30"/>
      <c r="G2226" s="30"/>
      <c r="H2226" s="30" t="s">
        <v>124</v>
      </c>
      <c r="I2226" s="31" t="s">
        <v>29</v>
      </c>
    </row>
    <row r="2227" spans="2:9" s="6" customFormat="1" ht="11.25" customHeight="1" x14ac:dyDescent="0.55000000000000004">
      <c r="B2227" s="30" t="s">
        <v>4489</v>
      </c>
      <c r="C2227" s="30" t="s">
        <v>4490</v>
      </c>
      <c r="D2227" s="32">
        <v>81477</v>
      </c>
      <c r="E2227" s="30" t="s">
        <v>20</v>
      </c>
      <c r="F2227" s="30"/>
      <c r="G2227" s="30"/>
      <c r="H2227" s="30" t="s">
        <v>124</v>
      </c>
      <c r="I2227" s="31" t="s">
        <v>29</v>
      </c>
    </row>
    <row r="2228" spans="2:9" s="6" customFormat="1" ht="11.25" customHeight="1" x14ac:dyDescent="0.55000000000000004">
      <c r="B2228" s="30" t="s">
        <v>4491</v>
      </c>
      <c r="C2228" s="30" t="s">
        <v>4492</v>
      </c>
      <c r="D2228" s="32">
        <v>70408</v>
      </c>
      <c r="E2228" s="30" t="s">
        <v>20</v>
      </c>
      <c r="F2228" s="30" t="s">
        <v>307</v>
      </c>
      <c r="G2228" s="30" t="s">
        <v>35</v>
      </c>
      <c r="H2228" s="30" t="s">
        <v>156</v>
      </c>
      <c r="I2228" s="31">
        <v>2608475.6800000002</v>
      </c>
    </row>
    <row r="2229" spans="2:9" s="6" customFormat="1" ht="11.25" customHeight="1" x14ac:dyDescent="0.55000000000000004">
      <c r="B2229" s="30" t="s">
        <v>4493</v>
      </c>
      <c r="C2229" s="30" t="s">
        <v>4494</v>
      </c>
      <c r="D2229" s="32">
        <v>70408</v>
      </c>
      <c r="E2229" s="30" t="s">
        <v>20</v>
      </c>
      <c r="F2229" s="30"/>
      <c r="G2229" s="30"/>
      <c r="H2229" s="30" t="s">
        <v>156</v>
      </c>
      <c r="I2229" s="31" t="s">
        <v>29</v>
      </c>
    </row>
    <row r="2230" spans="2:9" s="6" customFormat="1" ht="11.25" customHeight="1" x14ac:dyDescent="0.55000000000000004">
      <c r="B2230" s="30" t="s">
        <v>4495</v>
      </c>
      <c r="C2230" s="30" t="s">
        <v>4496</v>
      </c>
      <c r="D2230" s="32">
        <v>70408</v>
      </c>
      <c r="E2230" s="30" t="s">
        <v>20</v>
      </c>
      <c r="F2230" s="30"/>
      <c r="G2230" s="30"/>
      <c r="H2230" s="30" t="s">
        <v>156</v>
      </c>
      <c r="I2230" s="31" t="s">
        <v>29</v>
      </c>
    </row>
    <row r="2231" spans="2:9" s="6" customFormat="1" ht="11.25" customHeight="1" x14ac:dyDescent="0.55000000000000004">
      <c r="B2231" s="30" t="s">
        <v>4497</v>
      </c>
      <c r="C2231" s="30" t="s">
        <v>4498</v>
      </c>
      <c r="D2231" s="32">
        <v>70408</v>
      </c>
      <c r="E2231" s="30" t="s">
        <v>20</v>
      </c>
      <c r="F2231" s="30"/>
      <c r="G2231" s="30"/>
      <c r="H2231" s="30" t="s">
        <v>156</v>
      </c>
      <c r="I2231" s="31" t="s">
        <v>29</v>
      </c>
    </row>
    <row r="2232" spans="2:9" s="6" customFormat="1" ht="11.25" customHeight="1" x14ac:dyDescent="0.55000000000000004">
      <c r="B2232" s="30" t="s">
        <v>4499</v>
      </c>
      <c r="C2232" s="30" t="s">
        <v>4500</v>
      </c>
      <c r="D2232" s="32">
        <v>98884</v>
      </c>
      <c r="E2232" s="30" t="s">
        <v>15</v>
      </c>
      <c r="F2232" s="30" t="s">
        <v>307</v>
      </c>
      <c r="G2232" s="30"/>
      <c r="H2232" s="30" t="s">
        <v>108</v>
      </c>
      <c r="I2232" s="31" t="s">
        <v>29</v>
      </c>
    </row>
    <row r="2233" spans="2:9" s="6" customFormat="1" ht="11.25" customHeight="1" x14ac:dyDescent="0.55000000000000004">
      <c r="B2233" s="30" t="s">
        <v>4501</v>
      </c>
      <c r="C2233" s="30" t="s">
        <v>4502</v>
      </c>
      <c r="D2233" s="32">
        <v>81124</v>
      </c>
      <c r="E2233" s="30" t="s">
        <v>15</v>
      </c>
      <c r="F2233" s="30"/>
      <c r="G2233" s="30"/>
      <c r="H2233" s="30" t="s">
        <v>4503</v>
      </c>
      <c r="I2233" s="31" t="s">
        <v>29</v>
      </c>
    </row>
    <row r="2234" spans="2:9" s="6" customFormat="1" ht="11.25" customHeight="1" x14ac:dyDescent="0.55000000000000004">
      <c r="B2234" s="30" t="s">
        <v>4504</v>
      </c>
      <c r="C2234" s="30" t="s">
        <v>4505</v>
      </c>
      <c r="D2234" s="32">
        <v>92916</v>
      </c>
      <c r="E2234" s="30" t="s">
        <v>20</v>
      </c>
      <c r="F2234" s="30" t="s">
        <v>396</v>
      </c>
      <c r="G2234" s="30" t="s">
        <v>39</v>
      </c>
      <c r="H2234" s="30" t="s">
        <v>113</v>
      </c>
      <c r="I2234" s="31">
        <v>707602.98300000001</v>
      </c>
    </row>
    <row r="2235" spans="2:9" s="6" customFormat="1" ht="11.25" customHeight="1" x14ac:dyDescent="0.55000000000000004">
      <c r="B2235" s="30" t="s">
        <v>4506</v>
      </c>
      <c r="C2235" s="30" t="s">
        <v>4507</v>
      </c>
      <c r="D2235" s="32">
        <v>90387</v>
      </c>
      <c r="E2235" s="30" t="s">
        <v>20</v>
      </c>
      <c r="F2235" s="30" t="s">
        <v>911</v>
      </c>
      <c r="G2235" s="30" t="s">
        <v>35</v>
      </c>
      <c r="H2235" s="30" t="s">
        <v>113</v>
      </c>
      <c r="I2235" s="31" t="s">
        <v>29</v>
      </c>
    </row>
    <row r="2236" spans="2:9" s="6" customFormat="1" ht="11.25" customHeight="1" x14ac:dyDescent="0.55000000000000004">
      <c r="B2236" s="30" t="s">
        <v>4508</v>
      </c>
      <c r="C2236" s="30" t="s">
        <v>4509</v>
      </c>
      <c r="D2236" s="32">
        <v>65269</v>
      </c>
      <c r="E2236" s="30" t="s">
        <v>20</v>
      </c>
      <c r="F2236" s="30" t="s">
        <v>293</v>
      </c>
      <c r="G2236" s="30" t="s">
        <v>16</v>
      </c>
      <c r="H2236" s="30" t="s">
        <v>113</v>
      </c>
      <c r="I2236" s="31">
        <v>3116.2759999999998</v>
      </c>
    </row>
    <row r="2237" spans="2:9" s="6" customFormat="1" ht="11.25" customHeight="1" x14ac:dyDescent="0.55000000000000004">
      <c r="B2237" s="30" t="s">
        <v>4510</v>
      </c>
      <c r="C2237" s="30" t="s">
        <v>4511</v>
      </c>
      <c r="D2237" s="32">
        <v>69892</v>
      </c>
      <c r="E2237" s="30" t="s">
        <v>20</v>
      </c>
      <c r="F2237" s="30" t="s">
        <v>2180</v>
      </c>
      <c r="G2237" s="30" t="s">
        <v>35</v>
      </c>
      <c r="H2237" s="30" t="s">
        <v>150</v>
      </c>
      <c r="I2237" s="31">
        <v>2417079.4479999999</v>
      </c>
    </row>
    <row r="2238" spans="2:9" s="6" customFormat="1" ht="11.25" customHeight="1" x14ac:dyDescent="0.55000000000000004">
      <c r="B2238" s="30" t="s">
        <v>4512</v>
      </c>
      <c r="C2238" s="30" t="s">
        <v>4513</v>
      </c>
      <c r="D2238" s="32">
        <v>87645</v>
      </c>
      <c r="E2238" s="30" t="s">
        <v>20</v>
      </c>
      <c r="F2238" s="30" t="s">
        <v>526</v>
      </c>
      <c r="G2238" s="30" t="s">
        <v>35</v>
      </c>
      <c r="H2238" s="30" t="s">
        <v>500</v>
      </c>
      <c r="I2238" s="31">
        <v>859501.47</v>
      </c>
    </row>
    <row r="2239" spans="2:9" s="6" customFormat="1" ht="11.25" customHeight="1" x14ac:dyDescent="0.55000000000000004">
      <c r="B2239" s="30" t="s">
        <v>4514</v>
      </c>
      <c r="C2239" s="30" t="s">
        <v>4515</v>
      </c>
      <c r="D2239" s="32">
        <v>80934</v>
      </c>
      <c r="E2239" s="30" t="s">
        <v>15</v>
      </c>
      <c r="F2239" s="30"/>
      <c r="G2239" s="30"/>
      <c r="H2239" s="30" t="s">
        <v>150</v>
      </c>
      <c r="I2239" s="31" t="s">
        <v>29</v>
      </c>
    </row>
    <row r="2240" spans="2:9" s="6" customFormat="1" ht="11.25" customHeight="1" x14ac:dyDescent="0.55000000000000004">
      <c r="B2240" s="30" t="s">
        <v>4516</v>
      </c>
      <c r="C2240" s="30" t="s">
        <v>4517</v>
      </c>
      <c r="D2240" s="32">
        <v>65552</v>
      </c>
      <c r="E2240" s="30" t="s">
        <v>15</v>
      </c>
      <c r="F2240" s="30" t="s">
        <v>149</v>
      </c>
      <c r="G2240" s="30"/>
      <c r="H2240" s="30" t="s">
        <v>96</v>
      </c>
      <c r="I2240" s="31" t="s">
        <v>29</v>
      </c>
    </row>
    <row r="2241" spans="2:9" s="6" customFormat="1" ht="11.25" customHeight="1" x14ac:dyDescent="0.55000000000000004">
      <c r="B2241" s="30" t="s">
        <v>4518</v>
      </c>
      <c r="C2241" s="30" t="s">
        <v>4519</v>
      </c>
      <c r="D2241" s="32">
        <v>83500</v>
      </c>
      <c r="E2241" s="30" t="s">
        <v>15</v>
      </c>
      <c r="F2241" s="30" t="s">
        <v>568</v>
      </c>
      <c r="G2241" s="30"/>
      <c r="H2241" s="30" t="s">
        <v>239</v>
      </c>
      <c r="I2241" s="31" t="s">
        <v>29</v>
      </c>
    </row>
    <row r="2242" spans="2:9" s="6" customFormat="1" ht="11.25" customHeight="1" x14ac:dyDescent="0.55000000000000004">
      <c r="B2242" s="30" t="s">
        <v>4520</v>
      </c>
      <c r="C2242" s="30" t="s">
        <v>4521</v>
      </c>
      <c r="D2242" s="32">
        <v>63983</v>
      </c>
      <c r="E2242" s="30" t="s">
        <v>20</v>
      </c>
      <c r="F2242" s="30"/>
      <c r="G2242" s="30" t="s">
        <v>35</v>
      </c>
      <c r="H2242" s="30" t="s">
        <v>4522</v>
      </c>
      <c r="I2242" s="31">
        <v>626855.397</v>
      </c>
    </row>
    <row r="2243" spans="2:9" s="6" customFormat="1" ht="11.25" customHeight="1" x14ac:dyDescent="0.55000000000000004">
      <c r="B2243" s="30" t="s">
        <v>4523</v>
      </c>
      <c r="C2243" s="30" t="s">
        <v>4524</v>
      </c>
      <c r="D2243" s="32">
        <v>69922</v>
      </c>
      <c r="E2243" s="30" t="s">
        <v>20</v>
      </c>
      <c r="F2243" s="30" t="s">
        <v>2180</v>
      </c>
      <c r="G2243" s="30" t="s">
        <v>35</v>
      </c>
      <c r="H2243" s="30" t="s">
        <v>150</v>
      </c>
      <c r="I2243" s="31">
        <v>103975.63500000001</v>
      </c>
    </row>
    <row r="2244" spans="2:9" s="6" customFormat="1" ht="11.25" customHeight="1" x14ac:dyDescent="0.55000000000000004">
      <c r="B2244" s="30" t="s">
        <v>4525</v>
      </c>
      <c r="C2244" s="30" t="s">
        <v>4526</v>
      </c>
      <c r="D2244" s="32">
        <v>69930</v>
      </c>
      <c r="E2244" s="30" t="s">
        <v>20</v>
      </c>
      <c r="F2244" s="30" t="s">
        <v>2371</v>
      </c>
      <c r="G2244" s="30" t="s">
        <v>35</v>
      </c>
      <c r="H2244" s="30" t="s">
        <v>500</v>
      </c>
      <c r="I2244" s="31">
        <v>4149531.4410000001</v>
      </c>
    </row>
    <row r="2245" spans="2:9" s="6" customFormat="1" ht="11.25" customHeight="1" x14ac:dyDescent="0.55000000000000004">
      <c r="B2245" s="30" t="s">
        <v>4527</v>
      </c>
      <c r="C2245" s="30" t="s">
        <v>4528</v>
      </c>
      <c r="D2245" s="32">
        <v>11262</v>
      </c>
      <c r="E2245" s="30" t="s">
        <v>15</v>
      </c>
      <c r="F2245" s="30"/>
      <c r="G2245" s="30" t="s">
        <v>265</v>
      </c>
      <c r="H2245" s="30" t="s">
        <v>45</v>
      </c>
      <c r="I2245" s="31" t="s">
        <v>29</v>
      </c>
    </row>
    <row r="2246" spans="2:9" s="6" customFormat="1" ht="11.25" customHeight="1" x14ac:dyDescent="0.55000000000000004">
      <c r="B2246" s="30" t="s">
        <v>4529</v>
      </c>
      <c r="C2246" s="30" t="s">
        <v>4530</v>
      </c>
      <c r="D2246" s="32">
        <v>85278</v>
      </c>
      <c r="E2246" s="30" t="s">
        <v>15</v>
      </c>
      <c r="F2246" s="30"/>
      <c r="G2246" s="30"/>
      <c r="H2246" s="30" t="s">
        <v>113</v>
      </c>
      <c r="I2246" s="31" t="s">
        <v>29</v>
      </c>
    </row>
    <row r="2247" spans="2:9" s="6" customFormat="1" ht="11.25" customHeight="1" x14ac:dyDescent="0.55000000000000004">
      <c r="B2247" s="30" t="s">
        <v>4531</v>
      </c>
      <c r="C2247" s="30" t="s">
        <v>4532</v>
      </c>
      <c r="D2247" s="32">
        <v>94099</v>
      </c>
      <c r="E2247" s="30" t="s">
        <v>15</v>
      </c>
      <c r="F2247" s="30" t="s">
        <v>970</v>
      </c>
      <c r="G2247" s="30" t="s">
        <v>35</v>
      </c>
      <c r="H2247" s="30" t="s">
        <v>48</v>
      </c>
      <c r="I2247" s="31" t="s">
        <v>29</v>
      </c>
    </row>
    <row r="2248" spans="2:9" s="6" customFormat="1" ht="11.25" customHeight="1" x14ac:dyDescent="0.55000000000000004">
      <c r="B2248" s="30" t="s">
        <v>4533</v>
      </c>
      <c r="C2248" s="30" t="s">
        <v>4534</v>
      </c>
      <c r="D2248" s="32">
        <v>94099</v>
      </c>
      <c r="E2248" s="30" t="s">
        <v>15</v>
      </c>
      <c r="F2248" s="30"/>
      <c r="G2248" s="30"/>
      <c r="H2248" s="30" t="s">
        <v>48</v>
      </c>
      <c r="I2248" s="31" t="s">
        <v>29</v>
      </c>
    </row>
    <row r="2249" spans="2:9" s="6" customFormat="1" ht="11.25" customHeight="1" x14ac:dyDescent="0.55000000000000004">
      <c r="B2249" s="30" t="s">
        <v>4535</v>
      </c>
      <c r="C2249" s="30" t="s">
        <v>4536</v>
      </c>
      <c r="D2249" s="32">
        <v>82694</v>
      </c>
      <c r="E2249" s="30" t="s">
        <v>15</v>
      </c>
      <c r="F2249" s="30"/>
      <c r="G2249" s="30" t="s">
        <v>35</v>
      </c>
      <c r="H2249" s="30" t="s">
        <v>278</v>
      </c>
      <c r="I2249" s="31" t="s">
        <v>29</v>
      </c>
    </row>
    <row r="2250" spans="2:9" s="6" customFormat="1" ht="11.25" customHeight="1" x14ac:dyDescent="0.55000000000000004">
      <c r="B2250" s="30" t="s">
        <v>4537</v>
      </c>
      <c r="C2250" s="30" t="s">
        <v>4538</v>
      </c>
      <c r="D2250" s="32">
        <v>69876</v>
      </c>
      <c r="E2250" s="30" t="s">
        <v>15</v>
      </c>
      <c r="F2250" s="30"/>
      <c r="G2250" s="30"/>
      <c r="H2250" s="30" t="s">
        <v>108</v>
      </c>
      <c r="I2250" s="31" t="s">
        <v>29</v>
      </c>
    </row>
    <row r="2251" spans="2:9" s="6" customFormat="1" ht="11.25" customHeight="1" x14ac:dyDescent="0.55000000000000004">
      <c r="B2251" s="30" t="s">
        <v>4539</v>
      </c>
      <c r="C2251" s="30" t="s">
        <v>4540</v>
      </c>
      <c r="D2251" s="32">
        <v>69876</v>
      </c>
      <c r="E2251" s="30" t="s">
        <v>15</v>
      </c>
      <c r="F2251" s="30"/>
      <c r="G2251" s="30"/>
      <c r="H2251" s="30" t="s">
        <v>108</v>
      </c>
      <c r="I2251" s="31" t="s">
        <v>29</v>
      </c>
    </row>
    <row r="2252" spans="2:9" s="6" customFormat="1" ht="11.25" customHeight="1" x14ac:dyDescent="0.55000000000000004">
      <c r="B2252" s="30" t="s">
        <v>4541</v>
      </c>
      <c r="C2252" s="30" t="s">
        <v>4542</v>
      </c>
      <c r="D2252" s="32">
        <v>69973</v>
      </c>
      <c r="E2252" s="30" t="s">
        <v>20</v>
      </c>
      <c r="F2252" s="30" t="s">
        <v>1976</v>
      </c>
      <c r="G2252" s="30" t="s">
        <v>155</v>
      </c>
      <c r="H2252" s="30" t="s">
        <v>63</v>
      </c>
      <c r="I2252" s="31">
        <v>1763519.7169999999</v>
      </c>
    </row>
    <row r="2253" spans="2:9" s="6" customFormat="1" ht="11.25" customHeight="1" x14ac:dyDescent="0.55000000000000004">
      <c r="B2253" s="30" t="s">
        <v>4543</v>
      </c>
      <c r="C2253" s="30" t="s">
        <v>4544</v>
      </c>
      <c r="D2253" s="32">
        <v>99406</v>
      </c>
      <c r="E2253" s="30" t="s">
        <v>15</v>
      </c>
      <c r="F2253" s="30"/>
      <c r="G2253" s="30"/>
      <c r="H2253" s="30" t="s">
        <v>113</v>
      </c>
      <c r="I2253" s="31" t="s">
        <v>29</v>
      </c>
    </row>
    <row r="2254" spans="2:9" s="6" customFormat="1" ht="11.25" customHeight="1" x14ac:dyDescent="0.55000000000000004">
      <c r="B2254" s="30" t="s">
        <v>4545</v>
      </c>
      <c r="C2254" s="30" t="s">
        <v>4546</v>
      </c>
      <c r="D2254" s="32">
        <v>92703</v>
      </c>
      <c r="E2254" s="30" t="s">
        <v>20</v>
      </c>
      <c r="F2254" s="30"/>
      <c r="G2254" s="30" t="s">
        <v>39</v>
      </c>
      <c r="H2254" s="30" t="s">
        <v>22</v>
      </c>
      <c r="I2254" s="31">
        <v>37972.839</v>
      </c>
    </row>
    <row r="2255" spans="2:9" s="6" customFormat="1" ht="11.25" customHeight="1" x14ac:dyDescent="0.55000000000000004">
      <c r="B2255" s="30" t="s">
        <v>4547</v>
      </c>
      <c r="C2255" s="30" t="s">
        <v>4548</v>
      </c>
      <c r="D2255" s="32">
        <v>69868</v>
      </c>
      <c r="E2255" s="30" t="s">
        <v>20</v>
      </c>
      <c r="F2255" s="30" t="s">
        <v>1159</v>
      </c>
      <c r="G2255" s="30" t="s">
        <v>194</v>
      </c>
      <c r="H2255" s="30" t="s">
        <v>40</v>
      </c>
      <c r="I2255" s="31">
        <v>26246357.059</v>
      </c>
    </row>
    <row r="2256" spans="2:9" s="6" customFormat="1" ht="11.25" customHeight="1" x14ac:dyDescent="0.55000000000000004">
      <c r="B2256" s="30" t="s">
        <v>4549</v>
      </c>
      <c r="C2256" s="30" t="s">
        <v>4550</v>
      </c>
      <c r="D2256" s="32">
        <v>69868</v>
      </c>
      <c r="E2256" s="30" t="s">
        <v>20</v>
      </c>
      <c r="F2256" s="30"/>
      <c r="G2256" s="30"/>
      <c r="H2256" s="30" t="s">
        <v>40</v>
      </c>
      <c r="I2256" s="31" t="s">
        <v>29</v>
      </c>
    </row>
    <row r="2257" spans="2:9" s="6" customFormat="1" ht="11.25" customHeight="1" x14ac:dyDescent="0.55000000000000004">
      <c r="B2257" s="30" t="s">
        <v>4551</v>
      </c>
      <c r="C2257" s="30" t="s">
        <v>4552</v>
      </c>
      <c r="D2257" s="32">
        <v>69868</v>
      </c>
      <c r="E2257" s="30" t="s">
        <v>20</v>
      </c>
      <c r="F2257" s="30"/>
      <c r="G2257" s="30"/>
      <c r="H2257" s="30" t="s">
        <v>40</v>
      </c>
      <c r="I2257" s="31" t="s">
        <v>29</v>
      </c>
    </row>
    <row r="2258" spans="2:9" s="6" customFormat="1" ht="11.25" customHeight="1" x14ac:dyDescent="0.55000000000000004">
      <c r="B2258" s="30" t="s">
        <v>4553</v>
      </c>
      <c r="C2258" s="30" t="s">
        <v>4554</v>
      </c>
      <c r="D2258" s="32">
        <v>42129</v>
      </c>
      <c r="E2258" s="30" t="s">
        <v>20</v>
      </c>
      <c r="F2258" s="30"/>
      <c r="G2258" s="30" t="s">
        <v>39</v>
      </c>
      <c r="H2258" s="30" t="s">
        <v>75</v>
      </c>
      <c r="I2258" s="31">
        <v>39720.85</v>
      </c>
    </row>
    <row r="2259" spans="2:9" s="6" customFormat="1" ht="11.25" customHeight="1" x14ac:dyDescent="0.55000000000000004">
      <c r="B2259" s="30" t="s">
        <v>4555</v>
      </c>
      <c r="C2259" s="30" t="s">
        <v>4556</v>
      </c>
      <c r="D2259" s="32">
        <v>77100</v>
      </c>
      <c r="E2259" s="30" t="s">
        <v>15</v>
      </c>
      <c r="F2259" s="30"/>
      <c r="G2259" s="30"/>
      <c r="H2259" s="30" t="s">
        <v>313</v>
      </c>
      <c r="I2259" s="31" t="s">
        <v>29</v>
      </c>
    </row>
    <row r="2260" spans="2:9" s="6" customFormat="1" ht="11.25" customHeight="1" x14ac:dyDescent="0.55000000000000004">
      <c r="B2260" s="30" t="s">
        <v>4557</v>
      </c>
      <c r="C2260" s="30" t="s">
        <v>4558</v>
      </c>
      <c r="D2260" s="32">
        <v>70696</v>
      </c>
      <c r="E2260" s="30" t="s">
        <v>15</v>
      </c>
      <c r="F2260" s="30" t="s">
        <v>1000</v>
      </c>
      <c r="G2260" s="30"/>
      <c r="H2260" s="30" t="s">
        <v>179</v>
      </c>
      <c r="I2260" s="31" t="s">
        <v>29</v>
      </c>
    </row>
    <row r="2261" spans="2:9" s="6" customFormat="1" ht="11.25" customHeight="1" x14ac:dyDescent="0.55000000000000004">
      <c r="B2261" s="30" t="s">
        <v>4559</v>
      </c>
      <c r="C2261" s="30" t="s">
        <v>4560</v>
      </c>
      <c r="D2261" s="32">
        <v>63479</v>
      </c>
      <c r="E2261" s="30" t="s">
        <v>15</v>
      </c>
      <c r="F2261" s="30"/>
      <c r="G2261" s="30" t="s">
        <v>21</v>
      </c>
      <c r="H2261" s="30" t="s">
        <v>113</v>
      </c>
      <c r="I2261" s="31" t="s">
        <v>29</v>
      </c>
    </row>
    <row r="2262" spans="2:9" s="6" customFormat="1" ht="11.25" customHeight="1" x14ac:dyDescent="0.55000000000000004">
      <c r="B2262" s="30" t="s">
        <v>4561</v>
      </c>
      <c r="C2262" s="30" t="s">
        <v>4562</v>
      </c>
      <c r="D2262" s="32">
        <v>99562</v>
      </c>
      <c r="E2262" s="30" t="s">
        <v>15</v>
      </c>
      <c r="F2262" s="30"/>
      <c r="G2262" s="30"/>
      <c r="H2262" s="30" t="s">
        <v>113</v>
      </c>
      <c r="I2262" s="31" t="s">
        <v>29</v>
      </c>
    </row>
    <row r="2263" spans="2:9" s="6" customFormat="1" ht="11.25" customHeight="1" x14ac:dyDescent="0.55000000000000004">
      <c r="B2263" s="30" t="s">
        <v>4563</v>
      </c>
      <c r="C2263" s="30" t="s">
        <v>4564</v>
      </c>
      <c r="D2263" s="32">
        <v>72850</v>
      </c>
      <c r="E2263" s="30" t="s">
        <v>20</v>
      </c>
      <c r="F2263" s="30" t="s">
        <v>1159</v>
      </c>
      <c r="G2263" s="30" t="s">
        <v>35</v>
      </c>
      <c r="H2263" s="30" t="s">
        <v>40</v>
      </c>
      <c r="I2263" s="31">
        <v>147255.89800000002</v>
      </c>
    </row>
    <row r="2264" spans="2:9" s="6" customFormat="1" ht="11.25" customHeight="1" x14ac:dyDescent="0.55000000000000004">
      <c r="B2264" s="30" t="s">
        <v>4565</v>
      </c>
      <c r="C2264" s="30" t="s">
        <v>4566</v>
      </c>
      <c r="D2264" s="32">
        <v>72850</v>
      </c>
      <c r="E2264" s="30" t="s">
        <v>20</v>
      </c>
      <c r="F2264" s="30"/>
      <c r="G2264" s="30"/>
      <c r="H2264" s="30" t="s">
        <v>40</v>
      </c>
      <c r="I2264" s="31" t="s">
        <v>29</v>
      </c>
    </row>
    <row r="2265" spans="2:9" s="6" customFormat="1" ht="11.25" customHeight="1" x14ac:dyDescent="0.55000000000000004">
      <c r="B2265" s="30" t="s">
        <v>4567</v>
      </c>
      <c r="C2265" s="30" t="s">
        <v>4568</v>
      </c>
      <c r="D2265" s="32">
        <v>72850</v>
      </c>
      <c r="E2265" s="30" t="s">
        <v>20</v>
      </c>
      <c r="F2265" s="30"/>
      <c r="G2265" s="30"/>
      <c r="H2265" s="30" t="s">
        <v>40</v>
      </c>
      <c r="I2265" s="31" t="s">
        <v>29</v>
      </c>
    </row>
    <row r="2266" spans="2:9" s="6" customFormat="1" ht="11.25" customHeight="1" x14ac:dyDescent="0.55000000000000004">
      <c r="B2266" s="30" t="s">
        <v>149</v>
      </c>
      <c r="C2266" s="30" t="s">
        <v>4569</v>
      </c>
      <c r="D2266" s="32" t="s">
        <v>29</v>
      </c>
      <c r="E2266" s="30" t="s">
        <v>20</v>
      </c>
      <c r="F2266" s="30" t="s">
        <v>149</v>
      </c>
      <c r="G2266" s="30" t="s">
        <v>21</v>
      </c>
      <c r="H2266" s="30" t="s">
        <v>156</v>
      </c>
      <c r="I2266" s="31">
        <v>24225065.901000001</v>
      </c>
    </row>
    <row r="2267" spans="2:9" s="6" customFormat="1" ht="11.25" customHeight="1" x14ac:dyDescent="0.55000000000000004">
      <c r="B2267" s="30" t="s">
        <v>4570</v>
      </c>
      <c r="C2267" s="30" t="s">
        <v>4571</v>
      </c>
      <c r="D2267" s="32" t="s">
        <v>29</v>
      </c>
      <c r="E2267" s="30" t="s">
        <v>20</v>
      </c>
      <c r="F2267" s="30"/>
      <c r="G2267" s="30"/>
      <c r="H2267" s="30" t="s">
        <v>156</v>
      </c>
      <c r="I2267" s="31" t="s">
        <v>29</v>
      </c>
    </row>
    <row r="2268" spans="2:9" s="6" customFormat="1" ht="11.25" customHeight="1" x14ac:dyDescent="0.55000000000000004">
      <c r="B2268" s="30" t="s">
        <v>4572</v>
      </c>
      <c r="C2268" s="30" t="s">
        <v>4573</v>
      </c>
      <c r="D2268" s="32">
        <v>79413</v>
      </c>
      <c r="E2268" s="30" t="s">
        <v>20</v>
      </c>
      <c r="F2268" s="30" t="s">
        <v>149</v>
      </c>
      <c r="G2268" s="30" t="s">
        <v>21</v>
      </c>
      <c r="H2268" s="30" t="s">
        <v>96</v>
      </c>
      <c r="I2268" s="31">
        <v>20997100.708000001</v>
      </c>
    </row>
    <row r="2269" spans="2:9" s="6" customFormat="1" ht="11.25" customHeight="1" x14ac:dyDescent="0.55000000000000004">
      <c r="B2269" s="30" t="s">
        <v>4574</v>
      </c>
      <c r="C2269" s="30" t="s">
        <v>4575</v>
      </c>
      <c r="D2269" s="32">
        <v>97179</v>
      </c>
      <c r="E2269" s="30" t="s">
        <v>20</v>
      </c>
      <c r="F2269" s="30" t="s">
        <v>149</v>
      </c>
      <c r="G2269" s="30" t="s">
        <v>21</v>
      </c>
      <c r="H2269" s="30" t="s">
        <v>146</v>
      </c>
      <c r="I2269" s="31">
        <v>239305.2</v>
      </c>
    </row>
    <row r="2270" spans="2:9" s="6" customFormat="1" ht="11.25" customHeight="1" x14ac:dyDescent="0.55000000000000004">
      <c r="B2270" s="30" t="s">
        <v>4576</v>
      </c>
      <c r="C2270" s="30" t="s">
        <v>4577</v>
      </c>
      <c r="D2270" s="32">
        <v>63819</v>
      </c>
      <c r="E2270" s="30" t="s">
        <v>20</v>
      </c>
      <c r="F2270" s="30"/>
      <c r="G2270" s="30" t="s">
        <v>25</v>
      </c>
      <c r="H2270" s="30" t="s">
        <v>313</v>
      </c>
      <c r="I2270" s="31">
        <v>323880.65899999999</v>
      </c>
    </row>
    <row r="2271" spans="2:9" s="6" customFormat="1" ht="11.25" customHeight="1" x14ac:dyDescent="0.55000000000000004">
      <c r="B2271" s="30" t="s">
        <v>4578</v>
      </c>
      <c r="C2271" s="30" t="s">
        <v>4579</v>
      </c>
      <c r="D2271" s="32">
        <v>60220</v>
      </c>
      <c r="E2271" s="30" t="s">
        <v>15</v>
      </c>
      <c r="F2271" s="30"/>
      <c r="G2271" s="30"/>
      <c r="H2271" s="30" t="s">
        <v>313</v>
      </c>
      <c r="I2271" s="31" t="s">
        <v>29</v>
      </c>
    </row>
    <row r="2272" spans="2:9" s="6" customFormat="1" ht="11.25" customHeight="1" x14ac:dyDescent="0.55000000000000004">
      <c r="B2272" s="30" t="s">
        <v>4580</v>
      </c>
      <c r="C2272" s="30" t="s">
        <v>4581</v>
      </c>
      <c r="D2272" s="32">
        <v>70114</v>
      </c>
      <c r="E2272" s="30" t="s">
        <v>15</v>
      </c>
      <c r="F2272" s="30" t="s">
        <v>1116</v>
      </c>
      <c r="G2272" s="30" t="s">
        <v>35</v>
      </c>
      <c r="H2272" s="30" t="s">
        <v>124</v>
      </c>
      <c r="I2272" s="31" t="s">
        <v>29</v>
      </c>
    </row>
    <row r="2273" spans="2:9" s="6" customFormat="1" ht="11.25" customHeight="1" x14ac:dyDescent="0.55000000000000004">
      <c r="B2273" s="30" t="s">
        <v>4582</v>
      </c>
      <c r="C2273" s="30" t="s">
        <v>4583</v>
      </c>
      <c r="D2273" s="32">
        <v>70173</v>
      </c>
      <c r="E2273" s="30" t="s">
        <v>15</v>
      </c>
      <c r="F2273" s="30" t="s">
        <v>947</v>
      </c>
      <c r="G2273" s="30" t="s">
        <v>35</v>
      </c>
      <c r="H2273" s="30" t="s">
        <v>86</v>
      </c>
      <c r="I2273" s="31" t="s">
        <v>29</v>
      </c>
    </row>
    <row r="2274" spans="2:9" s="6" customFormat="1" ht="11.25" customHeight="1" x14ac:dyDescent="0.55000000000000004">
      <c r="B2274" s="30" t="s">
        <v>4584</v>
      </c>
      <c r="C2274" s="30" t="s">
        <v>4585</v>
      </c>
      <c r="D2274" s="32">
        <v>60104</v>
      </c>
      <c r="E2274" s="30" t="s">
        <v>20</v>
      </c>
      <c r="F2274" s="30"/>
      <c r="G2274" s="30" t="s">
        <v>16</v>
      </c>
      <c r="H2274" s="30" t="s">
        <v>89</v>
      </c>
      <c r="I2274" s="31">
        <v>1996.653</v>
      </c>
    </row>
    <row r="2275" spans="2:9" s="6" customFormat="1" ht="11.25" customHeight="1" x14ac:dyDescent="0.55000000000000004">
      <c r="B2275" s="30" t="s">
        <v>4586</v>
      </c>
      <c r="C2275" s="30" t="s">
        <v>4587</v>
      </c>
      <c r="D2275" s="32">
        <v>80217</v>
      </c>
      <c r="E2275" s="30" t="s">
        <v>15</v>
      </c>
      <c r="F2275" s="30"/>
      <c r="G2275" s="30"/>
      <c r="H2275" s="30" t="s">
        <v>63</v>
      </c>
      <c r="I2275" s="31" t="s">
        <v>29</v>
      </c>
    </row>
    <row r="2276" spans="2:9" s="6" customFormat="1" ht="11.25" customHeight="1" x14ac:dyDescent="0.55000000000000004">
      <c r="B2276" s="30" t="s">
        <v>4588</v>
      </c>
      <c r="C2276" s="30" t="s">
        <v>4589</v>
      </c>
      <c r="D2276" s="32">
        <v>70122</v>
      </c>
      <c r="E2276" s="30" t="s">
        <v>20</v>
      </c>
      <c r="F2276" s="30"/>
      <c r="G2276" s="30" t="s">
        <v>21</v>
      </c>
      <c r="H2276" s="30" t="s">
        <v>45</v>
      </c>
      <c r="I2276" s="31">
        <v>16308.134</v>
      </c>
    </row>
    <row r="2277" spans="2:9" s="6" customFormat="1" ht="11.25" customHeight="1" x14ac:dyDescent="0.55000000000000004">
      <c r="B2277" s="30" t="s">
        <v>4590</v>
      </c>
      <c r="C2277" s="30" t="s">
        <v>4591</v>
      </c>
      <c r="D2277" s="32">
        <v>70130</v>
      </c>
      <c r="E2277" s="30" t="s">
        <v>20</v>
      </c>
      <c r="F2277" s="30"/>
      <c r="G2277" s="30" t="s">
        <v>35</v>
      </c>
      <c r="H2277" s="30" t="s">
        <v>22</v>
      </c>
      <c r="I2277" s="31">
        <v>348982.016</v>
      </c>
    </row>
    <row r="2278" spans="2:9" s="6" customFormat="1" ht="11.25" customHeight="1" x14ac:dyDescent="0.55000000000000004">
      <c r="B2278" s="30" t="s">
        <v>4592</v>
      </c>
      <c r="C2278" s="30" t="s">
        <v>4593</v>
      </c>
      <c r="D2278" s="32">
        <v>70157</v>
      </c>
      <c r="E2278" s="30" t="s">
        <v>15</v>
      </c>
      <c r="F2278" s="30"/>
      <c r="G2278" s="30" t="s">
        <v>16</v>
      </c>
      <c r="H2278" s="30" t="s">
        <v>48</v>
      </c>
      <c r="I2278" s="31" t="s">
        <v>29</v>
      </c>
    </row>
    <row r="2279" spans="2:9" s="6" customFormat="1" ht="11.25" customHeight="1" x14ac:dyDescent="0.55000000000000004">
      <c r="B2279" s="30" t="s">
        <v>4594</v>
      </c>
      <c r="C2279" s="30" t="s">
        <v>4595</v>
      </c>
      <c r="D2279" s="32">
        <v>60041</v>
      </c>
      <c r="E2279" s="30" t="s">
        <v>20</v>
      </c>
      <c r="F2279" s="30"/>
      <c r="G2279" s="30" t="s">
        <v>155</v>
      </c>
      <c r="H2279" s="30" t="s">
        <v>130</v>
      </c>
      <c r="I2279" s="31" t="s">
        <v>29</v>
      </c>
    </row>
    <row r="2280" spans="2:9" s="6" customFormat="1" ht="11.25" customHeight="1" x14ac:dyDescent="0.55000000000000004">
      <c r="B2280" s="30" t="s">
        <v>4596</v>
      </c>
      <c r="C2280" s="30" t="s">
        <v>4597</v>
      </c>
      <c r="D2280" s="32">
        <v>60041</v>
      </c>
      <c r="E2280" s="30" t="s">
        <v>20</v>
      </c>
      <c r="F2280" s="30"/>
      <c r="G2280" s="30"/>
      <c r="H2280" s="30" t="s">
        <v>130</v>
      </c>
      <c r="I2280" s="31" t="s">
        <v>29</v>
      </c>
    </row>
    <row r="2281" spans="2:9" s="6" customFormat="1" ht="11.25" customHeight="1" x14ac:dyDescent="0.55000000000000004">
      <c r="B2281" s="30" t="s">
        <v>4598</v>
      </c>
      <c r="C2281" s="30" t="s">
        <v>4599</v>
      </c>
      <c r="D2281" s="32">
        <v>60041</v>
      </c>
      <c r="E2281" s="30" t="s">
        <v>20</v>
      </c>
      <c r="F2281" s="30"/>
      <c r="G2281" s="30"/>
      <c r="H2281" s="30" t="s">
        <v>130</v>
      </c>
      <c r="I2281" s="31" t="s">
        <v>29</v>
      </c>
    </row>
    <row r="2282" spans="2:9" s="6" customFormat="1" ht="11.25" customHeight="1" x14ac:dyDescent="0.55000000000000004">
      <c r="B2282" s="30" t="s">
        <v>4600</v>
      </c>
      <c r="C2282" s="30" t="s">
        <v>4601</v>
      </c>
      <c r="D2282" s="32">
        <v>70181</v>
      </c>
      <c r="E2282" s="30" t="s">
        <v>15</v>
      </c>
      <c r="F2282" s="30"/>
      <c r="G2282" s="30"/>
      <c r="H2282" s="30" t="s">
        <v>4522</v>
      </c>
      <c r="I2282" s="31" t="s">
        <v>29</v>
      </c>
    </row>
    <row r="2283" spans="2:9" s="6" customFormat="1" ht="11.25" customHeight="1" x14ac:dyDescent="0.55000000000000004">
      <c r="B2283" s="30" t="s">
        <v>4602</v>
      </c>
      <c r="C2283" s="30" t="s">
        <v>4603</v>
      </c>
      <c r="D2283" s="32">
        <v>79502</v>
      </c>
      <c r="E2283" s="30" t="s">
        <v>20</v>
      </c>
      <c r="F2283" s="30" t="s">
        <v>2043</v>
      </c>
      <c r="G2283" s="30" t="s">
        <v>265</v>
      </c>
      <c r="H2283" s="30" t="s">
        <v>113</v>
      </c>
      <c r="I2283" s="31">
        <v>51967.19</v>
      </c>
    </row>
    <row r="2284" spans="2:9" s="6" customFormat="1" ht="11.25" customHeight="1" x14ac:dyDescent="0.55000000000000004">
      <c r="B2284" s="30" t="s">
        <v>4604</v>
      </c>
      <c r="C2284" s="30" t="s">
        <v>4605</v>
      </c>
      <c r="D2284" s="32">
        <v>77194</v>
      </c>
      <c r="E2284" s="30" t="s">
        <v>20</v>
      </c>
      <c r="F2284" s="30" t="s">
        <v>2043</v>
      </c>
      <c r="G2284" s="30" t="s">
        <v>35</v>
      </c>
      <c r="H2284" s="30" t="s">
        <v>113</v>
      </c>
      <c r="I2284" s="31">
        <v>133914.70300000001</v>
      </c>
    </row>
    <row r="2285" spans="2:9" s="6" customFormat="1" ht="11.25" customHeight="1" x14ac:dyDescent="0.55000000000000004">
      <c r="B2285" s="30" t="s">
        <v>4606</v>
      </c>
      <c r="C2285" s="30" t="s">
        <v>4607</v>
      </c>
      <c r="D2285" s="32">
        <v>70033</v>
      </c>
      <c r="E2285" s="30" t="s">
        <v>15</v>
      </c>
      <c r="F2285" s="30" t="s">
        <v>2067</v>
      </c>
      <c r="G2285" s="30"/>
      <c r="H2285" s="30" t="s">
        <v>150</v>
      </c>
      <c r="I2285" s="31" t="s">
        <v>29</v>
      </c>
    </row>
    <row r="2286" spans="2:9" s="6" customFormat="1" ht="11.25" customHeight="1" x14ac:dyDescent="0.55000000000000004">
      <c r="B2286" s="30" t="s">
        <v>1099</v>
      </c>
      <c r="C2286" s="30" t="s">
        <v>4608</v>
      </c>
      <c r="D2286" s="32" t="s">
        <v>29</v>
      </c>
      <c r="E2286" s="30" t="s">
        <v>20</v>
      </c>
      <c r="F2286" s="30" t="s">
        <v>1099</v>
      </c>
      <c r="G2286" s="30" t="s">
        <v>21</v>
      </c>
      <c r="H2286" s="30" t="s">
        <v>92</v>
      </c>
      <c r="I2286" s="31">
        <v>41954113.064999998</v>
      </c>
    </row>
    <row r="2287" spans="2:9" s="6" customFormat="1" ht="11.25" customHeight="1" x14ac:dyDescent="0.55000000000000004">
      <c r="B2287" s="30" t="s">
        <v>4609</v>
      </c>
      <c r="C2287" s="30" t="s">
        <v>4610</v>
      </c>
      <c r="D2287" s="32" t="s">
        <v>29</v>
      </c>
      <c r="E2287" s="30" t="s">
        <v>20</v>
      </c>
      <c r="F2287" s="30"/>
      <c r="G2287" s="30"/>
      <c r="H2287" s="30" t="s">
        <v>92</v>
      </c>
      <c r="I2287" s="31" t="s">
        <v>29</v>
      </c>
    </row>
    <row r="2288" spans="2:9" s="6" customFormat="1" ht="11.25" customHeight="1" x14ac:dyDescent="0.55000000000000004">
      <c r="B2288" s="30" t="s">
        <v>4611</v>
      </c>
      <c r="C2288" s="30" t="s">
        <v>4612</v>
      </c>
      <c r="D2288" s="32">
        <v>67601</v>
      </c>
      <c r="E2288" s="30" t="s">
        <v>20</v>
      </c>
      <c r="F2288" s="30" t="s">
        <v>1099</v>
      </c>
      <c r="G2288" s="30" t="s">
        <v>21</v>
      </c>
      <c r="H2288" s="30" t="s">
        <v>92</v>
      </c>
      <c r="I2288" s="31">
        <v>67270.05</v>
      </c>
    </row>
    <row r="2289" spans="2:9" s="6" customFormat="1" ht="11.25" customHeight="1" x14ac:dyDescent="0.55000000000000004">
      <c r="B2289" s="30" t="s">
        <v>4613</v>
      </c>
      <c r="C2289" s="30" t="s">
        <v>4614</v>
      </c>
      <c r="D2289" s="32">
        <v>67601</v>
      </c>
      <c r="E2289" s="30" t="s">
        <v>20</v>
      </c>
      <c r="F2289" s="30"/>
      <c r="G2289" s="30"/>
      <c r="H2289" s="30" t="s">
        <v>92</v>
      </c>
      <c r="I2289" s="31" t="s">
        <v>29</v>
      </c>
    </row>
    <row r="2290" spans="2:9" s="6" customFormat="1" ht="11.25" customHeight="1" x14ac:dyDescent="0.55000000000000004">
      <c r="B2290" s="30" t="s">
        <v>4615</v>
      </c>
      <c r="C2290" s="30" t="s">
        <v>4616</v>
      </c>
      <c r="D2290" s="32">
        <v>67601</v>
      </c>
      <c r="E2290" s="30" t="s">
        <v>20</v>
      </c>
      <c r="F2290" s="30"/>
      <c r="G2290" s="30"/>
      <c r="H2290" s="30" t="s">
        <v>92</v>
      </c>
      <c r="I2290" s="31" t="s">
        <v>29</v>
      </c>
    </row>
    <row r="2291" spans="2:9" s="6" customFormat="1" ht="11.25" customHeight="1" x14ac:dyDescent="0.55000000000000004">
      <c r="B2291" s="30" t="s">
        <v>4617</v>
      </c>
      <c r="C2291" s="30" t="s">
        <v>4618</v>
      </c>
      <c r="D2291" s="32">
        <v>62235</v>
      </c>
      <c r="E2291" s="30" t="s">
        <v>20</v>
      </c>
      <c r="F2291" s="30" t="s">
        <v>1099</v>
      </c>
      <c r="G2291" s="30" t="s">
        <v>21</v>
      </c>
      <c r="H2291" s="30" t="s">
        <v>1214</v>
      </c>
      <c r="I2291" s="31">
        <v>22429844.712000001</v>
      </c>
    </row>
    <row r="2292" spans="2:9" s="6" customFormat="1" ht="11.25" customHeight="1" x14ac:dyDescent="0.55000000000000004">
      <c r="B2292" s="30" t="s">
        <v>4619</v>
      </c>
      <c r="C2292" s="30" t="s">
        <v>4620</v>
      </c>
      <c r="D2292" s="32">
        <v>62235</v>
      </c>
      <c r="E2292" s="30" t="s">
        <v>20</v>
      </c>
      <c r="F2292" s="30"/>
      <c r="G2292" s="30"/>
      <c r="H2292" s="30" t="s">
        <v>1214</v>
      </c>
      <c r="I2292" s="31" t="s">
        <v>29</v>
      </c>
    </row>
    <row r="2293" spans="2:9" s="6" customFormat="1" ht="11.25" customHeight="1" x14ac:dyDescent="0.55000000000000004">
      <c r="B2293" s="30" t="s">
        <v>4621</v>
      </c>
      <c r="C2293" s="30" t="s">
        <v>4622</v>
      </c>
      <c r="D2293" s="32">
        <v>62235</v>
      </c>
      <c r="E2293" s="30" t="s">
        <v>20</v>
      </c>
      <c r="F2293" s="30"/>
      <c r="G2293" s="30"/>
      <c r="H2293" s="30" t="s">
        <v>1214</v>
      </c>
      <c r="I2293" s="31" t="s">
        <v>29</v>
      </c>
    </row>
    <row r="2294" spans="2:9" s="6" customFormat="1" ht="11.25" customHeight="1" x14ac:dyDescent="0.55000000000000004">
      <c r="B2294" s="30" t="s">
        <v>4623</v>
      </c>
      <c r="C2294" s="30" t="s">
        <v>4624</v>
      </c>
      <c r="D2294" s="32">
        <v>78093</v>
      </c>
      <c r="E2294" s="30" t="s">
        <v>20</v>
      </c>
      <c r="F2294" s="30"/>
      <c r="G2294" s="30" t="s">
        <v>155</v>
      </c>
      <c r="H2294" s="30" t="s">
        <v>179</v>
      </c>
      <c r="I2294" s="31">
        <v>64762.999000000003</v>
      </c>
    </row>
    <row r="2295" spans="2:9" s="6" customFormat="1" ht="11.25" customHeight="1" x14ac:dyDescent="0.55000000000000004">
      <c r="B2295" s="30" t="s">
        <v>1287</v>
      </c>
      <c r="C2295" s="30" t="s">
        <v>4625</v>
      </c>
      <c r="D2295" s="32" t="s">
        <v>29</v>
      </c>
      <c r="E2295" s="30" t="s">
        <v>20</v>
      </c>
      <c r="F2295" s="30" t="s">
        <v>1287</v>
      </c>
      <c r="G2295" s="30" t="s">
        <v>16</v>
      </c>
      <c r="H2295" s="30" t="s">
        <v>86</v>
      </c>
      <c r="I2295" s="31">
        <v>43951.976000000002</v>
      </c>
    </row>
    <row r="2296" spans="2:9" s="6" customFormat="1" ht="11.25" customHeight="1" x14ac:dyDescent="0.55000000000000004">
      <c r="B2296" s="30" t="s">
        <v>4626</v>
      </c>
      <c r="C2296" s="30" t="s">
        <v>4627</v>
      </c>
      <c r="D2296" s="32">
        <v>14165</v>
      </c>
      <c r="E2296" s="30" t="s">
        <v>20</v>
      </c>
      <c r="F2296" s="30" t="s">
        <v>1287</v>
      </c>
      <c r="G2296" s="30" t="s">
        <v>16</v>
      </c>
      <c r="H2296" s="30" t="s">
        <v>86</v>
      </c>
      <c r="I2296" s="31">
        <v>35735.976000000002</v>
      </c>
    </row>
    <row r="2297" spans="2:9" s="6" customFormat="1" ht="11.25" customHeight="1" x14ac:dyDescent="0.55000000000000004">
      <c r="B2297" s="30" t="s">
        <v>4628</v>
      </c>
      <c r="C2297" s="30" t="s">
        <v>4629</v>
      </c>
      <c r="D2297" s="32">
        <v>92428</v>
      </c>
      <c r="E2297" s="30" t="s">
        <v>20</v>
      </c>
      <c r="F2297" s="30" t="s">
        <v>1287</v>
      </c>
      <c r="G2297" s="30" t="s">
        <v>25</v>
      </c>
      <c r="H2297" s="30" t="s">
        <v>86</v>
      </c>
      <c r="I2297" s="31">
        <v>2152.239</v>
      </c>
    </row>
    <row r="2298" spans="2:9" s="6" customFormat="1" ht="11.25" customHeight="1" x14ac:dyDescent="0.55000000000000004">
      <c r="B2298" s="30" t="s">
        <v>4630</v>
      </c>
      <c r="C2298" s="30" t="s">
        <v>4631</v>
      </c>
      <c r="D2298" s="32">
        <v>68314</v>
      </c>
      <c r="E2298" s="30" t="s">
        <v>15</v>
      </c>
      <c r="F2298" s="30"/>
      <c r="G2298" s="30"/>
      <c r="H2298" s="30" t="s">
        <v>113</v>
      </c>
      <c r="I2298" s="31" t="s">
        <v>29</v>
      </c>
    </row>
    <row r="2299" spans="2:9" s="6" customFormat="1" ht="11.25" customHeight="1" x14ac:dyDescent="0.55000000000000004">
      <c r="B2299" s="30" t="s">
        <v>4632</v>
      </c>
      <c r="C2299" s="30" t="s">
        <v>4633</v>
      </c>
      <c r="D2299" s="32">
        <v>83666</v>
      </c>
      <c r="E2299" s="30" t="s">
        <v>20</v>
      </c>
      <c r="F2299" s="30"/>
      <c r="G2299" s="30" t="s">
        <v>39</v>
      </c>
      <c r="H2299" s="30" t="s">
        <v>179</v>
      </c>
      <c r="I2299" s="31">
        <v>4350.68</v>
      </c>
    </row>
    <row r="2300" spans="2:9" s="6" customFormat="1" ht="11.25" customHeight="1" x14ac:dyDescent="0.55000000000000004">
      <c r="B2300" s="30" t="s">
        <v>4634</v>
      </c>
      <c r="C2300" s="30" t="s">
        <v>4635</v>
      </c>
      <c r="D2300" s="32">
        <v>70955</v>
      </c>
      <c r="E2300" s="30" t="s">
        <v>20</v>
      </c>
      <c r="F2300" s="30"/>
      <c r="G2300" s="30" t="s">
        <v>35</v>
      </c>
      <c r="H2300" s="30" t="s">
        <v>150</v>
      </c>
      <c r="I2300" s="31">
        <v>32479.688000000002</v>
      </c>
    </row>
    <row r="2301" spans="2:9" s="6" customFormat="1" ht="11.25" customHeight="1" x14ac:dyDescent="0.55000000000000004">
      <c r="B2301" s="30" t="s">
        <v>4636</v>
      </c>
      <c r="C2301" s="30" t="s">
        <v>4637</v>
      </c>
      <c r="D2301" s="32" t="s">
        <v>29</v>
      </c>
      <c r="E2301" s="30" t="s">
        <v>20</v>
      </c>
      <c r="F2301" s="30" t="s">
        <v>4636</v>
      </c>
      <c r="G2301" s="30" t="s">
        <v>265</v>
      </c>
      <c r="H2301" s="30" t="s">
        <v>113</v>
      </c>
      <c r="I2301" s="31">
        <v>27105925.346999999</v>
      </c>
    </row>
    <row r="2302" spans="2:9" s="6" customFormat="1" ht="11.25" customHeight="1" x14ac:dyDescent="0.55000000000000004">
      <c r="B2302" s="30" t="s">
        <v>4638</v>
      </c>
      <c r="C2302" s="30" t="s">
        <v>4639</v>
      </c>
      <c r="D2302" s="32">
        <v>72613</v>
      </c>
      <c r="E2302" s="30" t="s">
        <v>15</v>
      </c>
      <c r="F2302" s="30" t="s">
        <v>4636</v>
      </c>
      <c r="G2302" s="30" t="s">
        <v>16</v>
      </c>
      <c r="H2302" s="30" t="s">
        <v>113</v>
      </c>
      <c r="I2302" s="31" t="s">
        <v>29</v>
      </c>
    </row>
    <row r="2303" spans="2:9" s="6" customFormat="1" ht="11.25" customHeight="1" x14ac:dyDescent="0.55000000000000004">
      <c r="B2303" s="30" t="s">
        <v>4640</v>
      </c>
      <c r="C2303" s="30" t="s">
        <v>4641</v>
      </c>
      <c r="D2303" s="32">
        <v>69663</v>
      </c>
      <c r="E2303" s="30" t="s">
        <v>20</v>
      </c>
      <c r="F2303" s="30" t="s">
        <v>4636</v>
      </c>
      <c r="G2303" s="30" t="s">
        <v>265</v>
      </c>
      <c r="H2303" s="30" t="s">
        <v>113</v>
      </c>
      <c r="I2303" s="31">
        <v>26401574.491999999</v>
      </c>
    </row>
    <row r="2304" spans="2:9" s="6" customFormat="1" ht="11.25" customHeight="1" x14ac:dyDescent="0.55000000000000004">
      <c r="B2304" s="30" t="s">
        <v>4642</v>
      </c>
      <c r="C2304" s="30" t="s">
        <v>4643</v>
      </c>
      <c r="D2304" s="32">
        <v>69663</v>
      </c>
      <c r="E2304" s="30" t="s">
        <v>20</v>
      </c>
      <c r="F2304" s="30"/>
      <c r="G2304" s="30"/>
      <c r="H2304" s="30" t="s">
        <v>113</v>
      </c>
      <c r="I2304" s="31" t="s">
        <v>29</v>
      </c>
    </row>
    <row r="2305" spans="2:9" s="6" customFormat="1" ht="11.25" customHeight="1" x14ac:dyDescent="0.55000000000000004">
      <c r="B2305" s="30" t="s">
        <v>4644</v>
      </c>
      <c r="C2305" s="30" t="s">
        <v>4645</v>
      </c>
      <c r="D2305" s="32">
        <v>69663</v>
      </c>
      <c r="E2305" s="30" t="s">
        <v>20</v>
      </c>
      <c r="F2305" s="30"/>
      <c r="G2305" s="30"/>
      <c r="H2305" s="30" t="s">
        <v>113</v>
      </c>
      <c r="I2305" s="31" t="s">
        <v>29</v>
      </c>
    </row>
    <row r="2306" spans="2:9" s="6" customFormat="1" ht="11.25" customHeight="1" x14ac:dyDescent="0.55000000000000004">
      <c r="B2306" s="30" t="s">
        <v>4646</v>
      </c>
      <c r="C2306" s="30" t="s">
        <v>4647</v>
      </c>
      <c r="D2306" s="32">
        <v>60228</v>
      </c>
      <c r="E2306" s="30" t="s">
        <v>20</v>
      </c>
      <c r="F2306" s="30" t="s">
        <v>4636</v>
      </c>
      <c r="G2306" s="30" t="s">
        <v>35</v>
      </c>
      <c r="H2306" s="30" t="s">
        <v>113</v>
      </c>
      <c r="I2306" s="31">
        <v>793505.89500000002</v>
      </c>
    </row>
    <row r="2307" spans="2:9" s="6" customFormat="1" ht="11.25" customHeight="1" x14ac:dyDescent="0.55000000000000004">
      <c r="B2307" s="30" t="s">
        <v>4648</v>
      </c>
      <c r="C2307" s="30" t="s">
        <v>4649</v>
      </c>
      <c r="D2307" s="32">
        <v>94358</v>
      </c>
      <c r="E2307" s="30" t="s">
        <v>20</v>
      </c>
      <c r="F2307" s="30"/>
      <c r="G2307" s="30" t="s">
        <v>21</v>
      </c>
      <c r="H2307" s="30" t="s">
        <v>266</v>
      </c>
      <c r="I2307" s="31">
        <v>476223.35600000003</v>
      </c>
    </row>
    <row r="2308" spans="2:9" s="6" customFormat="1" ht="11.25" customHeight="1" x14ac:dyDescent="0.55000000000000004">
      <c r="B2308" s="30" t="s">
        <v>4650</v>
      </c>
      <c r="C2308" s="30" t="s">
        <v>4651</v>
      </c>
      <c r="D2308" s="32">
        <v>61247</v>
      </c>
      <c r="E2308" s="30" t="s">
        <v>15</v>
      </c>
      <c r="F2308" s="30"/>
      <c r="G2308" s="30"/>
      <c r="H2308" s="30" t="s">
        <v>108</v>
      </c>
      <c r="I2308" s="31" t="s">
        <v>29</v>
      </c>
    </row>
    <row r="2309" spans="2:9" s="6" customFormat="1" ht="11.25" customHeight="1" x14ac:dyDescent="0.55000000000000004">
      <c r="B2309" s="30" t="s">
        <v>4652</v>
      </c>
      <c r="C2309" s="30" t="s">
        <v>4653</v>
      </c>
      <c r="D2309" s="32">
        <v>11067</v>
      </c>
      <c r="E2309" s="30" t="s">
        <v>20</v>
      </c>
      <c r="F2309" s="30"/>
      <c r="G2309" s="30" t="s">
        <v>39</v>
      </c>
      <c r="H2309" s="30" t="s">
        <v>130</v>
      </c>
      <c r="I2309" s="31" t="s">
        <v>29</v>
      </c>
    </row>
    <row r="2310" spans="2:9" s="6" customFormat="1" ht="11.25" customHeight="1" x14ac:dyDescent="0.55000000000000004">
      <c r="B2310" s="30" t="s">
        <v>4654</v>
      </c>
      <c r="C2310" s="30" t="s">
        <v>4655</v>
      </c>
      <c r="D2310" s="32">
        <v>97438</v>
      </c>
      <c r="E2310" s="30" t="s">
        <v>15</v>
      </c>
      <c r="F2310" s="30"/>
      <c r="G2310" s="30"/>
      <c r="H2310" s="30" t="s">
        <v>22</v>
      </c>
      <c r="I2310" s="31" t="s">
        <v>29</v>
      </c>
    </row>
    <row r="2311" spans="2:9" s="6" customFormat="1" ht="11.25" customHeight="1" x14ac:dyDescent="0.55000000000000004">
      <c r="B2311" s="30" t="s">
        <v>4656</v>
      </c>
      <c r="C2311" s="30" t="s">
        <v>4657</v>
      </c>
      <c r="D2311" s="32">
        <v>81531</v>
      </c>
      <c r="E2311" s="30" t="s">
        <v>20</v>
      </c>
      <c r="F2311" s="30"/>
      <c r="G2311" s="30" t="s">
        <v>39</v>
      </c>
      <c r="H2311" s="30" t="s">
        <v>48</v>
      </c>
      <c r="I2311" s="31">
        <v>116348.5</v>
      </c>
    </row>
    <row r="2312" spans="2:9" s="6" customFormat="1" ht="11.25" customHeight="1" x14ac:dyDescent="0.55000000000000004">
      <c r="B2312" s="30" t="s">
        <v>4658</v>
      </c>
      <c r="C2312" s="30" t="s">
        <v>4659</v>
      </c>
      <c r="D2312" s="32">
        <v>63738</v>
      </c>
      <c r="E2312" s="30" t="s">
        <v>15</v>
      </c>
      <c r="F2312" s="30" t="s">
        <v>2067</v>
      </c>
      <c r="G2312" s="30"/>
      <c r="H2312" s="30" t="s">
        <v>124</v>
      </c>
      <c r="I2312" s="31" t="s">
        <v>29</v>
      </c>
    </row>
    <row r="2313" spans="2:9" s="6" customFormat="1" ht="11.25" customHeight="1" x14ac:dyDescent="0.55000000000000004">
      <c r="B2313" s="30" t="s">
        <v>4660</v>
      </c>
      <c r="C2313" s="30" t="s">
        <v>4661</v>
      </c>
      <c r="D2313" s="32">
        <v>11151</v>
      </c>
      <c r="E2313" s="30" t="s">
        <v>15</v>
      </c>
      <c r="F2313" s="30"/>
      <c r="G2313" s="30"/>
      <c r="H2313" s="30" t="s">
        <v>113</v>
      </c>
      <c r="I2313" s="31" t="s">
        <v>29</v>
      </c>
    </row>
    <row r="2314" spans="2:9" s="6" customFormat="1" ht="11.25" customHeight="1" x14ac:dyDescent="0.55000000000000004">
      <c r="B2314" s="30" t="s">
        <v>4662</v>
      </c>
      <c r="C2314" s="30" t="s">
        <v>4663</v>
      </c>
      <c r="D2314" s="32">
        <v>89518</v>
      </c>
      <c r="E2314" s="30" t="s">
        <v>15</v>
      </c>
      <c r="F2314" s="30" t="s">
        <v>568</v>
      </c>
      <c r="G2314" s="30" t="s">
        <v>21</v>
      </c>
      <c r="H2314" s="30" t="s">
        <v>26</v>
      </c>
      <c r="I2314" s="31" t="s">
        <v>29</v>
      </c>
    </row>
    <row r="2315" spans="2:9" s="6" customFormat="1" ht="11.25" customHeight="1" x14ac:dyDescent="0.55000000000000004">
      <c r="B2315" s="30" t="s">
        <v>4664</v>
      </c>
      <c r="C2315" s="30" t="s">
        <v>4665</v>
      </c>
      <c r="D2315" s="32">
        <v>89613</v>
      </c>
      <c r="E2315" s="30" t="s">
        <v>15</v>
      </c>
      <c r="F2315" s="30"/>
      <c r="G2315" s="30"/>
      <c r="H2315" s="30" t="s">
        <v>48</v>
      </c>
      <c r="I2315" s="31" t="s">
        <v>29</v>
      </c>
    </row>
    <row r="2316" spans="2:9" s="6" customFormat="1" ht="11.25" customHeight="1" x14ac:dyDescent="0.55000000000000004">
      <c r="B2316" s="30" t="s">
        <v>4666</v>
      </c>
      <c r="C2316" s="30" t="s">
        <v>4667</v>
      </c>
      <c r="D2316" s="32">
        <v>13588</v>
      </c>
      <c r="E2316" s="30" t="s">
        <v>20</v>
      </c>
      <c r="F2316" s="30" t="s">
        <v>3404</v>
      </c>
      <c r="G2316" s="30" t="s">
        <v>35</v>
      </c>
      <c r="H2316" s="30" t="s">
        <v>96</v>
      </c>
      <c r="I2316" s="31">
        <v>174611.92500000002</v>
      </c>
    </row>
    <row r="2317" spans="2:9" s="6" customFormat="1" ht="11.25" customHeight="1" x14ac:dyDescent="0.55000000000000004">
      <c r="B2317" s="30" t="s">
        <v>4668</v>
      </c>
      <c r="C2317" s="30" t="s">
        <v>4669</v>
      </c>
      <c r="D2317" s="32">
        <v>68632</v>
      </c>
      <c r="E2317" s="30" t="s">
        <v>20</v>
      </c>
      <c r="F2317" s="30" t="s">
        <v>3404</v>
      </c>
      <c r="G2317" s="30" t="s">
        <v>35</v>
      </c>
      <c r="H2317" s="30" t="s">
        <v>96</v>
      </c>
      <c r="I2317" s="31">
        <v>565096.51800000004</v>
      </c>
    </row>
    <row r="2318" spans="2:9" s="6" customFormat="1" ht="11.25" customHeight="1" x14ac:dyDescent="0.55000000000000004">
      <c r="B2318" s="30" t="s">
        <v>4670</v>
      </c>
      <c r="C2318" s="30" t="s">
        <v>4671</v>
      </c>
      <c r="D2318" s="32">
        <v>70238</v>
      </c>
      <c r="E2318" s="30" t="s">
        <v>20</v>
      </c>
      <c r="F2318" s="30" t="s">
        <v>116</v>
      </c>
      <c r="G2318" s="30" t="s">
        <v>155</v>
      </c>
      <c r="H2318" s="30" t="s">
        <v>113</v>
      </c>
      <c r="I2318" s="31">
        <v>85830014.702000007</v>
      </c>
    </row>
    <row r="2319" spans="2:9" s="6" customFormat="1" ht="11.25" customHeight="1" x14ac:dyDescent="0.55000000000000004">
      <c r="B2319" s="30" t="s">
        <v>4672</v>
      </c>
      <c r="C2319" s="30" t="s">
        <v>4673</v>
      </c>
      <c r="D2319" s="32">
        <v>70238</v>
      </c>
      <c r="E2319" s="30" t="s">
        <v>20</v>
      </c>
      <c r="F2319" s="30"/>
      <c r="G2319" s="30"/>
      <c r="H2319" s="30" t="s">
        <v>113</v>
      </c>
      <c r="I2319" s="31" t="s">
        <v>29</v>
      </c>
    </row>
    <row r="2320" spans="2:9" s="6" customFormat="1" ht="11.25" customHeight="1" x14ac:dyDescent="0.55000000000000004">
      <c r="B2320" s="30" t="s">
        <v>4674</v>
      </c>
      <c r="C2320" s="30" t="s">
        <v>4675</v>
      </c>
      <c r="D2320" s="32">
        <v>70238</v>
      </c>
      <c r="E2320" s="30" t="s">
        <v>20</v>
      </c>
      <c r="F2320" s="30"/>
      <c r="G2320" s="30"/>
      <c r="H2320" s="30" t="s">
        <v>113</v>
      </c>
      <c r="I2320" s="31" t="s">
        <v>29</v>
      </c>
    </row>
    <row r="2321" spans="2:9" s="6" customFormat="1" ht="11.25" customHeight="1" x14ac:dyDescent="0.55000000000000004">
      <c r="B2321" s="30" t="s">
        <v>4676</v>
      </c>
      <c r="C2321" s="30" t="s">
        <v>4677</v>
      </c>
      <c r="D2321" s="32">
        <v>70238</v>
      </c>
      <c r="E2321" s="30" t="s">
        <v>20</v>
      </c>
      <c r="F2321" s="30"/>
      <c r="G2321" s="30"/>
      <c r="H2321" s="30" t="s">
        <v>113</v>
      </c>
      <c r="I2321" s="31" t="s">
        <v>29</v>
      </c>
    </row>
    <row r="2322" spans="2:9" s="6" customFormat="1" ht="11.25" customHeight="1" x14ac:dyDescent="0.55000000000000004">
      <c r="B2322" s="30" t="s">
        <v>4678</v>
      </c>
      <c r="C2322" s="30" t="s">
        <v>4679</v>
      </c>
      <c r="D2322" s="32">
        <v>80942</v>
      </c>
      <c r="E2322" s="30" t="s">
        <v>20</v>
      </c>
      <c r="F2322" s="30"/>
      <c r="G2322" s="30" t="s">
        <v>155</v>
      </c>
      <c r="H2322" s="30" t="s">
        <v>75</v>
      </c>
      <c r="I2322" s="31">
        <v>50251784.592</v>
      </c>
    </row>
    <row r="2323" spans="2:9" s="6" customFormat="1" ht="11.25" customHeight="1" x14ac:dyDescent="0.55000000000000004">
      <c r="B2323" s="30" t="s">
        <v>4680</v>
      </c>
      <c r="C2323" s="30" t="s">
        <v>4681</v>
      </c>
      <c r="D2323" s="32">
        <v>80942</v>
      </c>
      <c r="E2323" s="30" t="s">
        <v>20</v>
      </c>
      <c r="F2323" s="30"/>
      <c r="G2323" s="30"/>
      <c r="H2323" s="30" t="s">
        <v>75</v>
      </c>
      <c r="I2323" s="31" t="s">
        <v>29</v>
      </c>
    </row>
    <row r="2324" spans="2:9" s="6" customFormat="1" ht="11.25" customHeight="1" x14ac:dyDescent="0.55000000000000004">
      <c r="B2324" s="30" t="s">
        <v>4682</v>
      </c>
      <c r="C2324" s="30" t="s">
        <v>4683</v>
      </c>
      <c r="D2324" s="32">
        <v>80942</v>
      </c>
      <c r="E2324" s="30" t="s">
        <v>20</v>
      </c>
      <c r="F2324" s="30"/>
      <c r="G2324" s="30"/>
      <c r="H2324" s="30" t="s">
        <v>75</v>
      </c>
      <c r="I2324" s="31" t="s">
        <v>29</v>
      </c>
    </row>
    <row r="2325" spans="2:9" s="6" customFormat="1" ht="11.25" customHeight="1" x14ac:dyDescent="0.55000000000000004">
      <c r="B2325" s="30" t="s">
        <v>4684</v>
      </c>
      <c r="C2325" s="30" t="s">
        <v>4685</v>
      </c>
      <c r="D2325" s="32">
        <v>80942</v>
      </c>
      <c r="E2325" s="30" t="s">
        <v>20</v>
      </c>
      <c r="F2325" s="30"/>
      <c r="G2325" s="30"/>
      <c r="H2325" s="30" t="s">
        <v>75</v>
      </c>
      <c r="I2325" s="31" t="s">
        <v>29</v>
      </c>
    </row>
    <row r="2326" spans="2:9" s="6" customFormat="1" ht="11.25" customHeight="1" x14ac:dyDescent="0.55000000000000004">
      <c r="B2326" s="30" t="s">
        <v>4686</v>
      </c>
      <c r="C2326" s="30" t="s">
        <v>4687</v>
      </c>
      <c r="D2326" s="32">
        <v>99104</v>
      </c>
      <c r="E2326" s="30" t="s">
        <v>15</v>
      </c>
      <c r="F2326" s="30"/>
      <c r="G2326" s="30" t="s">
        <v>80</v>
      </c>
      <c r="H2326" s="30" t="s">
        <v>113</v>
      </c>
      <c r="I2326" s="31" t="s">
        <v>29</v>
      </c>
    </row>
    <row r="2327" spans="2:9" s="6" customFormat="1" ht="11.25" customHeight="1" x14ac:dyDescent="0.55000000000000004">
      <c r="B2327" s="30" t="s">
        <v>4688</v>
      </c>
      <c r="C2327" s="30" t="s">
        <v>4689</v>
      </c>
      <c r="D2327" s="32">
        <v>93650</v>
      </c>
      <c r="E2327" s="30" t="s">
        <v>20</v>
      </c>
      <c r="F2327" s="30" t="s">
        <v>1613</v>
      </c>
      <c r="G2327" s="30" t="s">
        <v>80</v>
      </c>
      <c r="H2327" s="30" t="s">
        <v>66</v>
      </c>
      <c r="I2327" s="31">
        <v>6435.7790000000005</v>
      </c>
    </row>
    <row r="2328" spans="2:9" s="6" customFormat="1" ht="11.25" customHeight="1" x14ac:dyDescent="0.55000000000000004">
      <c r="B2328" s="30" t="s">
        <v>4690</v>
      </c>
      <c r="C2328" s="30" t="s">
        <v>4691</v>
      </c>
      <c r="D2328" s="32">
        <v>81027</v>
      </c>
      <c r="E2328" s="30" t="s">
        <v>15</v>
      </c>
      <c r="F2328" s="30" t="s">
        <v>62</v>
      </c>
      <c r="G2328" s="30" t="s">
        <v>25</v>
      </c>
      <c r="H2328" s="30" t="s">
        <v>75</v>
      </c>
      <c r="I2328" s="31" t="s">
        <v>29</v>
      </c>
    </row>
    <row r="2329" spans="2:9" s="6" customFormat="1" ht="11.25" customHeight="1" x14ac:dyDescent="0.55000000000000004">
      <c r="B2329" s="30" t="s">
        <v>4692</v>
      </c>
      <c r="C2329" s="30" t="s">
        <v>4693</v>
      </c>
      <c r="D2329" s="32">
        <v>70246</v>
      </c>
      <c r="E2329" s="30" t="s">
        <v>15</v>
      </c>
      <c r="F2329" s="30" t="s">
        <v>526</v>
      </c>
      <c r="G2329" s="30"/>
      <c r="H2329" s="30" t="s">
        <v>500</v>
      </c>
      <c r="I2329" s="31" t="s">
        <v>29</v>
      </c>
    </row>
    <row r="2330" spans="2:9" s="6" customFormat="1" ht="11.25" customHeight="1" x14ac:dyDescent="0.55000000000000004">
      <c r="B2330" s="30" t="s">
        <v>1124</v>
      </c>
      <c r="C2330" s="30" t="s">
        <v>4694</v>
      </c>
      <c r="D2330" s="32" t="s">
        <v>29</v>
      </c>
      <c r="E2330" s="30" t="s">
        <v>20</v>
      </c>
      <c r="F2330" s="30" t="s">
        <v>1124</v>
      </c>
      <c r="G2330" s="30" t="s">
        <v>155</v>
      </c>
      <c r="H2330" s="30" t="s">
        <v>124</v>
      </c>
      <c r="I2330" s="31">
        <v>150100513.25999999</v>
      </c>
    </row>
    <row r="2331" spans="2:9" s="6" customFormat="1" ht="11.25" customHeight="1" x14ac:dyDescent="0.55000000000000004">
      <c r="B2331" s="30" t="s">
        <v>4695</v>
      </c>
      <c r="C2331" s="30" t="s">
        <v>4696</v>
      </c>
      <c r="D2331" s="32" t="s">
        <v>29</v>
      </c>
      <c r="E2331" s="30" t="s">
        <v>20</v>
      </c>
      <c r="F2331" s="30"/>
      <c r="G2331" s="30"/>
      <c r="H2331" s="30" t="s">
        <v>124</v>
      </c>
      <c r="I2331" s="31" t="s">
        <v>29</v>
      </c>
    </row>
    <row r="2332" spans="2:9" s="6" customFormat="1" ht="11.25" customHeight="1" x14ac:dyDescent="0.55000000000000004">
      <c r="B2332" s="30" t="s">
        <v>4697</v>
      </c>
      <c r="C2332" s="30" t="s">
        <v>4698</v>
      </c>
      <c r="D2332" s="32">
        <v>86509</v>
      </c>
      <c r="E2332" s="30" t="s">
        <v>20</v>
      </c>
      <c r="F2332" s="30" t="s">
        <v>1124</v>
      </c>
      <c r="G2332" s="30" t="s">
        <v>155</v>
      </c>
      <c r="H2332" s="30" t="s">
        <v>96</v>
      </c>
      <c r="I2332" s="31">
        <v>112248435.722</v>
      </c>
    </row>
    <row r="2333" spans="2:9" s="6" customFormat="1" ht="11.25" customHeight="1" x14ac:dyDescent="0.55000000000000004">
      <c r="B2333" s="30" t="s">
        <v>4699</v>
      </c>
      <c r="C2333" s="30" t="s">
        <v>4700</v>
      </c>
      <c r="D2333" s="32">
        <v>86509</v>
      </c>
      <c r="E2333" s="30" t="s">
        <v>20</v>
      </c>
      <c r="F2333" s="30"/>
      <c r="G2333" s="30"/>
      <c r="H2333" s="30" t="s">
        <v>96</v>
      </c>
      <c r="I2333" s="31" t="s">
        <v>29</v>
      </c>
    </row>
    <row r="2334" spans="2:9" s="6" customFormat="1" ht="11.25" customHeight="1" x14ac:dyDescent="0.55000000000000004">
      <c r="B2334" s="30" t="s">
        <v>4701</v>
      </c>
      <c r="C2334" s="30" t="s">
        <v>4702</v>
      </c>
      <c r="D2334" s="32">
        <v>86509</v>
      </c>
      <c r="E2334" s="30" t="s">
        <v>20</v>
      </c>
      <c r="F2334" s="30"/>
      <c r="G2334" s="30"/>
      <c r="H2334" s="30" t="s">
        <v>96</v>
      </c>
      <c r="I2334" s="31" t="s">
        <v>29</v>
      </c>
    </row>
    <row r="2335" spans="2:9" s="6" customFormat="1" ht="11.25" customHeight="1" x14ac:dyDescent="0.55000000000000004">
      <c r="B2335" s="30" t="s">
        <v>4703</v>
      </c>
      <c r="C2335" s="30" t="s">
        <v>4704</v>
      </c>
      <c r="D2335" s="32">
        <v>71196</v>
      </c>
      <c r="E2335" s="30" t="s">
        <v>15</v>
      </c>
      <c r="F2335" s="30" t="s">
        <v>307</v>
      </c>
      <c r="G2335" s="30"/>
      <c r="H2335" s="30" t="s">
        <v>108</v>
      </c>
      <c r="I2335" s="31" t="s">
        <v>29</v>
      </c>
    </row>
    <row r="2336" spans="2:9" s="6" customFormat="1" ht="11.25" customHeight="1" x14ac:dyDescent="0.55000000000000004">
      <c r="B2336" s="30" t="s">
        <v>4705</v>
      </c>
      <c r="C2336" s="30" t="s">
        <v>4706</v>
      </c>
      <c r="D2336" s="32">
        <v>66699</v>
      </c>
      <c r="E2336" s="30" t="s">
        <v>15</v>
      </c>
      <c r="F2336" s="30" t="s">
        <v>307</v>
      </c>
      <c r="G2336" s="30"/>
      <c r="H2336" s="30" t="s">
        <v>108</v>
      </c>
      <c r="I2336" s="31" t="s">
        <v>29</v>
      </c>
    </row>
    <row r="2337" spans="2:9" s="6" customFormat="1" ht="11.25" customHeight="1" x14ac:dyDescent="0.55000000000000004">
      <c r="B2337" s="30" t="s">
        <v>4707</v>
      </c>
      <c r="C2337" s="30" t="s">
        <v>4708</v>
      </c>
      <c r="D2337" s="32">
        <v>70262</v>
      </c>
      <c r="E2337" s="30" t="s">
        <v>15</v>
      </c>
      <c r="F2337" s="30" t="s">
        <v>709</v>
      </c>
      <c r="G2337" s="30"/>
      <c r="H2337" s="30" t="s">
        <v>150</v>
      </c>
      <c r="I2337" s="31" t="s">
        <v>29</v>
      </c>
    </row>
    <row r="2338" spans="2:9" s="6" customFormat="1" ht="11.25" customHeight="1" x14ac:dyDescent="0.55000000000000004">
      <c r="B2338" s="30" t="s">
        <v>4709</v>
      </c>
      <c r="C2338" s="30" t="s">
        <v>4710</v>
      </c>
      <c r="D2338" s="32">
        <v>92436</v>
      </c>
      <c r="E2338" s="30" t="s">
        <v>15</v>
      </c>
      <c r="F2338" s="30" t="s">
        <v>709</v>
      </c>
      <c r="G2338" s="30"/>
      <c r="H2338" s="30" t="s">
        <v>150</v>
      </c>
      <c r="I2338" s="31" t="s">
        <v>29</v>
      </c>
    </row>
    <row r="2339" spans="2:9" s="6" customFormat="1" ht="11.25" customHeight="1" x14ac:dyDescent="0.55000000000000004">
      <c r="B2339" s="30" t="s">
        <v>4711</v>
      </c>
      <c r="C2339" s="30" t="s">
        <v>4712</v>
      </c>
      <c r="D2339" s="32">
        <v>79588</v>
      </c>
      <c r="E2339" s="30" t="s">
        <v>15</v>
      </c>
      <c r="F2339" s="30"/>
      <c r="G2339" s="30"/>
      <c r="H2339" s="30" t="s">
        <v>22</v>
      </c>
      <c r="I2339" s="31" t="s">
        <v>29</v>
      </c>
    </row>
    <row r="2340" spans="2:9" s="6" customFormat="1" ht="11.25" customHeight="1" x14ac:dyDescent="0.55000000000000004">
      <c r="B2340" s="30" t="s">
        <v>4713</v>
      </c>
      <c r="C2340" s="30" t="s">
        <v>4714</v>
      </c>
      <c r="D2340" s="32">
        <v>70300</v>
      </c>
      <c r="E2340" s="30" t="s">
        <v>15</v>
      </c>
      <c r="F2340" s="30"/>
      <c r="G2340" s="30"/>
      <c r="H2340" s="30" t="s">
        <v>66</v>
      </c>
      <c r="I2340" s="31" t="s">
        <v>29</v>
      </c>
    </row>
    <row r="2341" spans="2:9" s="6" customFormat="1" ht="11.25" customHeight="1" x14ac:dyDescent="0.55000000000000004">
      <c r="B2341" s="30" t="s">
        <v>4715</v>
      </c>
      <c r="C2341" s="30" t="s">
        <v>4716</v>
      </c>
      <c r="D2341" s="32">
        <v>70319</v>
      </c>
      <c r="E2341" s="30" t="s">
        <v>20</v>
      </c>
      <c r="F2341" s="30" t="s">
        <v>709</v>
      </c>
      <c r="G2341" s="30" t="s">
        <v>39</v>
      </c>
      <c r="H2341" s="30" t="s">
        <v>150</v>
      </c>
      <c r="I2341" s="31">
        <v>5604249.159</v>
      </c>
    </row>
    <row r="2342" spans="2:9" s="6" customFormat="1" ht="11.25" customHeight="1" x14ac:dyDescent="0.55000000000000004">
      <c r="B2342" s="30" t="s">
        <v>4717</v>
      </c>
      <c r="C2342" s="30" t="s">
        <v>4718</v>
      </c>
      <c r="D2342" s="32">
        <v>70319</v>
      </c>
      <c r="E2342" s="30" t="s">
        <v>20</v>
      </c>
      <c r="F2342" s="30"/>
      <c r="G2342" s="30"/>
      <c r="H2342" s="30" t="s">
        <v>150</v>
      </c>
      <c r="I2342" s="31" t="s">
        <v>29</v>
      </c>
    </row>
    <row r="2343" spans="2:9" s="6" customFormat="1" ht="11.25" customHeight="1" x14ac:dyDescent="0.55000000000000004">
      <c r="B2343" s="30" t="s">
        <v>4719</v>
      </c>
      <c r="C2343" s="30" t="s">
        <v>4720</v>
      </c>
      <c r="D2343" s="32">
        <v>70319</v>
      </c>
      <c r="E2343" s="30" t="s">
        <v>20</v>
      </c>
      <c r="F2343" s="30"/>
      <c r="G2343" s="30"/>
      <c r="H2343" s="30" t="s">
        <v>150</v>
      </c>
      <c r="I2343" s="31" t="s">
        <v>29</v>
      </c>
    </row>
    <row r="2344" spans="2:9" s="6" customFormat="1" ht="11.25" customHeight="1" x14ac:dyDescent="0.55000000000000004">
      <c r="B2344" s="30" t="s">
        <v>4721</v>
      </c>
      <c r="C2344" s="30" t="s">
        <v>4722</v>
      </c>
      <c r="D2344" s="32">
        <v>63649</v>
      </c>
      <c r="E2344" s="30" t="s">
        <v>15</v>
      </c>
      <c r="F2344" s="30"/>
      <c r="G2344" s="30"/>
      <c r="H2344" s="30" t="s">
        <v>22</v>
      </c>
      <c r="I2344" s="31" t="s">
        <v>29</v>
      </c>
    </row>
    <row r="2345" spans="2:9" s="6" customFormat="1" ht="11.25" customHeight="1" x14ac:dyDescent="0.55000000000000004">
      <c r="B2345" s="30" t="s">
        <v>4723</v>
      </c>
      <c r="C2345" s="30" t="s">
        <v>4724</v>
      </c>
      <c r="D2345" s="32">
        <v>92053</v>
      </c>
      <c r="E2345" s="30" t="s">
        <v>15</v>
      </c>
      <c r="F2345" s="30"/>
      <c r="G2345" s="30" t="s">
        <v>80</v>
      </c>
      <c r="H2345" s="30" t="s">
        <v>655</v>
      </c>
      <c r="I2345" s="31" t="s">
        <v>29</v>
      </c>
    </row>
    <row r="2346" spans="2:9" s="6" customFormat="1" ht="11.25" customHeight="1" x14ac:dyDescent="0.55000000000000004">
      <c r="B2346" s="30" t="s">
        <v>4725</v>
      </c>
      <c r="C2346" s="30" t="s">
        <v>4726</v>
      </c>
      <c r="D2346" s="32">
        <v>86150</v>
      </c>
      <c r="E2346" s="30" t="s">
        <v>15</v>
      </c>
      <c r="F2346" s="30"/>
      <c r="G2346" s="30"/>
      <c r="H2346" s="30" t="s">
        <v>146</v>
      </c>
      <c r="I2346" s="31" t="s">
        <v>29</v>
      </c>
    </row>
    <row r="2347" spans="2:9" s="6" customFormat="1" ht="11.25" customHeight="1" x14ac:dyDescent="0.55000000000000004">
      <c r="B2347" s="30" t="s">
        <v>4727</v>
      </c>
      <c r="C2347" s="30" t="s">
        <v>4728</v>
      </c>
      <c r="D2347" s="32">
        <v>72273</v>
      </c>
      <c r="E2347" s="30" t="s">
        <v>20</v>
      </c>
      <c r="F2347" s="30"/>
      <c r="G2347" s="30" t="s">
        <v>21</v>
      </c>
      <c r="H2347" s="30" t="s">
        <v>146</v>
      </c>
      <c r="I2347" s="31">
        <v>701849.85</v>
      </c>
    </row>
    <row r="2348" spans="2:9" s="6" customFormat="1" ht="11.25" customHeight="1" x14ac:dyDescent="0.55000000000000004">
      <c r="B2348" s="30" t="s">
        <v>4729</v>
      </c>
      <c r="C2348" s="30" t="s">
        <v>4730</v>
      </c>
      <c r="D2348" s="32">
        <v>82562</v>
      </c>
      <c r="E2348" s="30" t="s">
        <v>15</v>
      </c>
      <c r="F2348" s="30"/>
      <c r="G2348" s="30"/>
      <c r="H2348" s="30" t="s">
        <v>113</v>
      </c>
      <c r="I2348" s="31" t="s">
        <v>29</v>
      </c>
    </row>
    <row r="2349" spans="2:9" s="6" customFormat="1" ht="11.25" customHeight="1" x14ac:dyDescent="0.55000000000000004">
      <c r="B2349" s="30" t="s">
        <v>4731</v>
      </c>
      <c r="C2349" s="30" t="s">
        <v>4732</v>
      </c>
      <c r="D2349" s="32">
        <v>70335</v>
      </c>
      <c r="E2349" s="30" t="s">
        <v>20</v>
      </c>
      <c r="F2349" s="30" t="s">
        <v>970</v>
      </c>
      <c r="G2349" s="30" t="s">
        <v>16</v>
      </c>
      <c r="H2349" s="30" t="s">
        <v>48</v>
      </c>
      <c r="I2349" s="31">
        <v>5347951.6770000001</v>
      </c>
    </row>
    <row r="2350" spans="2:9" s="6" customFormat="1" ht="11.25" customHeight="1" x14ac:dyDescent="0.55000000000000004">
      <c r="B2350" s="30" t="s">
        <v>4733</v>
      </c>
      <c r="C2350" s="30" t="s">
        <v>4734</v>
      </c>
      <c r="D2350" s="32">
        <v>70335</v>
      </c>
      <c r="E2350" s="30" t="s">
        <v>20</v>
      </c>
      <c r="F2350" s="30"/>
      <c r="G2350" s="30"/>
      <c r="H2350" s="30" t="s">
        <v>48</v>
      </c>
      <c r="I2350" s="31" t="s">
        <v>29</v>
      </c>
    </row>
    <row r="2351" spans="2:9" s="6" customFormat="1" ht="11.25" customHeight="1" x14ac:dyDescent="0.55000000000000004">
      <c r="B2351" s="30" t="s">
        <v>4735</v>
      </c>
      <c r="C2351" s="30" t="s">
        <v>4736</v>
      </c>
      <c r="D2351" s="32">
        <v>70335</v>
      </c>
      <c r="E2351" s="30" t="s">
        <v>20</v>
      </c>
      <c r="F2351" s="30"/>
      <c r="G2351" s="30"/>
      <c r="H2351" s="30" t="s">
        <v>48</v>
      </c>
      <c r="I2351" s="31" t="s">
        <v>29</v>
      </c>
    </row>
    <row r="2352" spans="2:9" s="6" customFormat="1" ht="11.25" customHeight="1" x14ac:dyDescent="0.55000000000000004">
      <c r="B2352" s="30" t="s">
        <v>4737</v>
      </c>
      <c r="C2352" s="30" t="s">
        <v>4738</v>
      </c>
      <c r="D2352" s="32">
        <v>92940</v>
      </c>
      <c r="E2352" s="30" t="s">
        <v>15</v>
      </c>
      <c r="F2352" s="30"/>
      <c r="G2352" s="30"/>
      <c r="H2352" s="30" t="s">
        <v>2498</v>
      </c>
      <c r="I2352" s="31" t="s">
        <v>29</v>
      </c>
    </row>
    <row r="2353" spans="2:9" s="6" customFormat="1" ht="11.25" customHeight="1" x14ac:dyDescent="0.55000000000000004">
      <c r="B2353" s="30" t="s">
        <v>4739</v>
      </c>
      <c r="C2353" s="30" t="s">
        <v>4740</v>
      </c>
      <c r="D2353" s="32">
        <v>78468</v>
      </c>
      <c r="E2353" s="30" t="s">
        <v>15</v>
      </c>
      <c r="F2353" s="30"/>
      <c r="G2353" s="30"/>
      <c r="H2353" s="30" t="s">
        <v>113</v>
      </c>
      <c r="I2353" s="31" t="s">
        <v>29</v>
      </c>
    </row>
    <row r="2354" spans="2:9" s="6" customFormat="1" ht="11.25" customHeight="1" x14ac:dyDescent="0.55000000000000004">
      <c r="B2354" s="30" t="s">
        <v>1127</v>
      </c>
      <c r="C2354" s="30" t="s">
        <v>4741</v>
      </c>
      <c r="D2354" s="32" t="s">
        <v>29</v>
      </c>
      <c r="E2354" s="30" t="s">
        <v>20</v>
      </c>
      <c r="F2354" s="30" t="s">
        <v>1127</v>
      </c>
      <c r="G2354" s="30" t="s">
        <v>155</v>
      </c>
      <c r="H2354" s="30" t="s">
        <v>313</v>
      </c>
      <c r="I2354" s="31">
        <v>50730658.442000002</v>
      </c>
    </row>
    <row r="2355" spans="2:9" s="6" customFormat="1" ht="11.25" customHeight="1" x14ac:dyDescent="0.55000000000000004">
      <c r="B2355" s="30" t="s">
        <v>4742</v>
      </c>
      <c r="C2355" s="30" t="s">
        <v>4743</v>
      </c>
      <c r="D2355" s="32" t="s">
        <v>29</v>
      </c>
      <c r="E2355" s="30" t="s">
        <v>20</v>
      </c>
      <c r="F2355" s="30"/>
      <c r="G2355" s="30"/>
      <c r="H2355" s="30" t="s">
        <v>313</v>
      </c>
      <c r="I2355" s="31" t="s">
        <v>29</v>
      </c>
    </row>
    <row r="2356" spans="2:9" s="6" customFormat="1" ht="11.25" customHeight="1" x14ac:dyDescent="0.55000000000000004">
      <c r="B2356" s="30" t="s">
        <v>4744</v>
      </c>
      <c r="C2356" s="30" t="s">
        <v>4745</v>
      </c>
      <c r="D2356" s="32">
        <v>70483</v>
      </c>
      <c r="E2356" s="30" t="s">
        <v>20</v>
      </c>
      <c r="F2356" s="30" t="s">
        <v>1127</v>
      </c>
      <c r="G2356" s="30" t="s">
        <v>35</v>
      </c>
      <c r="H2356" s="30" t="s">
        <v>313</v>
      </c>
      <c r="I2356" s="31">
        <v>10903120.299000001</v>
      </c>
    </row>
    <row r="2357" spans="2:9" s="6" customFormat="1" ht="11.25" customHeight="1" x14ac:dyDescent="0.55000000000000004">
      <c r="B2357" s="30" t="s">
        <v>4746</v>
      </c>
      <c r="C2357" s="30" t="s">
        <v>4747</v>
      </c>
      <c r="D2357" s="32">
        <v>70483</v>
      </c>
      <c r="E2357" s="30" t="s">
        <v>20</v>
      </c>
      <c r="F2357" s="30"/>
      <c r="G2357" s="30"/>
      <c r="H2357" s="30" t="s">
        <v>313</v>
      </c>
      <c r="I2357" s="31" t="s">
        <v>29</v>
      </c>
    </row>
    <row r="2358" spans="2:9" s="6" customFormat="1" ht="11.25" customHeight="1" x14ac:dyDescent="0.55000000000000004">
      <c r="B2358" s="30" t="s">
        <v>4748</v>
      </c>
      <c r="C2358" s="30" t="s">
        <v>4749</v>
      </c>
      <c r="D2358" s="32">
        <v>70483</v>
      </c>
      <c r="E2358" s="30" t="s">
        <v>20</v>
      </c>
      <c r="F2358" s="30"/>
      <c r="G2358" s="30"/>
      <c r="H2358" s="30" t="s">
        <v>313</v>
      </c>
      <c r="I2358" s="31" t="s">
        <v>29</v>
      </c>
    </row>
    <row r="2359" spans="2:9" s="6" customFormat="1" ht="11.25" customHeight="1" x14ac:dyDescent="0.55000000000000004">
      <c r="B2359" s="30" t="s">
        <v>4750</v>
      </c>
      <c r="C2359" s="30" t="s">
        <v>4751</v>
      </c>
      <c r="D2359" s="32">
        <v>80993</v>
      </c>
      <c r="E2359" s="30" t="s">
        <v>20</v>
      </c>
      <c r="F2359" s="30" t="s">
        <v>942</v>
      </c>
      <c r="G2359" s="30" t="s">
        <v>35</v>
      </c>
      <c r="H2359" s="30" t="s">
        <v>113</v>
      </c>
      <c r="I2359" s="31">
        <v>25850.206000000002</v>
      </c>
    </row>
    <row r="2360" spans="2:9" s="6" customFormat="1" ht="11.25" customHeight="1" x14ac:dyDescent="0.55000000000000004">
      <c r="B2360" s="30" t="s">
        <v>4752</v>
      </c>
      <c r="C2360" s="30" t="s">
        <v>4753</v>
      </c>
      <c r="D2360" s="32">
        <v>74713</v>
      </c>
      <c r="E2360" s="30" t="s">
        <v>15</v>
      </c>
      <c r="F2360" s="30"/>
      <c r="G2360" s="30"/>
      <c r="H2360" s="30" t="s">
        <v>239</v>
      </c>
      <c r="I2360" s="31" t="s">
        <v>29</v>
      </c>
    </row>
    <row r="2361" spans="2:9" s="6" customFormat="1" ht="11.25" customHeight="1" x14ac:dyDescent="0.55000000000000004">
      <c r="B2361" s="30" t="s">
        <v>4754</v>
      </c>
      <c r="C2361" s="30" t="s">
        <v>4755</v>
      </c>
      <c r="D2361" s="32">
        <v>70378</v>
      </c>
      <c r="E2361" s="30" t="s">
        <v>15</v>
      </c>
      <c r="F2361" s="30" t="s">
        <v>1508</v>
      </c>
      <c r="G2361" s="30"/>
      <c r="H2361" s="30" t="s">
        <v>63</v>
      </c>
      <c r="I2361" s="31" t="s">
        <v>29</v>
      </c>
    </row>
    <row r="2362" spans="2:9" s="6" customFormat="1" ht="11.25" customHeight="1" x14ac:dyDescent="0.55000000000000004">
      <c r="B2362" s="30" t="s">
        <v>4756</v>
      </c>
      <c r="C2362" s="30" t="s">
        <v>4757</v>
      </c>
      <c r="D2362" s="32">
        <v>70386</v>
      </c>
      <c r="E2362" s="30" t="s">
        <v>15</v>
      </c>
      <c r="F2362" s="30"/>
      <c r="G2362" s="30"/>
      <c r="H2362" s="30" t="s">
        <v>113</v>
      </c>
      <c r="I2362" s="31" t="s">
        <v>29</v>
      </c>
    </row>
    <row r="2363" spans="2:9" s="6" customFormat="1" ht="11.25" customHeight="1" x14ac:dyDescent="0.55000000000000004">
      <c r="B2363" s="30" t="s">
        <v>4758</v>
      </c>
      <c r="C2363" s="30" t="s">
        <v>4759</v>
      </c>
      <c r="D2363" s="32">
        <v>98132</v>
      </c>
      <c r="E2363" s="30" t="s">
        <v>15</v>
      </c>
      <c r="F2363" s="30" t="s">
        <v>970</v>
      </c>
      <c r="G2363" s="30"/>
      <c r="H2363" s="30" t="s">
        <v>429</v>
      </c>
      <c r="I2363" s="31" t="s">
        <v>29</v>
      </c>
    </row>
    <row r="2364" spans="2:9" s="6" customFormat="1" ht="11.25" customHeight="1" x14ac:dyDescent="0.55000000000000004">
      <c r="B2364" s="30" t="s">
        <v>4760</v>
      </c>
      <c r="C2364" s="30" t="s">
        <v>4761</v>
      </c>
      <c r="D2364" s="32">
        <v>70432</v>
      </c>
      <c r="E2364" s="30" t="s">
        <v>15</v>
      </c>
      <c r="F2364" s="30" t="s">
        <v>116</v>
      </c>
      <c r="G2364" s="30" t="s">
        <v>155</v>
      </c>
      <c r="H2364" s="30" t="s">
        <v>113</v>
      </c>
      <c r="I2364" s="31" t="s">
        <v>29</v>
      </c>
    </row>
    <row r="2365" spans="2:9" s="6" customFormat="1" ht="11.25" customHeight="1" x14ac:dyDescent="0.55000000000000004">
      <c r="B2365" s="30" t="s">
        <v>4762</v>
      </c>
      <c r="C2365" s="30" t="s">
        <v>4763</v>
      </c>
      <c r="D2365" s="32">
        <v>70432</v>
      </c>
      <c r="E2365" s="30" t="s">
        <v>15</v>
      </c>
      <c r="F2365" s="30"/>
      <c r="G2365" s="30"/>
      <c r="H2365" s="30" t="s">
        <v>113</v>
      </c>
      <c r="I2365" s="31" t="s">
        <v>29</v>
      </c>
    </row>
    <row r="2366" spans="2:9" s="6" customFormat="1" ht="11.25" customHeight="1" x14ac:dyDescent="0.55000000000000004">
      <c r="B2366" s="30" t="s">
        <v>4764</v>
      </c>
      <c r="C2366" s="30" t="s">
        <v>4765</v>
      </c>
      <c r="D2366" s="32">
        <v>81302</v>
      </c>
      <c r="E2366" s="30" t="s">
        <v>15</v>
      </c>
      <c r="F2366" s="30"/>
      <c r="G2366" s="30"/>
      <c r="H2366" s="30" t="s">
        <v>22</v>
      </c>
      <c r="I2366" s="31" t="s">
        <v>29</v>
      </c>
    </row>
    <row r="2367" spans="2:9" s="6" customFormat="1" ht="11.25" customHeight="1" x14ac:dyDescent="0.55000000000000004">
      <c r="B2367" s="30" t="s">
        <v>4766</v>
      </c>
      <c r="C2367" s="30" t="s">
        <v>4767</v>
      </c>
      <c r="D2367" s="32">
        <v>91413</v>
      </c>
      <c r="E2367" s="30" t="s">
        <v>15</v>
      </c>
      <c r="F2367" s="30" t="s">
        <v>62</v>
      </c>
      <c r="G2367" s="30" t="s">
        <v>35</v>
      </c>
      <c r="H2367" s="30" t="s">
        <v>262</v>
      </c>
      <c r="I2367" s="31" t="s">
        <v>29</v>
      </c>
    </row>
    <row r="2368" spans="2:9" s="6" customFormat="1" ht="11.25" customHeight="1" x14ac:dyDescent="0.55000000000000004">
      <c r="B2368" s="30" t="s">
        <v>4768</v>
      </c>
      <c r="C2368" s="30" t="s">
        <v>4769</v>
      </c>
      <c r="D2368" s="32">
        <v>91413</v>
      </c>
      <c r="E2368" s="30" t="s">
        <v>15</v>
      </c>
      <c r="F2368" s="30"/>
      <c r="G2368" s="30"/>
      <c r="H2368" s="30" t="s">
        <v>262</v>
      </c>
      <c r="I2368" s="31" t="s">
        <v>29</v>
      </c>
    </row>
    <row r="2369" spans="2:9" s="6" customFormat="1" ht="11.25" customHeight="1" x14ac:dyDescent="0.55000000000000004">
      <c r="B2369" s="30" t="s">
        <v>4770</v>
      </c>
      <c r="C2369" s="30" t="s">
        <v>4771</v>
      </c>
      <c r="D2369" s="32">
        <v>91413</v>
      </c>
      <c r="E2369" s="30" t="s">
        <v>15</v>
      </c>
      <c r="F2369" s="30"/>
      <c r="G2369" s="30"/>
      <c r="H2369" s="30" t="s">
        <v>262</v>
      </c>
      <c r="I2369" s="31" t="s">
        <v>29</v>
      </c>
    </row>
    <row r="2370" spans="2:9" s="6" customFormat="1" ht="11.25" customHeight="1" x14ac:dyDescent="0.55000000000000004">
      <c r="B2370" s="30" t="s">
        <v>4772</v>
      </c>
      <c r="C2370" s="30" t="s">
        <v>4773</v>
      </c>
      <c r="D2370" s="32">
        <v>84778</v>
      </c>
      <c r="E2370" s="30" t="s">
        <v>15</v>
      </c>
      <c r="F2370" s="30"/>
      <c r="G2370" s="30"/>
      <c r="H2370" s="30" t="s">
        <v>48</v>
      </c>
      <c r="I2370" s="31" t="s">
        <v>29</v>
      </c>
    </row>
    <row r="2371" spans="2:9" s="6" customFormat="1" ht="11.25" customHeight="1" x14ac:dyDescent="0.55000000000000004">
      <c r="B2371" s="30" t="s">
        <v>4774</v>
      </c>
      <c r="C2371" s="30" t="s">
        <v>4775</v>
      </c>
      <c r="D2371" s="32">
        <v>77925</v>
      </c>
      <c r="E2371" s="30" t="s">
        <v>15</v>
      </c>
      <c r="F2371" s="30" t="s">
        <v>992</v>
      </c>
      <c r="G2371" s="30" t="s">
        <v>155</v>
      </c>
      <c r="H2371" s="30" t="s">
        <v>17</v>
      </c>
      <c r="I2371" s="31" t="s">
        <v>29</v>
      </c>
    </row>
    <row r="2372" spans="2:9" s="6" customFormat="1" ht="11.25" customHeight="1" x14ac:dyDescent="0.55000000000000004">
      <c r="B2372" s="30" t="s">
        <v>4776</v>
      </c>
      <c r="C2372" s="30" t="s">
        <v>4777</v>
      </c>
      <c r="D2372" s="32">
        <v>85189</v>
      </c>
      <c r="E2372" s="30" t="s">
        <v>20</v>
      </c>
      <c r="F2372" s="30" t="s">
        <v>992</v>
      </c>
      <c r="G2372" s="30" t="s">
        <v>155</v>
      </c>
      <c r="H2372" s="30" t="s">
        <v>17</v>
      </c>
      <c r="I2372" s="31">
        <v>1225139.1599999999</v>
      </c>
    </row>
    <row r="2373" spans="2:9" s="6" customFormat="1" ht="11.25" customHeight="1" x14ac:dyDescent="0.55000000000000004">
      <c r="B2373" s="30" t="s">
        <v>4778</v>
      </c>
      <c r="C2373" s="30" t="s">
        <v>4779</v>
      </c>
      <c r="D2373" s="32">
        <v>92622</v>
      </c>
      <c r="E2373" s="30" t="s">
        <v>20</v>
      </c>
      <c r="F2373" s="30" t="s">
        <v>1127</v>
      </c>
      <c r="G2373" s="30" t="s">
        <v>155</v>
      </c>
      <c r="H2373" s="30" t="s">
        <v>313</v>
      </c>
      <c r="I2373" s="31">
        <v>14808181.342</v>
      </c>
    </row>
    <row r="2374" spans="2:9" s="6" customFormat="1" ht="11.25" customHeight="1" x14ac:dyDescent="0.55000000000000004">
      <c r="B2374" s="30" t="s">
        <v>4780</v>
      </c>
      <c r="C2374" s="30" t="s">
        <v>4781</v>
      </c>
      <c r="D2374" s="32">
        <v>92622</v>
      </c>
      <c r="E2374" s="30" t="s">
        <v>20</v>
      </c>
      <c r="F2374" s="30"/>
      <c r="G2374" s="30"/>
      <c r="H2374" s="30" t="s">
        <v>313</v>
      </c>
      <c r="I2374" s="31" t="s">
        <v>29</v>
      </c>
    </row>
    <row r="2375" spans="2:9" s="6" customFormat="1" ht="11.25" customHeight="1" x14ac:dyDescent="0.55000000000000004">
      <c r="B2375" s="30" t="s">
        <v>4782</v>
      </c>
      <c r="C2375" s="30" t="s">
        <v>4783</v>
      </c>
      <c r="D2375" s="32">
        <v>92622</v>
      </c>
      <c r="E2375" s="30" t="s">
        <v>20</v>
      </c>
      <c r="F2375" s="30"/>
      <c r="G2375" s="30"/>
      <c r="H2375" s="30" t="s">
        <v>313</v>
      </c>
      <c r="I2375" s="31" t="s">
        <v>29</v>
      </c>
    </row>
    <row r="2376" spans="2:9" s="6" customFormat="1" ht="11.25" customHeight="1" x14ac:dyDescent="0.55000000000000004">
      <c r="B2376" s="30" t="s">
        <v>4784</v>
      </c>
      <c r="C2376" s="30" t="s">
        <v>4785</v>
      </c>
      <c r="D2376" s="32">
        <v>62030</v>
      </c>
      <c r="E2376" s="30" t="s">
        <v>15</v>
      </c>
      <c r="F2376" s="30" t="s">
        <v>137</v>
      </c>
      <c r="G2376" s="30"/>
      <c r="H2376" s="30" t="s">
        <v>313</v>
      </c>
      <c r="I2376" s="31" t="s">
        <v>29</v>
      </c>
    </row>
    <row r="2377" spans="2:9" s="6" customFormat="1" ht="11.25" customHeight="1" x14ac:dyDescent="0.55000000000000004">
      <c r="B2377" s="30" t="s">
        <v>4786</v>
      </c>
      <c r="C2377" s="30" t="s">
        <v>4787</v>
      </c>
      <c r="D2377" s="32">
        <v>92142</v>
      </c>
      <c r="E2377" s="30" t="s">
        <v>15</v>
      </c>
      <c r="F2377" s="30"/>
      <c r="G2377" s="30"/>
      <c r="H2377" s="30" t="s">
        <v>105</v>
      </c>
      <c r="I2377" s="31" t="s">
        <v>29</v>
      </c>
    </row>
    <row r="2378" spans="2:9" s="6" customFormat="1" ht="11.25" customHeight="1" x14ac:dyDescent="0.55000000000000004">
      <c r="B2378" s="30" t="s">
        <v>4788</v>
      </c>
      <c r="C2378" s="30" t="s">
        <v>4789</v>
      </c>
      <c r="D2378" s="32">
        <v>75051</v>
      </c>
      <c r="E2378" s="30" t="s">
        <v>15</v>
      </c>
      <c r="F2378" s="30"/>
      <c r="G2378" s="30"/>
      <c r="H2378" s="30" t="s">
        <v>22</v>
      </c>
      <c r="I2378" s="31" t="s">
        <v>29</v>
      </c>
    </row>
    <row r="2379" spans="2:9" s="6" customFormat="1" ht="11.25" customHeight="1" x14ac:dyDescent="0.55000000000000004">
      <c r="B2379" s="30" t="s">
        <v>4790</v>
      </c>
      <c r="C2379" s="30" t="s">
        <v>4791</v>
      </c>
      <c r="D2379" s="32">
        <v>62332</v>
      </c>
      <c r="E2379" s="30" t="s">
        <v>15</v>
      </c>
      <c r="F2379" s="30"/>
      <c r="G2379" s="30" t="s">
        <v>80</v>
      </c>
      <c r="H2379" s="30" t="s">
        <v>86</v>
      </c>
      <c r="I2379" s="31" t="s">
        <v>29</v>
      </c>
    </row>
    <row r="2380" spans="2:9" s="6" customFormat="1" ht="11.25" customHeight="1" x14ac:dyDescent="0.55000000000000004">
      <c r="B2380" s="30" t="s">
        <v>4792</v>
      </c>
      <c r="C2380" s="30" t="s">
        <v>4793</v>
      </c>
      <c r="D2380" s="32">
        <v>91928</v>
      </c>
      <c r="E2380" s="30" t="s">
        <v>15</v>
      </c>
      <c r="F2380" s="30"/>
      <c r="G2380" s="30"/>
      <c r="H2380" s="30" t="s">
        <v>75</v>
      </c>
      <c r="I2380" s="31" t="s">
        <v>29</v>
      </c>
    </row>
    <row r="2381" spans="2:9" s="6" customFormat="1" ht="11.25" customHeight="1" x14ac:dyDescent="0.55000000000000004">
      <c r="B2381" s="30" t="s">
        <v>4794</v>
      </c>
      <c r="C2381" s="30" t="s">
        <v>4795</v>
      </c>
      <c r="D2381" s="32">
        <v>84123</v>
      </c>
      <c r="E2381" s="30" t="s">
        <v>15</v>
      </c>
      <c r="F2381" s="30"/>
      <c r="G2381" s="30"/>
      <c r="H2381" s="30" t="s">
        <v>266</v>
      </c>
      <c r="I2381" s="31" t="s">
        <v>29</v>
      </c>
    </row>
    <row r="2382" spans="2:9" s="6" customFormat="1" ht="11.25" customHeight="1" x14ac:dyDescent="0.55000000000000004">
      <c r="B2382" s="30" t="s">
        <v>4796</v>
      </c>
      <c r="C2382" s="30" t="s">
        <v>4797</v>
      </c>
      <c r="D2382" s="32">
        <v>89489</v>
      </c>
      <c r="E2382" s="30" t="s">
        <v>15</v>
      </c>
      <c r="F2382" s="30"/>
      <c r="G2382" s="30"/>
      <c r="H2382" s="30" t="s">
        <v>22</v>
      </c>
      <c r="I2382" s="31" t="s">
        <v>29</v>
      </c>
    </row>
    <row r="2383" spans="2:9" s="6" customFormat="1" ht="11.25" customHeight="1" x14ac:dyDescent="0.55000000000000004">
      <c r="B2383" s="30" t="s">
        <v>4798</v>
      </c>
      <c r="C2383" s="30" t="s">
        <v>4799</v>
      </c>
      <c r="D2383" s="32">
        <v>70548</v>
      </c>
      <c r="E2383" s="30" t="s">
        <v>20</v>
      </c>
      <c r="F2383" s="30" t="s">
        <v>4000</v>
      </c>
      <c r="G2383" s="30" t="s">
        <v>80</v>
      </c>
      <c r="H2383" s="30" t="s">
        <v>45</v>
      </c>
      <c r="I2383" s="31">
        <v>15205.220000000001</v>
      </c>
    </row>
    <row r="2384" spans="2:9" s="6" customFormat="1" ht="11.25" customHeight="1" x14ac:dyDescent="0.55000000000000004">
      <c r="B2384" s="30" t="s">
        <v>4000</v>
      </c>
      <c r="C2384" s="30" t="s">
        <v>4800</v>
      </c>
      <c r="D2384" s="32" t="s">
        <v>29</v>
      </c>
      <c r="E2384" s="30" t="s">
        <v>20</v>
      </c>
      <c r="F2384" s="30" t="s">
        <v>4000</v>
      </c>
      <c r="G2384" s="30" t="s">
        <v>80</v>
      </c>
      <c r="H2384" s="30" t="s">
        <v>45</v>
      </c>
      <c r="I2384" s="31">
        <v>15275.869000000001</v>
      </c>
    </row>
    <row r="2385" spans="2:9" s="6" customFormat="1" ht="11.25" customHeight="1" x14ac:dyDescent="0.55000000000000004">
      <c r="B2385" s="30" t="s">
        <v>4801</v>
      </c>
      <c r="C2385" s="30" t="s">
        <v>4802</v>
      </c>
      <c r="D2385" s="32">
        <v>78336</v>
      </c>
      <c r="E2385" s="30" t="s">
        <v>15</v>
      </c>
      <c r="F2385" s="30"/>
      <c r="G2385" s="30"/>
      <c r="H2385" s="30" t="s">
        <v>66</v>
      </c>
      <c r="I2385" s="31" t="s">
        <v>29</v>
      </c>
    </row>
    <row r="2386" spans="2:9" s="6" customFormat="1" ht="11.25" customHeight="1" x14ac:dyDescent="0.55000000000000004">
      <c r="B2386" s="30" t="s">
        <v>4803</v>
      </c>
      <c r="C2386" s="30" t="s">
        <v>4804</v>
      </c>
      <c r="D2386" s="32">
        <v>62413</v>
      </c>
      <c r="E2386" s="30" t="s">
        <v>20</v>
      </c>
      <c r="F2386" s="30" t="s">
        <v>2067</v>
      </c>
      <c r="G2386" s="30" t="s">
        <v>35</v>
      </c>
      <c r="H2386" s="30" t="s">
        <v>96</v>
      </c>
      <c r="I2386" s="31">
        <v>2975823.551</v>
      </c>
    </row>
    <row r="2387" spans="2:9" s="6" customFormat="1" ht="11.25" customHeight="1" x14ac:dyDescent="0.55000000000000004">
      <c r="B2387" s="30" t="s">
        <v>4805</v>
      </c>
      <c r="C2387" s="30" t="s">
        <v>4806</v>
      </c>
      <c r="D2387" s="32">
        <v>62413</v>
      </c>
      <c r="E2387" s="30" t="s">
        <v>20</v>
      </c>
      <c r="F2387" s="30"/>
      <c r="G2387" s="30"/>
      <c r="H2387" s="30" t="s">
        <v>96</v>
      </c>
      <c r="I2387" s="31" t="s">
        <v>29</v>
      </c>
    </row>
    <row r="2388" spans="2:9" s="6" customFormat="1" ht="11.25" customHeight="1" x14ac:dyDescent="0.55000000000000004">
      <c r="B2388" s="30" t="s">
        <v>4807</v>
      </c>
      <c r="C2388" s="30" t="s">
        <v>4808</v>
      </c>
      <c r="D2388" s="32">
        <v>62413</v>
      </c>
      <c r="E2388" s="30" t="s">
        <v>20</v>
      </c>
      <c r="F2388" s="30"/>
      <c r="G2388" s="30"/>
      <c r="H2388" s="30" t="s">
        <v>96</v>
      </c>
      <c r="I2388" s="31" t="s">
        <v>29</v>
      </c>
    </row>
    <row r="2389" spans="2:9" s="6" customFormat="1" ht="11.25" customHeight="1" x14ac:dyDescent="0.55000000000000004">
      <c r="B2389" s="30" t="s">
        <v>4809</v>
      </c>
      <c r="C2389" s="30" t="s">
        <v>4810</v>
      </c>
      <c r="D2389" s="32">
        <v>62413</v>
      </c>
      <c r="E2389" s="30" t="s">
        <v>20</v>
      </c>
      <c r="F2389" s="30"/>
      <c r="G2389" s="30"/>
      <c r="H2389" s="30" t="s">
        <v>96</v>
      </c>
      <c r="I2389" s="31" t="s">
        <v>29</v>
      </c>
    </row>
    <row r="2390" spans="2:9" s="6" customFormat="1" ht="11.25" customHeight="1" x14ac:dyDescent="0.55000000000000004">
      <c r="B2390" s="30" t="s">
        <v>4811</v>
      </c>
      <c r="C2390" s="30" t="s">
        <v>4812</v>
      </c>
      <c r="D2390" s="32">
        <v>65900</v>
      </c>
      <c r="E2390" s="30" t="s">
        <v>20</v>
      </c>
      <c r="F2390" s="30" t="s">
        <v>2067</v>
      </c>
      <c r="G2390" s="30" t="s">
        <v>35</v>
      </c>
      <c r="H2390" s="30" t="s">
        <v>96</v>
      </c>
      <c r="I2390" s="31">
        <v>2679113.037</v>
      </c>
    </row>
    <row r="2391" spans="2:9" s="6" customFormat="1" ht="11.25" customHeight="1" x14ac:dyDescent="0.55000000000000004">
      <c r="B2391" s="30" t="s">
        <v>4813</v>
      </c>
      <c r="C2391" s="30" t="s">
        <v>4814</v>
      </c>
      <c r="D2391" s="32">
        <v>65900</v>
      </c>
      <c r="E2391" s="30" t="s">
        <v>20</v>
      </c>
      <c r="F2391" s="30"/>
      <c r="G2391" s="30"/>
      <c r="H2391" s="30" t="s">
        <v>96</v>
      </c>
      <c r="I2391" s="31" t="s">
        <v>29</v>
      </c>
    </row>
    <row r="2392" spans="2:9" s="6" customFormat="1" ht="11.25" customHeight="1" x14ac:dyDescent="0.55000000000000004">
      <c r="B2392" s="30" t="s">
        <v>4815</v>
      </c>
      <c r="C2392" s="30" t="s">
        <v>4816</v>
      </c>
      <c r="D2392" s="32">
        <v>66230</v>
      </c>
      <c r="E2392" s="30" t="s">
        <v>20</v>
      </c>
      <c r="F2392" s="30" t="s">
        <v>742</v>
      </c>
      <c r="G2392" s="30" t="s">
        <v>35</v>
      </c>
      <c r="H2392" s="30" t="s">
        <v>52</v>
      </c>
      <c r="I2392" s="31">
        <v>1317488.898</v>
      </c>
    </row>
    <row r="2393" spans="2:9" s="6" customFormat="1" ht="11.25" customHeight="1" x14ac:dyDescent="0.55000000000000004">
      <c r="B2393" s="30" t="s">
        <v>4817</v>
      </c>
      <c r="C2393" s="30" t="s">
        <v>4818</v>
      </c>
      <c r="D2393" s="32">
        <v>78344</v>
      </c>
      <c r="E2393" s="30" t="s">
        <v>20</v>
      </c>
      <c r="F2393" s="30"/>
      <c r="G2393" s="30" t="s">
        <v>35</v>
      </c>
      <c r="H2393" s="30" t="s">
        <v>66</v>
      </c>
      <c r="I2393" s="31" t="s">
        <v>29</v>
      </c>
    </row>
    <row r="2394" spans="2:9" s="6" customFormat="1" ht="11.25" customHeight="1" x14ac:dyDescent="0.55000000000000004">
      <c r="B2394" s="30" t="s">
        <v>2067</v>
      </c>
      <c r="C2394" s="30" t="s">
        <v>4819</v>
      </c>
      <c r="D2394" s="32" t="s">
        <v>29</v>
      </c>
      <c r="E2394" s="30" t="s">
        <v>20</v>
      </c>
      <c r="F2394" s="30" t="s">
        <v>2067</v>
      </c>
      <c r="G2394" s="30" t="s">
        <v>39</v>
      </c>
      <c r="H2394" s="30" t="s">
        <v>96</v>
      </c>
      <c r="I2394" s="31">
        <v>25725430.149</v>
      </c>
    </row>
    <row r="2395" spans="2:9" s="6" customFormat="1" ht="11.25" customHeight="1" x14ac:dyDescent="0.55000000000000004">
      <c r="B2395" s="30" t="s">
        <v>4820</v>
      </c>
      <c r="C2395" s="30" t="s">
        <v>4821</v>
      </c>
      <c r="D2395" s="32" t="s">
        <v>29</v>
      </c>
      <c r="E2395" s="30" t="s">
        <v>20</v>
      </c>
      <c r="F2395" s="30"/>
      <c r="G2395" s="30"/>
      <c r="H2395" s="30"/>
      <c r="I2395" s="31" t="s">
        <v>29</v>
      </c>
    </row>
    <row r="2396" spans="2:9" s="6" customFormat="1" ht="11.25" customHeight="1" x14ac:dyDescent="0.55000000000000004">
      <c r="B2396" s="30" t="s">
        <v>4822</v>
      </c>
      <c r="C2396" s="30" t="s">
        <v>4823</v>
      </c>
      <c r="D2396" s="32">
        <v>66133</v>
      </c>
      <c r="E2396" s="30" t="s">
        <v>20</v>
      </c>
      <c r="F2396" s="30" t="s">
        <v>2067</v>
      </c>
      <c r="G2396" s="30" t="s">
        <v>129</v>
      </c>
      <c r="H2396" s="30" t="s">
        <v>96</v>
      </c>
      <c r="I2396" s="31">
        <v>18346577.418000001</v>
      </c>
    </row>
    <row r="2397" spans="2:9" s="6" customFormat="1" ht="11.25" customHeight="1" x14ac:dyDescent="0.55000000000000004">
      <c r="B2397" s="30" t="s">
        <v>4824</v>
      </c>
      <c r="C2397" s="30" t="s">
        <v>4825</v>
      </c>
      <c r="D2397" s="32">
        <v>60704</v>
      </c>
      <c r="E2397" s="30" t="s">
        <v>20</v>
      </c>
      <c r="F2397" s="30" t="s">
        <v>2067</v>
      </c>
      <c r="G2397" s="30" t="s">
        <v>35</v>
      </c>
      <c r="H2397" s="30" t="s">
        <v>96</v>
      </c>
      <c r="I2397" s="31">
        <v>871896.74600000004</v>
      </c>
    </row>
    <row r="2398" spans="2:9" s="6" customFormat="1" ht="11.25" customHeight="1" x14ac:dyDescent="0.55000000000000004">
      <c r="B2398" s="30" t="s">
        <v>4826</v>
      </c>
      <c r="C2398" s="30" t="s">
        <v>4827</v>
      </c>
      <c r="D2398" s="32">
        <v>60704</v>
      </c>
      <c r="E2398" s="30" t="s">
        <v>20</v>
      </c>
      <c r="F2398" s="30"/>
      <c r="G2398" s="30"/>
      <c r="H2398" s="30" t="s">
        <v>96</v>
      </c>
      <c r="I2398" s="31" t="s">
        <v>29</v>
      </c>
    </row>
    <row r="2399" spans="2:9" s="6" customFormat="1" ht="11.25" customHeight="1" x14ac:dyDescent="0.55000000000000004">
      <c r="B2399" s="30" t="s">
        <v>4828</v>
      </c>
      <c r="C2399" s="30" t="s">
        <v>4829</v>
      </c>
      <c r="D2399" s="32">
        <v>60704</v>
      </c>
      <c r="E2399" s="30" t="s">
        <v>20</v>
      </c>
      <c r="F2399" s="30"/>
      <c r="G2399" s="30"/>
      <c r="H2399" s="30" t="s">
        <v>96</v>
      </c>
      <c r="I2399" s="31" t="s">
        <v>29</v>
      </c>
    </row>
    <row r="2400" spans="2:9" s="6" customFormat="1" ht="11.25" customHeight="1" x14ac:dyDescent="0.55000000000000004">
      <c r="B2400" s="30" t="s">
        <v>4830</v>
      </c>
      <c r="C2400" s="30" t="s">
        <v>4831</v>
      </c>
      <c r="D2400" s="32">
        <v>65960</v>
      </c>
      <c r="E2400" s="30" t="s">
        <v>20</v>
      </c>
      <c r="F2400" s="30" t="s">
        <v>3272</v>
      </c>
      <c r="G2400" s="30" t="s">
        <v>21</v>
      </c>
      <c r="H2400" s="30" t="s">
        <v>113</v>
      </c>
      <c r="I2400" s="31">
        <v>3177.027</v>
      </c>
    </row>
    <row r="2401" spans="2:9" s="6" customFormat="1" ht="11.25" customHeight="1" x14ac:dyDescent="0.55000000000000004">
      <c r="B2401" s="30" t="s">
        <v>4832</v>
      </c>
      <c r="C2401" s="30" t="s">
        <v>4833</v>
      </c>
      <c r="D2401" s="32">
        <v>78352</v>
      </c>
      <c r="E2401" s="30" t="s">
        <v>15</v>
      </c>
      <c r="F2401" s="30" t="s">
        <v>310</v>
      </c>
      <c r="G2401" s="30" t="s">
        <v>35</v>
      </c>
      <c r="H2401" s="30" t="s">
        <v>113</v>
      </c>
      <c r="I2401" s="31" t="s">
        <v>29</v>
      </c>
    </row>
    <row r="2402" spans="2:9" s="6" customFormat="1" ht="11.25" customHeight="1" x14ac:dyDescent="0.55000000000000004">
      <c r="B2402" s="30" t="s">
        <v>4834</v>
      </c>
      <c r="C2402" s="30" t="s">
        <v>4835</v>
      </c>
      <c r="D2402" s="32">
        <v>84131</v>
      </c>
      <c r="E2402" s="30" t="s">
        <v>15</v>
      </c>
      <c r="F2402" s="30"/>
      <c r="G2402" s="30" t="s">
        <v>35</v>
      </c>
      <c r="H2402" s="30" t="s">
        <v>266</v>
      </c>
      <c r="I2402" s="31" t="s">
        <v>29</v>
      </c>
    </row>
    <row r="2403" spans="2:9" s="6" customFormat="1" ht="11.25" customHeight="1" x14ac:dyDescent="0.55000000000000004">
      <c r="B2403" s="30" t="s">
        <v>4836</v>
      </c>
      <c r="C2403" s="30" t="s">
        <v>4837</v>
      </c>
      <c r="D2403" s="32">
        <v>70602</v>
      </c>
      <c r="E2403" s="30" t="s">
        <v>15</v>
      </c>
      <c r="F2403" s="30" t="s">
        <v>615</v>
      </c>
      <c r="G2403" s="30"/>
      <c r="H2403" s="30" t="s">
        <v>40</v>
      </c>
      <c r="I2403" s="31" t="s">
        <v>29</v>
      </c>
    </row>
    <row r="2404" spans="2:9" s="6" customFormat="1" ht="11.25" customHeight="1" x14ac:dyDescent="0.55000000000000004">
      <c r="B2404" s="30" t="s">
        <v>4838</v>
      </c>
      <c r="C2404" s="30" t="s">
        <v>4839</v>
      </c>
      <c r="D2404" s="32">
        <v>70629</v>
      </c>
      <c r="E2404" s="30" t="s">
        <v>15</v>
      </c>
      <c r="F2404" s="30" t="s">
        <v>331</v>
      </c>
      <c r="G2404" s="30" t="s">
        <v>39</v>
      </c>
      <c r="H2404" s="30" t="s">
        <v>63</v>
      </c>
      <c r="I2404" s="31" t="s">
        <v>29</v>
      </c>
    </row>
    <row r="2405" spans="2:9" s="6" customFormat="1" ht="11.25" customHeight="1" x14ac:dyDescent="0.55000000000000004">
      <c r="B2405" s="30" t="s">
        <v>4840</v>
      </c>
      <c r="C2405" s="30" t="s">
        <v>4841</v>
      </c>
      <c r="D2405" s="32">
        <v>97926</v>
      </c>
      <c r="E2405" s="30" t="s">
        <v>15</v>
      </c>
      <c r="F2405" s="30" t="s">
        <v>525</v>
      </c>
      <c r="G2405" s="30" t="s">
        <v>35</v>
      </c>
      <c r="H2405" s="30" t="s">
        <v>105</v>
      </c>
      <c r="I2405" s="31" t="s">
        <v>29</v>
      </c>
    </row>
    <row r="2406" spans="2:9" s="6" customFormat="1" ht="11.25" customHeight="1" x14ac:dyDescent="0.55000000000000004">
      <c r="B2406" s="30" t="s">
        <v>4842</v>
      </c>
      <c r="C2406" s="30" t="s">
        <v>4843</v>
      </c>
      <c r="D2406" s="32">
        <v>99961</v>
      </c>
      <c r="E2406" s="30" t="s">
        <v>15</v>
      </c>
      <c r="F2406" s="30"/>
      <c r="G2406" s="30"/>
      <c r="H2406" s="30" t="s">
        <v>113</v>
      </c>
      <c r="I2406" s="31" t="s">
        <v>29</v>
      </c>
    </row>
    <row r="2407" spans="2:9" s="6" customFormat="1" ht="11.25" customHeight="1" x14ac:dyDescent="0.55000000000000004">
      <c r="B2407" s="30" t="s">
        <v>4844</v>
      </c>
      <c r="C2407" s="30" t="s">
        <v>4845</v>
      </c>
      <c r="D2407" s="32">
        <v>78441</v>
      </c>
      <c r="E2407" s="30" t="s">
        <v>15</v>
      </c>
      <c r="F2407" s="30"/>
      <c r="G2407" s="30"/>
      <c r="H2407" s="30" t="s">
        <v>30</v>
      </c>
      <c r="I2407" s="31" t="s">
        <v>29</v>
      </c>
    </row>
    <row r="2408" spans="2:9" s="6" customFormat="1" ht="11.25" customHeight="1" x14ac:dyDescent="0.55000000000000004">
      <c r="B2408" s="30" t="s">
        <v>4846</v>
      </c>
      <c r="C2408" s="30" t="s">
        <v>4847</v>
      </c>
      <c r="D2408" s="32">
        <v>70351</v>
      </c>
      <c r="E2408" s="30" t="s">
        <v>15</v>
      </c>
      <c r="F2408" s="30"/>
      <c r="G2408" s="30"/>
      <c r="H2408" s="30" t="s">
        <v>735</v>
      </c>
      <c r="I2408" s="31" t="s">
        <v>29</v>
      </c>
    </row>
    <row r="2409" spans="2:9" s="6" customFormat="1" ht="11.25" customHeight="1" x14ac:dyDescent="0.55000000000000004">
      <c r="B2409" s="30" t="s">
        <v>4848</v>
      </c>
      <c r="C2409" s="30" t="s">
        <v>4849</v>
      </c>
      <c r="D2409" s="32">
        <v>90735</v>
      </c>
      <c r="E2409" s="30" t="s">
        <v>15</v>
      </c>
      <c r="F2409" s="30"/>
      <c r="G2409" s="30"/>
      <c r="H2409" s="30"/>
      <c r="I2409" s="31" t="s">
        <v>29</v>
      </c>
    </row>
    <row r="2410" spans="2:9" s="6" customFormat="1" ht="11.25" customHeight="1" x14ac:dyDescent="0.55000000000000004">
      <c r="B2410" s="30" t="s">
        <v>4850</v>
      </c>
      <c r="C2410" s="30" t="s">
        <v>4851</v>
      </c>
      <c r="D2410" s="32">
        <v>78484</v>
      </c>
      <c r="E2410" s="30" t="s">
        <v>15</v>
      </c>
      <c r="F2410" s="30"/>
      <c r="G2410" s="30"/>
      <c r="H2410" s="30" t="s">
        <v>66</v>
      </c>
      <c r="I2410" s="31" t="s">
        <v>29</v>
      </c>
    </row>
    <row r="2411" spans="2:9" s="6" customFormat="1" ht="11.25" customHeight="1" x14ac:dyDescent="0.55000000000000004">
      <c r="B2411" s="30" t="s">
        <v>4852</v>
      </c>
      <c r="C2411" s="30" t="s">
        <v>4853</v>
      </c>
      <c r="D2411" s="32">
        <v>60470</v>
      </c>
      <c r="E2411" s="30" t="s">
        <v>15</v>
      </c>
      <c r="F2411" s="30"/>
      <c r="G2411" s="30"/>
      <c r="H2411" s="30" t="s">
        <v>89</v>
      </c>
      <c r="I2411" s="31" t="s">
        <v>29</v>
      </c>
    </row>
    <row r="2412" spans="2:9" ht="11.25" customHeight="1" x14ac:dyDescent="0.35">
      <c r="B2412" s="30" t="s">
        <v>947</v>
      </c>
      <c r="C2412" s="30" t="s">
        <v>4854</v>
      </c>
      <c r="D2412" s="32" t="s">
        <v>29</v>
      </c>
      <c r="E2412" s="30" t="s">
        <v>20</v>
      </c>
      <c r="F2412" s="30" t="s">
        <v>947</v>
      </c>
      <c r="G2412" s="30" t="s">
        <v>25</v>
      </c>
      <c r="H2412" s="30" t="s">
        <v>17</v>
      </c>
      <c r="I2412" s="31">
        <v>22117123.556000002</v>
      </c>
    </row>
    <row r="2413" spans="2:9" ht="11.25" customHeight="1" x14ac:dyDescent="0.35">
      <c r="B2413" s="30" t="s">
        <v>4855</v>
      </c>
      <c r="C2413" s="30" t="s">
        <v>4856</v>
      </c>
      <c r="D2413" s="32" t="s">
        <v>29</v>
      </c>
      <c r="E2413" s="30" t="s">
        <v>20</v>
      </c>
      <c r="F2413" s="30"/>
      <c r="G2413" s="30"/>
      <c r="H2413" s="30"/>
      <c r="I2413" s="31" t="s">
        <v>29</v>
      </c>
    </row>
    <row r="2414" spans="2:9" ht="11.25" customHeight="1" x14ac:dyDescent="0.35">
      <c r="B2414" s="30" t="s">
        <v>4857</v>
      </c>
      <c r="C2414" s="30" t="s">
        <v>4858</v>
      </c>
      <c r="D2414" s="32">
        <v>14178</v>
      </c>
      <c r="E2414" s="30" t="s">
        <v>20</v>
      </c>
      <c r="F2414" s="30" t="s">
        <v>947</v>
      </c>
      <c r="G2414" s="30" t="s">
        <v>88</v>
      </c>
      <c r="H2414" s="30" t="s">
        <v>124</v>
      </c>
      <c r="I2414" s="31">
        <v>81766.115000000005</v>
      </c>
    </row>
    <row r="2415" spans="2:9" ht="11.25" customHeight="1" x14ac:dyDescent="0.35">
      <c r="B2415" s="30" t="s">
        <v>4859</v>
      </c>
      <c r="C2415" s="30" t="s">
        <v>4860</v>
      </c>
      <c r="D2415" s="32">
        <v>14178</v>
      </c>
      <c r="E2415" s="30" t="s">
        <v>20</v>
      </c>
      <c r="F2415" s="30"/>
      <c r="G2415" s="30"/>
      <c r="H2415" s="30" t="s">
        <v>124</v>
      </c>
      <c r="I2415" s="31" t="s">
        <v>29</v>
      </c>
    </row>
    <row r="2416" spans="2:9" ht="11.25" customHeight="1" x14ac:dyDescent="0.35">
      <c r="B2416" s="30" t="s">
        <v>4861</v>
      </c>
      <c r="C2416" s="30" t="s">
        <v>4862</v>
      </c>
      <c r="D2416" s="32">
        <v>14178</v>
      </c>
      <c r="E2416" s="30" t="s">
        <v>20</v>
      </c>
      <c r="F2416" s="30"/>
      <c r="G2416" s="30"/>
      <c r="H2416" s="30" t="s">
        <v>124</v>
      </c>
      <c r="I2416" s="31" t="s">
        <v>29</v>
      </c>
    </row>
    <row r="2417" spans="2:9" ht="11.25" customHeight="1" x14ac:dyDescent="0.35">
      <c r="B2417" s="30" t="s">
        <v>4863</v>
      </c>
      <c r="C2417" s="30" t="s">
        <v>4864</v>
      </c>
      <c r="D2417" s="32">
        <v>90557</v>
      </c>
      <c r="E2417" s="30" t="s">
        <v>20</v>
      </c>
      <c r="F2417" s="30" t="s">
        <v>947</v>
      </c>
      <c r="G2417" s="30" t="s">
        <v>25</v>
      </c>
      <c r="H2417" s="30" t="s">
        <v>86</v>
      </c>
      <c r="I2417" s="31">
        <v>15201331.927000001</v>
      </c>
    </row>
    <row r="2418" spans="2:9" ht="11.25" customHeight="1" x14ac:dyDescent="0.35">
      <c r="B2418" s="30" t="s">
        <v>4865</v>
      </c>
      <c r="C2418" s="30" t="s">
        <v>4866</v>
      </c>
      <c r="D2418" s="32">
        <v>90557</v>
      </c>
      <c r="E2418" s="30" t="s">
        <v>20</v>
      </c>
      <c r="F2418" s="30"/>
      <c r="G2418" s="30"/>
      <c r="H2418" s="30" t="s">
        <v>86</v>
      </c>
      <c r="I2418" s="31" t="s">
        <v>29</v>
      </c>
    </row>
    <row r="2419" spans="2:9" ht="11.25" customHeight="1" x14ac:dyDescent="0.35">
      <c r="B2419" s="293" t="s">
        <v>4867</v>
      </c>
      <c r="C2419" s="293" t="s">
        <v>4868</v>
      </c>
      <c r="D2419" s="32">
        <v>90557</v>
      </c>
      <c r="E2419" s="293" t="s">
        <v>20</v>
      </c>
      <c r="H2419" s="293" t="s">
        <v>86</v>
      </c>
      <c r="I2419" s="31" t="s">
        <v>29</v>
      </c>
    </row>
  </sheetData>
  <mergeCells count="1">
    <mergeCell ref="D10:E10"/>
  </mergeCells>
  <hyperlinks>
    <hyperlink ref="D10:E10" location="Instructions!A1" tooltip="Go to Instructions tab." display="Instructions" xr:uid="{00000000-0004-0000-0D00-000000000000}"/>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Button 2">
              <controlPr defaultSize="0" print="0" autoFill="0" autoPict="0" macro="[0]!Refresh_CoList">
                <anchor moveWithCells="1" sizeWithCells="1">
                  <from>
                    <xdr:col>3</xdr:col>
                    <xdr:colOff>11430</xdr:colOff>
                    <xdr:row>6</xdr:row>
                    <xdr:rowOff>125730</xdr:rowOff>
                  </from>
                  <to>
                    <xdr:col>5</xdr:col>
                    <xdr:colOff>0</xdr:colOff>
                    <xdr:row>8</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indexed="16"/>
  </sheetPr>
  <dimension ref="A1:H2"/>
  <sheetViews>
    <sheetView workbookViewId="0">
      <selection activeCell="D1" sqref="D1:E1"/>
    </sheetView>
  </sheetViews>
  <sheetFormatPr defaultColWidth="8.83984375" defaultRowHeight="10.199999999999999" x14ac:dyDescent="0.35"/>
  <cols>
    <col min="1" max="1" width="10" style="234" bestFit="1" customWidth="1"/>
    <col min="2" max="2" width="4" style="234" bestFit="1" customWidth="1"/>
    <col min="3" max="3" width="3.26171875" style="234" bestFit="1" customWidth="1"/>
    <col min="4" max="4" width="9.15625" style="234" bestFit="1" customWidth="1"/>
    <col min="5" max="5" width="108.83984375" style="234" bestFit="1" customWidth="1"/>
    <col min="6" max="6" width="2.26171875" style="234" customWidth="1"/>
    <col min="7" max="7" width="2.578125" style="234" bestFit="1" customWidth="1"/>
    <col min="8" max="8" width="2" style="234" bestFit="1" customWidth="1"/>
    <col min="9" max="16384" width="8.83984375" style="234"/>
  </cols>
  <sheetData>
    <row r="1" spans="1:8" ht="11.25" customHeight="1" x14ac:dyDescent="0.35">
      <c r="A1" s="234" t="s">
        <v>4944</v>
      </c>
      <c r="B1" s="234">
        <v>287</v>
      </c>
      <c r="C1" s="234" t="str">
        <f>Sector_Parm_Code</f>
        <v>2,</v>
      </c>
      <c r="D1" s="234" t="s">
        <v>5518</v>
      </c>
      <c r="E1" s="234" t="s">
        <v>5519</v>
      </c>
      <c r="G1" s="234">
        <v>17</v>
      </c>
      <c r="H1" s="234">
        <v>1</v>
      </c>
    </row>
    <row r="2" spans="1:8" s="296" customFormat="1" ht="11.25" customHeight="1" x14ac:dyDescent="0.35">
      <c r="A2" s="296" t="s">
        <v>5393</v>
      </c>
      <c r="B2" s="296">
        <v>287</v>
      </c>
      <c r="C2" s="296" t="s">
        <v>4912</v>
      </c>
      <c r="D2" s="296" t="s">
        <v>5394</v>
      </c>
      <c r="E2" s="296" t="s">
        <v>5395</v>
      </c>
      <c r="G2" s="296">
        <v>-1</v>
      </c>
      <c r="H2" s="296">
        <v>1</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autoPageBreaks="0"/>
  </sheetPr>
  <dimension ref="A1:AM232"/>
  <sheetViews>
    <sheetView showGridLines="0" tabSelected="1" topLeftCell="A2" zoomScaleNormal="100" zoomScaleSheetLayoutView="85" workbookViewId="0">
      <selection activeCell="I21" sqref="I21"/>
    </sheetView>
  </sheetViews>
  <sheetFormatPr defaultColWidth="7.26171875" defaultRowHeight="10.199999999999999" outlineLevelCol="1" x14ac:dyDescent="0.35"/>
  <cols>
    <col min="1" max="1" width="2.26171875" style="33" customWidth="1"/>
    <col min="2" max="2" width="10.68359375" style="33" customWidth="1"/>
    <col min="3" max="4" width="8.41796875" style="33" customWidth="1"/>
    <col min="5" max="5" width="10" style="33" customWidth="1"/>
    <col min="6" max="10" width="8.41796875" style="33" customWidth="1"/>
    <col min="11" max="11" width="4.15625" style="33" customWidth="1"/>
    <col min="12" max="18" width="9.26171875" style="33" customWidth="1"/>
    <col min="19" max="19" width="12.26171875" style="33" customWidth="1"/>
    <col min="20" max="20" width="31.15625" style="33" hidden="1" customWidth="1" outlineLevel="1"/>
    <col min="21" max="21" width="9.15625" style="33" hidden="1" customWidth="1" outlineLevel="1"/>
    <col min="22" max="22" width="2.26171875" style="33" hidden="1" customWidth="1" outlineLevel="1"/>
    <col min="23" max="23" width="8.41796875" style="35" hidden="1" customWidth="1" outlineLevel="1"/>
    <col min="24" max="24" width="27.68359375" style="33" hidden="1" customWidth="1" outlineLevel="1"/>
    <col min="25" max="27" width="9.26171875" style="33" hidden="1" customWidth="1" outlineLevel="1"/>
    <col min="28" max="28" width="2.26171875" style="33" hidden="1" customWidth="1" outlineLevel="1"/>
    <col min="29" max="29" width="7.26171875" style="35" hidden="1" customWidth="1" outlineLevel="1"/>
    <col min="30" max="30" width="21.26171875" style="33" hidden="1" customWidth="1" outlineLevel="1"/>
    <col min="31" max="31" width="13" style="33" hidden="1" customWidth="1" outlineLevel="1"/>
    <col min="32" max="32" width="2.26171875" style="33" hidden="1" customWidth="1" outlineLevel="1"/>
    <col min="33" max="33" width="13.68359375" style="33" hidden="1" customWidth="1" outlineLevel="1"/>
    <col min="34" max="34" width="9.68359375" style="33" hidden="1" customWidth="1" outlineLevel="1"/>
    <col min="35" max="35" width="11.83984375" style="33" hidden="1" customWidth="1" outlineLevel="1"/>
    <col min="36" max="36" width="11.578125" style="33" hidden="1" customWidth="1" outlineLevel="1"/>
    <col min="37" max="37" width="6.83984375" style="33" hidden="1" customWidth="1" outlineLevel="1"/>
    <col min="38" max="38" width="35" style="33" hidden="1" customWidth="1" outlineLevel="1"/>
    <col min="39" max="39" width="7.26171875" style="33" collapsed="1"/>
    <col min="40" max="16384" width="7.26171875" style="33"/>
  </cols>
  <sheetData>
    <row r="1" spans="2:29" ht="10.5" x14ac:dyDescent="0.4">
      <c r="B1" s="34"/>
      <c r="L1" s="34"/>
      <c r="M1" s="34"/>
      <c r="O1" s="34"/>
      <c r="P1" s="34"/>
      <c r="W1" s="33"/>
    </row>
    <row r="2" spans="2:29" s="36" customFormat="1" ht="45" customHeight="1" x14ac:dyDescent="0.55000000000000004">
      <c r="B2" s="37"/>
      <c r="C2" s="38"/>
      <c r="D2" s="38"/>
      <c r="E2" s="37" t="s">
        <v>5457</v>
      </c>
      <c r="F2" s="38"/>
      <c r="G2" s="38"/>
      <c r="H2" s="38"/>
      <c r="I2" s="38"/>
      <c r="J2" s="38"/>
      <c r="K2" s="38"/>
      <c r="L2" s="38"/>
      <c r="M2" s="38"/>
      <c r="N2" s="38"/>
      <c r="O2" s="38"/>
      <c r="P2" s="38"/>
      <c r="Q2" s="38"/>
      <c r="R2" s="39"/>
      <c r="AC2" s="40"/>
    </row>
    <row r="3" spans="2:29" s="41" customFormat="1" ht="14.25" customHeight="1" x14ac:dyDescent="0.4">
      <c r="B3" s="42" t="s">
        <v>4869</v>
      </c>
      <c r="C3" s="42"/>
      <c r="D3" s="42"/>
      <c r="E3" s="42"/>
      <c r="F3" s="42"/>
      <c r="N3" s="43" t="s">
        <v>4872</v>
      </c>
      <c r="P3" s="43"/>
      <c r="AC3" s="45"/>
    </row>
    <row r="4" spans="2:29" ht="10.15" customHeight="1" x14ac:dyDescent="0.55000000000000004">
      <c r="B4" s="46"/>
      <c r="C4" s="47"/>
      <c r="D4" s="47"/>
      <c r="E4" s="47"/>
      <c r="F4" s="47"/>
      <c r="M4" s="6"/>
      <c r="N4" s="48"/>
      <c r="O4" s="48"/>
      <c r="P4" s="48"/>
      <c r="W4" s="33"/>
    </row>
    <row r="5" spans="2:29" ht="11.25" customHeight="1" x14ac:dyDescent="0.55000000000000004">
      <c r="B5" s="50" t="s">
        <v>4877</v>
      </c>
      <c r="C5" s="51"/>
      <c r="D5" s="51"/>
      <c r="E5" s="51"/>
      <c r="F5" s="51"/>
      <c r="M5" s="6"/>
      <c r="N5" s="52" t="s">
        <v>4873</v>
      </c>
      <c r="O5" s="48"/>
      <c r="P5" s="48"/>
      <c r="W5" s="33"/>
    </row>
    <row r="6" spans="2:29" ht="11.25" customHeight="1" x14ac:dyDescent="0.55000000000000004">
      <c r="B6" s="50" t="s">
        <v>5515</v>
      </c>
      <c r="C6" s="51"/>
      <c r="D6" s="51"/>
      <c r="E6" s="51"/>
      <c r="F6" s="51"/>
      <c r="M6" s="6"/>
      <c r="N6" s="54"/>
      <c r="O6" s="48"/>
      <c r="P6" s="48"/>
      <c r="W6" s="33"/>
    </row>
    <row r="7" spans="2:29" ht="11.25" customHeight="1" x14ac:dyDescent="0.55000000000000004">
      <c r="B7" s="50" t="s">
        <v>4870</v>
      </c>
      <c r="C7" s="56"/>
      <c r="D7" s="51"/>
      <c r="E7" s="51"/>
      <c r="F7" s="51"/>
      <c r="M7" s="6"/>
      <c r="N7" s="54" t="s">
        <v>4875</v>
      </c>
      <c r="O7" s="48"/>
      <c r="P7" s="349" t="s">
        <v>4874</v>
      </c>
      <c r="W7" s="33"/>
    </row>
    <row r="8" spans="2:29" ht="11.25" customHeight="1" x14ac:dyDescent="0.4">
      <c r="B8" s="58"/>
      <c r="C8" s="59"/>
      <c r="D8" s="60"/>
      <c r="E8" s="60"/>
      <c r="F8" s="60"/>
      <c r="G8" s="60"/>
      <c r="H8" s="60"/>
      <c r="I8" s="60"/>
      <c r="J8" s="60"/>
      <c r="K8" s="60"/>
      <c r="L8" s="60"/>
      <c r="M8" s="59"/>
      <c r="N8" s="59"/>
      <c r="O8" s="61"/>
      <c r="P8" s="59"/>
      <c r="Q8" s="62"/>
      <c r="R8" s="62"/>
      <c r="W8" s="33"/>
    </row>
    <row r="9" spans="2:29" ht="8.1" customHeight="1" x14ac:dyDescent="0.4">
      <c r="B9" s="63"/>
      <c r="C9" s="48"/>
      <c r="D9" s="47"/>
      <c r="E9" s="47"/>
      <c r="F9" s="47"/>
      <c r="G9" s="47"/>
      <c r="H9" s="47"/>
      <c r="I9" s="47"/>
      <c r="J9" s="47"/>
      <c r="K9" s="47"/>
      <c r="L9" s="47"/>
      <c r="M9" s="48"/>
      <c r="N9" s="48"/>
      <c r="O9" s="48"/>
      <c r="P9" s="48"/>
      <c r="Q9" s="64"/>
      <c r="R9" s="64"/>
      <c r="W9" s="33"/>
    </row>
    <row r="10" spans="2:29" ht="14.25" customHeight="1" x14ac:dyDescent="0.4">
      <c r="B10" s="42" t="s">
        <v>5511</v>
      </c>
      <c r="C10" s="42"/>
      <c r="D10" s="42"/>
      <c r="E10" s="42"/>
      <c r="F10" s="42"/>
      <c r="G10" s="42"/>
      <c r="H10" s="42"/>
      <c r="I10" s="42"/>
      <c r="J10" s="42"/>
      <c r="K10" s="42"/>
      <c r="L10" s="42" t="s">
        <v>4878</v>
      </c>
      <c r="M10" s="42"/>
      <c r="N10" s="42"/>
      <c r="O10" s="42"/>
      <c r="P10" s="42"/>
      <c r="Q10" s="42"/>
      <c r="R10" s="42"/>
      <c r="W10" s="33"/>
    </row>
    <row r="11" spans="2:29" ht="11.25" customHeight="1" x14ac:dyDescent="0.4">
      <c r="B11" s="46"/>
      <c r="C11" s="47"/>
      <c r="D11" s="48"/>
      <c r="E11" s="47"/>
      <c r="F11" s="47"/>
      <c r="G11" s="47"/>
      <c r="H11" s="47"/>
      <c r="I11" s="47"/>
      <c r="J11" s="47"/>
      <c r="K11" s="47"/>
      <c r="L11" s="459" t="str">
        <f>IF(Selected_Field_Check="NA","-",IF(T60="","-",T60))</f>
        <v>Aetna Life Insurance Co.'s peers are Life Co's in the Market Intelligence-determined category of Specialty A&amp;H Focus with the closest amt of Net Total Assets for 2019Y.</v>
      </c>
      <c r="M11" s="459"/>
      <c r="N11" s="459"/>
      <c r="O11" s="459"/>
      <c r="P11" s="459"/>
      <c r="Q11" s="459"/>
      <c r="R11" s="459"/>
      <c r="W11" s="33"/>
    </row>
    <row r="12" spans="2:29" ht="11.25" customHeight="1" x14ac:dyDescent="0.35">
      <c r="B12" s="360" t="s">
        <v>5364</v>
      </c>
      <c r="D12" s="360" t="s">
        <v>5356</v>
      </c>
      <c r="F12" s="360" t="s">
        <v>4999</v>
      </c>
      <c r="G12" s="48"/>
      <c r="H12" s="360" t="s">
        <v>5513</v>
      </c>
      <c r="K12" s="48"/>
      <c r="L12" s="459"/>
      <c r="M12" s="459"/>
      <c r="N12" s="459"/>
      <c r="O12" s="459"/>
      <c r="P12" s="459"/>
      <c r="Q12" s="459"/>
      <c r="R12" s="459"/>
      <c r="W12" s="33"/>
    </row>
    <row r="13" spans="2:29" ht="10.5" x14ac:dyDescent="0.4">
      <c r="B13" s="71"/>
      <c r="C13" s="72"/>
      <c r="D13" s="48"/>
      <c r="E13" s="48"/>
      <c r="F13" s="48"/>
      <c r="G13" s="48"/>
      <c r="H13" s="48"/>
      <c r="I13" s="48"/>
      <c r="J13" s="48"/>
      <c r="K13" s="48"/>
      <c r="L13" s="47"/>
      <c r="M13" s="48"/>
      <c r="N13" s="48"/>
      <c r="O13" s="48"/>
      <c r="P13" s="48"/>
      <c r="Q13" s="48"/>
      <c r="R13" s="48"/>
      <c r="W13" s="33"/>
    </row>
    <row r="14" spans="2:29" ht="11.25" customHeight="1" x14ac:dyDescent="0.35">
      <c r="B14" s="360" t="s">
        <v>4947</v>
      </c>
      <c r="D14" s="360" t="s">
        <v>5357</v>
      </c>
      <c r="E14" s="48"/>
      <c r="F14" s="360" t="s">
        <v>5512</v>
      </c>
      <c r="G14" s="48"/>
      <c r="H14" s="48"/>
      <c r="I14" s="48"/>
      <c r="J14" s="48"/>
      <c r="K14" s="48"/>
      <c r="L14" s="73" t="s">
        <v>4881</v>
      </c>
      <c r="M14" s="48"/>
      <c r="N14" s="48"/>
      <c r="O14" s="48"/>
      <c r="P14" s="48"/>
      <c r="Q14" s="48"/>
      <c r="R14" s="48"/>
      <c r="W14" s="33"/>
    </row>
    <row r="15" spans="2:29" ht="11.25" customHeight="1" x14ac:dyDescent="0.4">
      <c r="D15" s="48"/>
      <c r="E15" s="47"/>
      <c r="F15" s="47"/>
      <c r="G15" s="48"/>
      <c r="H15" s="47"/>
      <c r="I15" s="47"/>
      <c r="J15" s="47"/>
      <c r="K15" s="47"/>
      <c r="L15" s="73"/>
      <c r="M15" s="48"/>
      <c r="N15" s="48"/>
      <c r="O15" s="48"/>
      <c r="P15" s="48"/>
      <c r="Q15" s="48"/>
      <c r="R15" s="48"/>
      <c r="W15" s="33"/>
    </row>
    <row r="16" spans="2:29" ht="11.25" customHeight="1" x14ac:dyDescent="0.4">
      <c r="B16" s="360" t="s">
        <v>4961</v>
      </c>
      <c r="C16" s="66"/>
      <c r="D16" s="360" t="s">
        <v>5392</v>
      </c>
      <c r="E16" s="66"/>
      <c r="F16" s="360" t="s">
        <v>5405</v>
      </c>
      <c r="G16" s="66"/>
      <c r="H16" s="66"/>
      <c r="I16" s="66"/>
      <c r="J16" s="66"/>
      <c r="K16" s="66"/>
      <c r="L16" s="73" t="s">
        <v>4883</v>
      </c>
      <c r="M16" s="48"/>
      <c r="N16" s="48"/>
      <c r="O16" s="48"/>
      <c r="P16" s="48"/>
      <c r="Q16" s="48"/>
      <c r="R16" s="48"/>
      <c r="W16" s="33"/>
    </row>
    <row r="17" spans="1:29" ht="11.25" customHeight="1" x14ac:dyDescent="0.35">
      <c r="B17" s="59"/>
      <c r="C17" s="59"/>
      <c r="D17" s="59"/>
      <c r="E17" s="59"/>
      <c r="F17" s="59"/>
      <c r="G17" s="59"/>
      <c r="H17" s="59"/>
      <c r="I17" s="59"/>
      <c r="J17" s="59"/>
      <c r="K17" s="48"/>
      <c r="L17" s="73"/>
      <c r="M17" s="48"/>
      <c r="N17" s="48"/>
      <c r="O17" s="48"/>
      <c r="P17" s="48"/>
      <c r="Q17" s="48"/>
      <c r="R17" s="48"/>
      <c r="W17" s="33"/>
    </row>
    <row r="18" spans="1:29" ht="11.25" customHeight="1" x14ac:dyDescent="0.4">
      <c r="B18" s="42" t="s">
        <v>4871</v>
      </c>
      <c r="C18" s="48"/>
      <c r="D18" s="48"/>
      <c r="E18" s="48"/>
      <c r="F18" s="48"/>
      <c r="G18" s="48"/>
      <c r="H18" s="48"/>
      <c r="I18" s="79"/>
      <c r="J18" s="48"/>
      <c r="K18" s="48"/>
      <c r="L18" s="73" t="s">
        <v>4885</v>
      </c>
      <c r="M18" s="48"/>
      <c r="N18" s="48"/>
      <c r="O18" s="48"/>
      <c r="P18" s="48"/>
      <c r="Q18" s="48"/>
      <c r="R18" s="48"/>
      <c r="W18" s="33"/>
    </row>
    <row r="19" spans="1:29" ht="11.25" customHeight="1" x14ac:dyDescent="0.35">
      <c r="B19" s="80"/>
      <c r="C19" s="81"/>
      <c r="D19" s="81"/>
      <c r="E19" s="81"/>
      <c r="F19" s="81"/>
      <c r="G19" s="81"/>
      <c r="H19" s="81"/>
      <c r="K19" s="81"/>
      <c r="L19" s="76"/>
      <c r="M19" s="48"/>
      <c r="N19" s="48"/>
      <c r="O19" s="48"/>
      <c r="P19" s="48"/>
      <c r="Q19" s="48"/>
      <c r="R19" s="48"/>
      <c r="W19" s="33"/>
    </row>
    <row r="20" spans="1:29" ht="11.25" customHeight="1" x14ac:dyDescent="0.35">
      <c r="A20" s="77"/>
      <c r="B20" s="69" t="s">
        <v>4879</v>
      </c>
      <c r="C20" s="70" t="s">
        <v>4943</v>
      </c>
      <c r="D20" s="48"/>
      <c r="E20" s="48"/>
      <c r="F20" s="65"/>
      <c r="G20" s="48"/>
      <c r="H20" s="48"/>
      <c r="I20" s="361" t="s">
        <v>5564</v>
      </c>
      <c r="J20" s="362"/>
      <c r="K20" s="48"/>
      <c r="L20" s="73" t="s">
        <v>4888</v>
      </c>
      <c r="M20" s="48"/>
      <c r="N20" s="48"/>
      <c r="O20" s="48"/>
      <c r="P20" s="48"/>
      <c r="Q20" s="48"/>
      <c r="R20" s="48"/>
      <c r="W20" s="33"/>
    </row>
    <row r="21" spans="1:29" ht="11.25" customHeight="1" x14ac:dyDescent="0.35">
      <c r="E21" s="65"/>
      <c r="F21" s="65"/>
      <c r="G21" s="83"/>
      <c r="H21" s="83"/>
      <c r="I21" s="83"/>
      <c r="J21" s="83"/>
      <c r="K21" s="83"/>
      <c r="L21" s="73"/>
      <c r="M21" s="48"/>
      <c r="N21" s="48"/>
      <c r="O21" s="48"/>
      <c r="P21" s="48"/>
      <c r="Q21" s="48"/>
      <c r="R21" s="48"/>
      <c r="W21" s="33"/>
    </row>
    <row r="22" spans="1:29" ht="11.25" customHeight="1" x14ac:dyDescent="0.35">
      <c r="B22" s="69" t="s">
        <v>4880</v>
      </c>
      <c r="C22" s="74" t="s">
        <v>4882</v>
      </c>
      <c r="D22" s="48"/>
      <c r="E22" s="48"/>
      <c r="F22" s="48"/>
      <c r="G22" s="65"/>
      <c r="H22" s="65"/>
      <c r="I22" s="65"/>
      <c r="J22" s="65"/>
      <c r="K22" s="65"/>
      <c r="L22" s="73" t="s">
        <v>4891</v>
      </c>
      <c r="M22" s="48"/>
      <c r="N22" s="48"/>
      <c r="O22" s="48"/>
      <c r="P22" s="48"/>
      <c r="Q22" s="48"/>
      <c r="R22" s="48"/>
      <c r="W22" s="33"/>
    </row>
    <row r="23" spans="1:29" ht="11.25" customHeight="1" x14ac:dyDescent="0.35">
      <c r="B23" s="86"/>
      <c r="C23" s="48"/>
      <c r="D23" s="48"/>
      <c r="E23" s="48"/>
      <c r="F23" s="48"/>
      <c r="G23" s="48"/>
      <c r="H23" s="48"/>
      <c r="I23" s="48"/>
      <c r="J23" s="48"/>
      <c r="K23" s="48"/>
      <c r="L23" s="73"/>
      <c r="M23" s="81"/>
      <c r="N23" s="81"/>
      <c r="O23" s="81"/>
      <c r="P23" s="81"/>
      <c r="Q23" s="84"/>
      <c r="R23" s="81"/>
      <c r="W23" s="33"/>
    </row>
    <row r="24" spans="1:29" s="77" customFormat="1" ht="11.25" customHeight="1" x14ac:dyDescent="0.4">
      <c r="A24" s="33"/>
      <c r="B24" s="75" t="s">
        <v>4884</v>
      </c>
      <c r="G24" s="48"/>
      <c r="H24" s="48"/>
      <c r="I24" s="48"/>
      <c r="J24" s="48"/>
      <c r="K24" s="48"/>
      <c r="L24" s="73" t="s">
        <v>4893</v>
      </c>
      <c r="M24" s="48"/>
      <c r="N24" s="48"/>
      <c r="O24" s="48"/>
      <c r="P24" s="48"/>
      <c r="Q24" s="84"/>
      <c r="R24" s="48"/>
      <c r="AC24" s="85"/>
    </row>
    <row r="25" spans="1:29" ht="11.25" customHeight="1" x14ac:dyDescent="0.35">
      <c r="B25" s="48"/>
      <c r="C25" s="48"/>
      <c r="D25" s="48"/>
      <c r="E25" s="48"/>
      <c r="F25" s="48"/>
      <c r="G25" s="48"/>
      <c r="H25" s="48"/>
      <c r="I25" s="48"/>
      <c r="J25" s="48"/>
      <c r="K25" s="48"/>
      <c r="L25" s="87"/>
      <c r="M25" s="65"/>
      <c r="N25" s="48"/>
      <c r="O25" s="48"/>
      <c r="P25" s="48"/>
      <c r="Q25" s="88"/>
      <c r="R25" s="48"/>
      <c r="W25" s="33"/>
    </row>
    <row r="26" spans="1:29" ht="11.25" customHeight="1" x14ac:dyDescent="0.35">
      <c r="A26" s="89"/>
      <c r="B26" s="78" t="s">
        <v>4886</v>
      </c>
      <c r="C26" s="48" t="s">
        <v>4887</v>
      </c>
      <c r="D26" s="65"/>
      <c r="E26" s="48"/>
      <c r="F26" s="48"/>
      <c r="G26" s="48"/>
      <c r="H26" s="48"/>
      <c r="I26" s="48"/>
      <c r="J26" s="48"/>
      <c r="K26" s="48"/>
      <c r="L26" s="73" t="s">
        <v>4895</v>
      </c>
      <c r="M26" s="65"/>
      <c r="N26" s="48"/>
      <c r="O26" s="48"/>
      <c r="P26" s="48"/>
      <c r="Q26" s="84"/>
      <c r="R26" s="48"/>
      <c r="W26" s="33"/>
    </row>
    <row r="27" spans="1:29" ht="11.25" customHeight="1" x14ac:dyDescent="0.35">
      <c r="A27" s="90"/>
      <c r="L27" s="73"/>
      <c r="M27" s="65"/>
      <c r="N27" s="48"/>
      <c r="O27" s="48"/>
      <c r="P27" s="48"/>
      <c r="Q27" s="84"/>
      <c r="R27" s="48"/>
      <c r="W27" s="33"/>
    </row>
    <row r="28" spans="1:29" ht="11.25" customHeight="1" x14ac:dyDescent="0.35">
      <c r="A28" s="90"/>
      <c r="B28" s="82" t="s">
        <v>4889</v>
      </c>
      <c r="C28" s="48" t="s">
        <v>4890</v>
      </c>
      <c r="D28" s="77"/>
      <c r="E28" s="77"/>
      <c r="L28" s="73" t="s">
        <v>4896</v>
      </c>
      <c r="M28" s="65"/>
      <c r="N28" s="48"/>
      <c r="O28" s="48"/>
      <c r="P28" s="48"/>
      <c r="Q28" s="84"/>
      <c r="R28" s="48"/>
      <c r="W28" s="33"/>
    </row>
    <row r="29" spans="1:29" ht="11.25" customHeight="1" x14ac:dyDescent="0.4">
      <c r="A29" s="90"/>
      <c r="B29" s="91"/>
      <c r="C29" s="48"/>
      <c r="D29" s="48"/>
      <c r="E29" s="48"/>
      <c r="F29" s="48"/>
      <c r="G29" s="48"/>
      <c r="H29" s="92"/>
      <c r="I29" s="90"/>
      <c r="J29" s="48"/>
      <c r="K29" s="48"/>
      <c r="L29" s="93"/>
      <c r="M29" s="94"/>
      <c r="N29" s="48"/>
      <c r="O29" s="94"/>
      <c r="P29" s="94"/>
      <c r="Q29" s="84"/>
      <c r="R29" s="94"/>
      <c r="W29" s="33"/>
    </row>
    <row r="30" spans="1:29" ht="11.25" customHeight="1" x14ac:dyDescent="0.4">
      <c r="A30" s="90"/>
      <c r="B30" s="82" t="s">
        <v>4892</v>
      </c>
      <c r="C30" s="48" t="s">
        <v>4894</v>
      </c>
      <c r="F30" s="48"/>
      <c r="G30" s="92"/>
      <c r="H30" s="92"/>
      <c r="I30" s="90"/>
      <c r="J30" s="48"/>
      <c r="K30" s="48"/>
      <c r="L30" s="73" t="s">
        <v>4897</v>
      </c>
      <c r="M30" s="48"/>
      <c r="N30" s="48"/>
      <c r="O30" s="95"/>
      <c r="P30" s="96"/>
      <c r="Q30" s="84"/>
      <c r="R30" s="96"/>
      <c r="W30" s="33"/>
    </row>
    <row r="31" spans="1:29" ht="11.25" customHeight="1" x14ac:dyDescent="0.35">
      <c r="A31" s="90"/>
      <c r="B31" s="97"/>
      <c r="C31" s="98"/>
      <c r="D31" s="48"/>
      <c r="E31" s="48"/>
      <c r="F31" s="65"/>
      <c r="G31" s="48"/>
      <c r="H31" s="48"/>
      <c r="I31" s="90"/>
      <c r="J31" s="65"/>
      <c r="K31" s="65"/>
      <c r="L31" s="73"/>
      <c r="M31" s="48"/>
      <c r="N31" s="48"/>
      <c r="O31" s="99"/>
      <c r="P31" s="100"/>
      <c r="Q31" s="101"/>
      <c r="R31" s="100"/>
      <c r="W31" s="33"/>
    </row>
    <row r="32" spans="1:29" ht="11.25" customHeight="1" x14ac:dyDescent="0.4">
      <c r="A32" s="65"/>
      <c r="B32" s="71" t="s">
        <v>5403</v>
      </c>
      <c r="C32" s="48" t="s">
        <v>5362</v>
      </c>
      <c r="D32" s="48"/>
      <c r="E32" s="48"/>
      <c r="F32" s="65"/>
      <c r="G32" s="102"/>
      <c r="H32" s="103"/>
      <c r="I32" s="104"/>
      <c r="J32" s="102"/>
      <c r="K32" s="103"/>
      <c r="L32" s="73" t="s">
        <v>4898</v>
      </c>
      <c r="M32" s="48"/>
      <c r="N32" s="48"/>
      <c r="O32" s="99"/>
      <c r="P32" s="105"/>
      <c r="Q32" s="106"/>
      <c r="R32" s="65"/>
      <c r="W32" s="33"/>
    </row>
    <row r="33" spans="1:29" ht="10.5" x14ac:dyDescent="0.4">
      <c r="A33" s="65"/>
      <c r="B33" s="65"/>
      <c r="C33" s="107"/>
      <c r="D33" s="65"/>
      <c r="E33" s="65"/>
      <c r="F33" s="65"/>
      <c r="G33" s="108"/>
      <c r="H33" s="109"/>
      <c r="I33" s="108"/>
      <c r="J33" s="109"/>
      <c r="K33" s="48"/>
      <c r="L33" s="48"/>
      <c r="M33" s="48"/>
      <c r="N33" s="48"/>
      <c r="O33" s="99"/>
      <c r="P33" s="105"/>
      <c r="Q33" s="106"/>
      <c r="R33" s="65"/>
      <c r="W33" s="33"/>
    </row>
    <row r="34" spans="1:29" ht="3.75" customHeight="1" x14ac:dyDescent="0.35">
      <c r="A34" s="65"/>
      <c r="B34" s="111"/>
      <c r="C34" s="111"/>
      <c r="D34" s="111"/>
      <c r="E34" s="111"/>
      <c r="F34" s="111"/>
      <c r="G34" s="111"/>
      <c r="H34" s="111"/>
      <c r="I34" s="111"/>
      <c r="J34" s="111"/>
      <c r="K34" s="111"/>
      <c r="L34" s="111"/>
      <c r="M34" s="111"/>
      <c r="N34" s="111"/>
      <c r="O34" s="111"/>
      <c r="P34" s="111"/>
      <c r="Q34" s="111"/>
      <c r="R34" s="111"/>
      <c r="W34" s="33"/>
    </row>
    <row r="35" spans="1:29" ht="14.4" x14ac:dyDescent="0.55000000000000004">
      <c r="B35" s="110"/>
      <c r="L35" s="6"/>
      <c r="M35" s="6"/>
      <c r="N35" s="6"/>
      <c r="O35" s="6"/>
      <c r="P35" s="6"/>
    </row>
    <row r="36" spans="1:29" ht="11.4" x14ac:dyDescent="0.4">
      <c r="B36" s="44" t="s">
        <v>4876</v>
      </c>
      <c r="L36" s="44" t="s">
        <v>5505</v>
      </c>
    </row>
    <row r="37" spans="1:29" x14ac:dyDescent="0.35">
      <c r="B37" s="100" t="str">
        <f ca="1">"Copyright © "&amp;YEAR(TODAY())&amp;" S&amp;P Global Market Intelligence LLC (and its affiliates as applicable) – All rights reserved.  "</f>
        <v xml:space="preserve">Copyright © 2021 S&amp;P Global Market Intelligence LLC (and its affiliates as applicable) – All rights reserved.  </v>
      </c>
      <c r="C37" s="348"/>
      <c r="L37" s="460" t="s">
        <v>5506</v>
      </c>
      <c r="M37" s="460"/>
      <c r="N37" s="460"/>
      <c r="O37" s="460"/>
      <c r="P37" s="460"/>
      <c r="Q37" s="460"/>
      <c r="R37" s="460"/>
    </row>
    <row r="38" spans="1:29" x14ac:dyDescent="0.35">
      <c r="B38" s="100" t="s">
        <v>5503</v>
      </c>
      <c r="C38" s="348"/>
      <c r="L38" s="460"/>
      <c r="M38" s="460"/>
      <c r="N38" s="460"/>
      <c r="O38" s="460"/>
      <c r="P38" s="460"/>
      <c r="Q38" s="460"/>
      <c r="R38" s="460"/>
    </row>
    <row r="39" spans="1:29" x14ac:dyDescent="0.35">
      <c r="B39" s="100" t="s">
        <v>5504</v>
      </c>
    </row>
    <row r="40" spans="1:29" ht="3.4" customHeight="1" x14ac:dyDescent="0.35">
      <c r="B40" s="111"/>
      <c r="C40" s="111"/>
      <c r="D40" s="111"/>
      <c r="E40" s="111"/>
      <c r="F40" s="111"/>
      <c r="G40" s="111"/>
      <c r="H40" s="111"/>
      <c r="I40" s="111"/>
      <c r="J40" s="111"/>
      <c r="K40" s="111"/>
      <c r="L40" s="111"/>
      <c r="M40" s="111"/>
      <c r="N40" s="111"/>
      <c r="O40" s="111"/>
      <c r="P40" s="111"/>
      <c r="Q40" s="111"/>
      <c r="R40" s="111"/>
    </row>
    <row r="41" spans="1:29" ht="14.4" x14ac:dyDescent="0.55000000000000004">
      <c r="B41" s="110"/>
      <c r="L41" s="6"/>
      <c r="M41" s="6"/>
      <c r="N41" s="6"/>
      <c r="O41" s="6"/>
      <c r="P41" s="6"/>
    </row>
    <row r="42" spans="1:29" x14ac:dyDescent="0.35">
      <c r="M42" s="49"/>
    </row>
    <row r="43" spans="1:29" s="41" customFormat="1" x14ac:dyDescent="0.35">
      <c r="A43" s="68"/>
      <c r="C43" s="33"/>
      <c r="K43" s="112"/>
      <c r="L43" s="67"/>
      <c r="M43" s="53"/>
      <c r="N43" s="100"/>
      <c r="AC43" s="45"/>
    </row>
    <row r="44" spans="1:29" s="41" customFormat="1" x14ac:dyDescent="0.35">
      <c r="A44" s="68"/>
      <c r="B44" s="100"/>
      <c r="K44" s="112"/>
      <c r="L44" s="67"/>
      <c r="M44" s="55"/>
      <c r="N44" s="100"/>
      <c r="AC44" s="45"/>
    </row>
    <row r="45" spans="1:29" s="41" customFormat="1" x14ac:dyDescent="0.35">
      <c r="A45" s="68"/>
      <c r="C45" s="33"/>
      <c r="K45" s="112"/>
      <c r="L45" s="67"/>
      <c r="M45" s="57"/>
      <c r="N45" s="100"/>
      <c r="AC45" s="45"/>
    </row>
    <row r="46" spans="1:29" s="41" customFormat="1" x14ac:dyDescent="0.35">
      <c r="A46" s="68"/>
      <c r="K46" s="112"/>
      <c r="L46" s="67"/>
      <c r="M46" s="356"/>
      <c r="N46" s="100"/>
      <c r="AC46" s="45"/>
    </row>
    <row r="47" spans="1:29" s="41" customFormat="1" x14ac:dyDescent="0.35">
      <c r="A47" s="68"/>
      <c r="E47" s="67"/>
      <c r="K47" s="112"/>
      <c r="L47" s="67"/>
      <c r="M47" s="113"/>
      <c r="N47" s="100"/>
      <c r="AC47" s="45"/>
    </row>
    <row r="48" spans="1:29" s="41" customFormat="1" x14ac:dyDescent="0.35">
      <c r="A48" s="68"/>
      <c r="B48" s="100"/>
      <c r="E48" s="67"/>
      <c r="K48" s="112"/>
      <c r="L48" s="67"/>
      <c r="M48" s="113"/>
      <c r="N48" s="100"/>
      <c r="AC48" s="45"/>
    </row>
    <row r="49" spans="1:30" s="41" customFormat="1" x14ac:dyDescent="0.35">
      <c r="A49" s="68"/>
      <c r="B49" s="100"/>
      <c r="C49" s="67"/>
      <c r="D49" s="67"/>
      <c r="E49" s="67"/>
      <c r="F49" s="67"/>
      <c r="G49" s="112"/>
      <c r="H49" s="112"/>
      <c r="I49" s="112"/>
      <c r="J49" s="112"/>
      <c r="K49" s="112"/>
      <c r="L49" s="67"/>
      <c r="M49" s="113"/>
      <c r="N49" s="100"/>
      <c r="AC49" s="45"/>
    </row>
    <row r="50" spans="1:30" s="41" customFormat="1" x14ac:dyDescent="0.35">
      <c r="A50" s="68"/>
      <c r="B50" s="100"/>
      <c r="C50" s="67"/>
      <c r="D50" s="67"/>
      <c r="E50" s="67"/>
      <c r="F50" s="67"/>
      <c r="G50" s="112"/>
      <c r="H50" s="112"/>
      <c r="I50" s="112"/>
      <c r="J50" s="112"/>
      <c r="K50" s="112"/>
      <c r="L50" s="67"/>
      <c r="M50" s="113"/>
      <c r="N50" s="100"/>
      <c r="AC50" s="45"/>
    </row>
    <row r="51" spans="1:30" s="41" customFormat="1" x14ac:dyDescent="0.35">
      <c r="A51" s="68"/>
      <c r="B51" s="100"/>
      <c r="C51" s="67"/>
      <c r="D51" s="67"/>
      <c r="E51" s="67"/>
      <c r="F51" s="67"/>
      <c r="G51" s="112"/>
      <c r="H51" s="112"/>
      <c r="I51" s="112"/>
      <c r="J51" s="112"/>
      <c r="K51" s="112"/>
      <c r="L51" s="67"/>
      <c r="M51" s="113"/>
      <c r="N51" s="100"/>
      <c r="AC51" s="45"/>
    </row>
    <row r="52" spans="1:30" s="41" customFormat="1" x14ac:dyDescent="0.35">
      <c r="A52" s="68"/>
      <c r="B52" s="100"/>
      <c r="C52" s="67"/>
      <c r="D52" s="67"/>
      <c r="E52" s="67"/>
      <c r="F52" s="67"/>
      <c r="G52" s="112"/>
      <c r="H52" s="112"/>
      <c r="I52" s="112"/>
      <c r="J52" s="112"/>
      <c r="K52" s="112"/>
      <c r="L52" s="67"/>
      <c r="M52" s="113"/>
      <c r="N52" s="100"/>
      <c r="AC52" s="45"/>
    </row>
    <row r="53" spans="1:30" s="41" customFormat="1" x14ac:dyDescent="0.35">
      <c r="A53" s="68"/>
      <c r="B53" s="100"/>
      <c r="C53" s="67"/>
      <c r="D53" s="67"/>
      <c r="E53" s="67"/>
      <c r="F53" s="67"/>
      <c r="G53" s="112"/>
      <c r="H53" s="112"/>
      <c r="I53" s="112"/>
      <c r="J53" s="112"/>
      <c r="K53" s="112"/>
      <c r="L53" s="67"/>
      <c r="M53" s="113"/>
      <c r="N53" s="100"/>
      <c r="AC53" s="45"/>
    </row>
    <row r="54" spans="1:30" s="41" customFormat="1" x14ac:dyDescent="0.35">
      <c r="A54" s="68"/>
      <c r="B54" s="100"/>
      <c r="C54" s="67"/>
      <c r="D54" s="67"/>
      <c r="E54" s="67"/>
      <c r="F54" s="67"/>
      <c r="G54" s="112"/>
      <c r="H54" s="112"/>
      <c r="I54" s="112"/>
      <c r="J54" s="112"/>
      <c r="K54" s="112"/>
      <c r="L54" s="67"/>
      <c r="M54" s="113"/>
      <c r="N54" s="100"/>
      <c r="AC54" s="45"/>
    </row>
    <row r="55" spans="1:30" s="41" customFormat="1" x14ac:dyDescent="0.35">
      <c r="A55" s="68"/>
      <c r="B55" s="100"/>
      <c r="C55" s="67"/>
      <c r="D55" s="67"/>
      <c r="E55" s="67"/>
      <c r="F55" s="67"/>
      <c r="G55" s="112"/>
      <c r="H55" s="112"/>
      <c r="I55" s="112"/>
      <c r="J55" s="112"/>
      <c r="K55" s="112"/>
      <c r="L55" s="67"/>
      <c r="M55" s="113"/>
      <c r="N55" s="100"/>
      <c r="AC55" s="45"/>
    </row>
    <row r="56" spans="1:30" s="41" customFormat="1" x14ac:dyDescent="0.35">
      <c r="A56" s="68"/>
      <c r="B56" s="100"/>
      <c r="C56" s="67"/>
      <c r="D56" s="67"/>
      <c r="E56" s="67"/>
      <c r="F56" s="67"/>
      <c r="G56" s="67"/>
      <c r="H56" s="67"/>
      <c r="I56" s="67"/>
      <c r="J56" s="67"/>
      <c r="K56" s="67"/>
      <c r="L56" s="67"/>
      <c r="M56" s="113"/>
      <c r="N56" s="100"/>
      <c r="AC56" s="45"/>
    </row>
    <row r="57" spans="1:30" s="41" customFormat="1" x14ac:dyDescent="0.35">
      <c r="A57" s="68"/>
      <c r="B57" s="100"/>
      <c r="C57" s="67"/>
      <c r="D57" s="67"/>
      <c r="E57" s="67"/>
      <c r="F57" s="67"/>
      <c r="G57" s="114"/>
      <c r="H57" s="114"/>
      <c r="I57" s="114"/>
      <c r="J57" s="114"/>
      <c r="K57" s="114"/>
      <c r="N57" s="100"/>
      <c r="AC57" s="45"/>
    </row>
    <row r="58" spans="1:30" s="41" customFormat="1" x14ac:dyDescent="0.35">
      <c r="M58" s="115"/>
      <c r="N58" s="116"/>
      <c r="O58" s="117"/>
      <c r="P58" s="116"/>
      <c r="Q58" s="116"/>
      <c r="R58" s="100"/>
      <c r="AC58" s="45"/>
    </row>
    <row r="59" spans="1:30" x14ac:dyDescent="0.35">
      <c r="W59" s="33"/>
    </row>
    <row r="60" spans="1:30" ht="10.5" x14ac:dyDescent="0.35">
      <c r="T60" s="118" t="s">
        <v>5520</v>
      </c>
      <c r="U60" s="119"/>
      <c r="V60" s="119"/>
      <c r="W60" s="119"/>
      <c r="X60" s="119"/>
      <c r="Y60" s="119"/>
      <c r="Z60" s="119"/>
      <c r="AA60" s="120"/>
    </row>
    <row r="61" spans="1:30" ht="10.5" x14ac:dyDescent="0.35">
      <c r="T61" s="121" t="str">
        <f ca="1">IF(ISERROR(Entity_Code),"",T62)</f>
        <v>Aetna Life Insurance Co.'s peers are Life Co's in the Market Intelligence-determined category of Specialty A&amp;H Focus with the closest amt of Net Total Assets for 2014Y.</v>
      </c>
      <c r="U61" s="119"/>
      <c r="V61" s="119"/>
      <c r="W61" s="119"/>
      <c r="X61" s="119"/>
      <c r="Y61" s="119"/>
      <c r="Z61" s="119"/>
      <c r="AA61" s="120"/>
    </row>
    <row r="62" spans="1:30" ht="10.5" x14ac:dyDescent="0.4">
      <c r="L62" s="65"/>
      <c r="M62" s="122"/>
      <c r="N62" s="116"/>
      <c r="O62" s="117"/>
      <c r="P62" s="116"/>
      <c r="Q62" s="116"/>
      <c r="R62" s="100"/>
      <c r="T62" s="123" t="str">
        <f>FocusCo_Name&amp;"'s peers are Life Co's in the Market Intelligence-determined category of "&amp;FocusCo_Bus.Focus&amp;" with the closest amt of "&amp;Selected_Field&amp;" for "&amp;Period&amp;"."</f>
        <v>Aetna Life Insurance Co.'s peers are Life Co's in the Market Intelligence-determined category of Specialty A&amp;H Focus with the closest amt of Net Total Assets for 2014Y.</v>
      </c>
      <c r="U62" s="124"/>
      <c r="V62" s="124"/>
      <c r="W62" s="124"/>
      <c r="X62" s="124"/>
      <c r="Y62" s="124"/>
      <c r="Z62" s="124"/>
      <c r="AA62" s="125"/>
    </row>
    <row r="63" spans="1:30" x14ac:dyDescent="0.35">
      <c r="W63" s="33"/>
    </row>
    <row r="64" spans="1:30" ht="10.5" x14ac:dyDescent="0.4">
      <c r="W64" s="33"/>
      <c r="AD64" s="105"/>
    </row>
    <row r="65" spans="20:38" x14ac:dyDescent="0.35">
      <c r="T65" s="65"/>
      <c r="U65" s="65"/>
      <c r="W65" s="33"/>
    </row>
    <row r="66" spans="20:38" ht="10.8" thickBot="1" x14ac:dyDescent="0.45">
      <c r="T66" s="67"/>
      <c r="U66" s="230"/>
      <c r="W66" s="126" t="s">
        <v>4899</v>
      </c>
      <c r="X66" s="127">
        <v>116383</v>
      </c>
      <c r="Y66" s="128">
        <f>Sector_Bus.Foc_KF</f>
        <v>126775</v>
      </c>
      <c r="Z66" s="128" t="str">
        <f>IF(Sector_Name="PC",121964,"")</f>
        <v/>
      </c>
      <c r="AA66" s="129">
        <f>Selected_Field_KF</f>
        <v>122915</v>
      </c>
      <c r="AC66" s="130"/>
      <c r="AD66" s="131" t="s">
        <v>4900</v>
      </c>
      <c r="AE66" s="132" t="s">
        <v>4901</v>
      </c>
      <c r="AG66" s="133"/>
      <c r="AH66" s="134" t="s">
        <v>4902</v>
      </c>
      <c r="AI66" s="135" t="s">
        <v>4903</v>
      </c>
      <c r="AJ66" s="136" t="s">
        <v>4904</v>
      </c>
      <c r="AK66" s="137" t="s">
        <v>4905</v>
      </c>
      <c r="AL66" s="138" t="s">
        <v>4906</v>
      </c>
    </row>
    <row r="67" spans="20:38" ht="10.8" thickTop="1" x14ac:dyDescent="0.4">
      <c r="T67" s="65"/>
      <c r="U67" s="105"/>
      <c r="W67" s="139"/>
      <c r="X67" s="140"/>
      <c r="Y67" s="141"/>
      <c r="Z67" s="141"/>
      <c r="AA67" s="142" t="str">
        <f>Period</f>
        <v>2014Y</v>
      </c>
      <c r="AC67" s="143" t="s">
        <v>4907</v>
      </c>
      <c r="AD67" s="144" t="s">
        <v>2452</v>
      </c>
      <c r="AE67" s="145" t="str">
        <f ca="1">IF(Entity_Name="","-",VLOOKUP(Entity_Name,Co_List,2,FALSE))</f>
        <v>I36</v>
      </c>
      <c r="AG67" s="146" t="s">
        <v>4908</v>
      </c>
      <c r="AH67" s="147" t="s">
        <v>2453</v>
      </c>
      <c r="AI67" s="148" t="s">
        <v>4912</v>
      </c>
      <c r="AJ67" s="149">
        <v>126775</v>
      </c>
      <c r="AK67" s="150">
        <v>116077</v>
      </c>
      <c r="AL67" s="151" t="s">
        <v>4913</v>
      </c>
    </row>
    <row r="68" spans="20:38" ht="10.5" x14ac:dyDescent="0.4">
      <c r="T68" s="65"/>
      <c r="U68" s="105"/>
      <c r="W68" s="152"/>
      <c r="X68" s="153"/>
      <c r="Y68" s="154"/>
      <c r="Z68" s="154"/>
      <c r="AA68" s="155"/>
      <c r="AC68" s="156" t="s">
        <v>4909</v>
      </c>
      <c r="AD68" s="157" t="s">
        <v>4471</v>
      </c>
      <c r="AE68" s="158" t="str">
        <f ca="1">IF(Entity_1="","-",VLOOKUP(Entity_1,Co_List,2,FALSE))</f>
        <v>C2874</v>
      </c>
    </row>
    <row r="69" spans="20:38" ht="10.8" thickBot="1" x14ac:dyDescent="0.45">
      <c r="T69" s="65"/>
      <c r="U69" s="65"/>
      <c r="W69" s="159" t="s">
        <v>98</v>
      </c>
      <c r="X69" s="160" t="s">
        <v>97</v>
      </c>
      <c r="Y69" s="161" t="s">
        <v>39</v>
      </c>
      <c r="Z69" s="161"/>
      <c r="AA69" s="162">
        <v>22016493.852000002</v>
      </c>
      <c r="AC69" s="163" t="s">
        <v>4911</v>
      </c>
      <c r="AD69" s="164" t="s">
        <v>4822</v>
      </c>
      <c r="AE69" s="158" t="str">
        <f ca="1">IF(Entity_2="","-",VLOOKUP(Entity_2,Co_List,2,FALSE))</f>
        <v>C5004</v>
      </c>
      <c r="AG69" s="131" t="s">
        <v>4920</v>
      </c>
      <c r="AH69" s="175"/>
      <c r="AI69" s="175"/>
      <c r="AJ69" s="175"/>
      <c r="AK69" s="175"/>
      <c r="AL69" s="165"/>
    </row>
    <row r="70" spans="20:38" ht="11.1" thickTop="1" thickBot="1" x14ac:dyDescent="0.45">
      <c r="T70" s="131" t="s">
        <v>4914</v>
      </c>
      <c r="U70" s="165"/>
      <c r="W70" s="166"/>
      <c r="X70" s="166"/>
      <c r="Y70" s="166"/>
      <c r="Z70" s="166"/>
      <c r="AA70" s="166"/>
      <c r="AC70" s="163" t="s">
        <v>4915</v>
      </c>
      <c r="AD70" s="164" t="s">
        <v>240</v>
      </c>
      <c r="AE70" s="158" t="str">
        <f ca="1">IF(Entity_3="","-",VLOOKUP(Entity_3,Co_List,2,FALSE))</f>
        <v>C2093</v>
      </c>
      <c r="AG70" s="178" t="s">
        <v>4908</v>
      </c>
      <c r="AH70" s="199" t="str">
        <f>"116383|||0|3|False|False|"&amp;FocusCo_Name&amp;"!126775|||1|12|False|False|"&amp;FocusCo_Bus.Focus&amp;"!"&amp;Selected_Field_KF&amp;"|"&amp;Period&amp;"||1|5|False|False|!"</f>
        <v>116383|||0|3|False|False|Aetna Life Insurance Co.!126775|||1|12|False|False|Specialty A&amp;H Focus!122915|2014Y||1|5|False|False|!</v>
      </c>
      <c r="AI70" s="200"/>
      <c r="AJ70" s="200"/>
      <c r="AK70" s="200"/>
      <c r="AL70" s="201"/>
    </row>
    <row r="71" spans="20:38" ht="10.8" thickTop="1" x14ac:dyDescent="0.4">
      <c r="T71" s="167" t="s">
        <v>4916</v>
      </c>
      <c r="U71" s="168">
        <v>116383</v>
      </c>
      <c r="W71" s="166"/>
      <c r="X71" s="166"/>
      <c r="Y71" s="166"/>
      <c r="Z71" s="166"/>
      <c r="AA71" s="166"/>
      <c r="AC71" s="163" t="s">
        <v>4917</v>
      </c>
      <c r="AD71" s="164" t="s">
        <v>2939</v>
      </c>
      <c r="AE71" s="158" t="str">
        <f ca="1">IF(Entity_4="","-",VLOOKUP(Entity_4,Co_List,2,FALSE))</f>
        <v>C2623</v>
      </c>
      <c r="AG71" s="205"/>
      <c r="AH71" s="206"/>
      <c r="AI71" s="207"/>
      <c r="AJ71" s="207"/>
      <c r="AK71" s="207"/>
      <c r="AL71" s="208"/>
    </row>
    <row r="72" spans="20:38" ht="10.5" x14ac:dyDescent="0.4">
      <c r="T72" s="169"/>
      <c r="U72" s="170"/>
      <c r="W72" s="171"/>
      <c r="X72" s="172" t="s">
        <v>4918</v>
      </c>
      <c r="Y72" s="173">
        <f ca="1">IF(COUNTA(OFFSET(Query_Peers,5,0,5000,1))=0,1,COUNTA(OFFSET(Query_Peers,5,0,5000,1)))</f>
        <v>82</v>
      </c>
      <c r="Z72" s="173">
        <f>COLUMNS($W$73:$AA$73)</f>
        <v>5</v>
      </c>
      <c r="AA72" s="174"/>
      <c r="AC72" s="163" t="s">
        <v>4919</v>
      </c>
      <c r="AD72" s="164" t="s">
        <v>3592</v>
      </c>
      <c r="AE72" s="158" t="str">
        <f ca="1">IF(Entity_5="","-",VLOOKUP(Entity_5,Co_List,2,FALSE))</f>
        <v>C3048</v>
      </c>
      <c r="AG72" s="212" t="str">
        <f ca="1">"0,3,;1,"&amp;Rep_Level&amp;",;2,1,;"</f>
        <v>0,3,;1,1,;2,1,;</v>
      </c>
      <c r="AH72" s="198" t="str">
        <f>$AH$70</f>
        <v>116383|||0|3|False|False|Aetna Life Insurance Co.!126775|||1|12|False|False|Specialty A&amp;H Focus!122915|2014Y||1|5|False|False|!</v>
      </c>
      <c r="AI72" s="213"/>
      <c r="AJ72" s="213"/>
      <c r="AK72" s="213"/>
      <c r="AL72" s="214"/>
    </row>
    <row r="73" spans="20:38" x14ac:dyDescent="0.35">
      <c r="T73" s="169"/>
      <c r="U73" s="176"/>
      <c r="W73" s="177"/>
      <c r="X73" s="178" t="s">
        <v>1</v>
      </c>
      <c r="Y73" s="179" t="s">
        <v>2</v>
      </c>
      <c r="Z73" s="180" t="str">
        <f>Selected_Field</f>
        <v>Net Total Assets</v>
      </c>
      <c r="AA73" s="181" t="s">
        <v>4921</v>
      </c>
      <c r="AC73" s="163" t="s">
        <v>4922</v>
      </c>
      <c r="AD73" s="164" t="s">
        <v>1835</v>
      </c>
      <c r="AE73" s="158" t="str">
        <f ca="1">IF(Entity_6="","-",VLOOKUP(Entity_6,Co_List,2,FALSE))</f>
        <v>C2409</v>
      </c>
    </row>
    <row r="74" spans="20:38" x14ac:dyDescent="0.35">
      <c r="T74" s="182" t="s">
        <v>4910</v>
      </c>
      <c r="U74" s="183" t="s">
        <v>4923</v>
      </c>
      <c r="W74" s="177"/>
      <c r="X74" s="178"/>
      <c r="Y74" s="184"/>
      <c r="Z74" s="185">
        <f>Selected_Field_KF</f>
        <v>122915</v>
      </c>
      <c r="AA74" s="181"/>
      <c r="AC74" s="163" t="s">
        <v>4924</v>
      </c>
      <c r="AD74" s="164" t="s">
        <v>4715</v>
      </c>
      <c r="AE74" s="158" t="str">
        <f ca="1">IF(Entity_7="","-",VLOOKUP(Entity_7,Co_List,2,FALSE))</f>
        <v>C2921</v>
      </c>
      <c r="AG74" s="65"/>
      <c r="AH74" s="65"/>
      <c r="AI74" s="65"/>
      <c r="AJ74" s="65"/>
      <c r="AK74" s="65"/>
      <c r="AL74" s="65"/>
    </row>
    <row r="75" spans="20:38" x14ac:dyDescent="0.35">
      <c r="W75" s="177"/>
      <c r="X75" s="178"/>
      <c r="Y75" s="184"/>
      <c r="Z75" s="180" t="str">
        <f>Period</f>
        <v>2014Y</v>
      </c>
      <c r="AA75" s="181"/>
      <c r="AC75" s="163" t="s">
        <v>4925</v>
      </c>
      <c r="AD75" s="164" t="s">
        <v>1210</v>
      </c>
      <c r="AE75" s="158" t="str">
        <f ca="1">IF(Entity_8="","-",VLOOKUP(Entity_8,Co_List,2,FALSE))</f>
        <v>C2284</v>
      </c>
      <c r="AG75" s="67"/>
      <c r="AH75" s="67"/>
      <c r="AI75" s="67"/>
      <c r="AJ75" s="67"/>
      <c r="AK75" s="231"/>
      <c r="AL75" s="65"/>
    </row>
    <row r="76" spans="20:38" ht="10.8" thickBot="1" x14ac:dyDescent="0.45">
      <c r="T76" s="186" t="s">
        <v>4926</v>
      </c>
      <c r="U76" s="187">
        <f>IF(Selected_Field="","-",VLOOKUP(Selected_Field,$T$77:$U$82,2,FALSE))</f>
        <v>122915</v>
      </c>
      <c r="W76" s="188" t="str">
        <f ca="1">IFERROR(RANK(AA76,OFFSET($AA$72,5,0,$Y$72,1),1)+COUNTIF($AA$76:AA76,AA76)-1,"NA")</f>
        <v>NA</v>
      </c>
      <c r="X76" s="189"/>
      <c r="Y76" s="190"/>
      <c r="Z76" s="191"/>
      <c r="AA76" s="192" t="str">
        <f>IF(OR(Selected_Field_Check="",Z76=""),"",IFERROR(ABS(Selected_Field_Check-Z76),"NA"))</f>
        <v/>
      </c>
      <c r="AC76" s="163" t="s">
        <v>4927</v>
      </c>
      <c r="AD76" s="164" t="s">
        <v>790</v>
      </c>
      <c r="AE76" s="158" t="str">
        <f ca="1">IF(Entity_9="","-",VLOOKUP(Entity_9,Co_List,2,FALSE))</f>
        <v>C3613</v>
      </c>
      <c r="AG76" s="67"/>
      <c r="AH76" s="100"/>
      <c r="AI76" s="100"/>
      <c r="AJ76" s="100"/>
      <c r="AK76" s="232"/>
      <c r="AL76" s="65"/>
    </row>
    <row r="77" spans="20:38" ht="10.5" thickTop="1" x14ac:dyDescent="0.35">
      <c r="T77" s="217" t="s">
        <v>4926</v>
      </c>
      <c r="U77" s="218">
        <v>122915</v>
      </c>
      <c r="W77" s="35">
        <v>22</v>
      </c>
      <c r="X77" s="193" t="s">
        <v>36</v>
      </c>
      <c r="Y77" s="194" t="s">
        <v>37</v>
      </c>
      <c r="Z77" s="195">
        <v>731683.48800000001</v>
      </c>
      <c r="AA77" s="196">
        <v>21284810.364</v>
      </c>
      <c r="AC77" s="197" t="s">
        <v>4928</v>
      </c>
      <c r="AD77" s="198" t="s">
        <v>1097</v>
      </c>
      <c r="AE77" s="158" t="str">
        <f ca="1">IF(Entity_10="","-",VLOOKUP(Entity_10,Co_List,2,FALSE))</f>
        <v>C2253</v>
      </c>
      <c r="AG77" s="67"/>
      <c r="AH77" s="100"/>
      <c r="AI77" s="216"/>
      <c r="AJ77" s="216"/>
      <c r="AK77" s="232"/>
      <c r="AL77" s="65"/>
    </row>
    <row r="78" spans="20:38" x14ac:dyDescent="0.35">
      <c r="T78" s="217" t="s">
        <v>4929</v>
      </c>
      <c r="U78" s="218">
        <v>122914</v>
      </c>
      <c r="W78" s="35">
        <v>50</v>
      </c>
      <c r="X78" s="193" t="s">
        <v>93</v>
      </c>
      <c r="Y78" s="194" t="s">
        <v>94</v>
      </c>
      <c r="Z78" s="195">
        <v>134547.91099999999</v>
      </c>
      <c r="AA78" s="196">
        <v>21881945.941000003</v>
      </c>
      <c r="AG78" s="67"/>
      <c r="AH78" s="100"/>
      <c r="AI78" s="216"/>
      <c r="AJ78" s="216"/>
      <c r="AK78" s="232"/>
      <c r="AL78" s="65"/>
    </row>
    <row r="79" spans="20:38" ht="10.8" thickBot="1" x14ac:dyDescent="0.45">
      <c r="T79" s="217" t="s">
        <v>4932</v>
      </c>
      <c r="U79" s="218">
        <v>122923</v>
      </c>
      <c r="W79" s="35">
        <v>3</v>
      </c>
      <c r="X79" s="193" t="s">
        <v>240</v>
      </c>
      <c r="Y79" s="194" t="s">
        <v>241</v>
      </c>
      <c r="Z79" s="195">
        <v>14123822.575000001</v>
      </c>
      <c r="AA79" s="196">
        <v>7892671.2770000007</v>
      </c>
      <c r="AC79" s="202" t="s">
        <v>4930</v>
      </c>
      <c r="AD79" s="203" t="s">
        <v>4931</v>
      </c>
      <c r="AE79" s="204" t="str">
        <f>Selected_Field</f>
        <v>Net Total Assets</v>
      </c>
      <c r="AG79" s="67"/>
      <c r="AH79" s="100"/>
      <c r="AI79" s="216"/>
      <c r="AJ79" s="216"/>
      <c r="AK79" s="232"/>
      <c r="AL79" s="65"/>
    </row>
    <row r="80" spans="20:38" ht="10.5" thickTop="1" x14ac:dyDescent="0.35">
      <c r="T80" s="217" t="s">
        <v>4936</v>
      </c>
      <c r="U80" s="218">
        <v>123436</v>
      </c>
      <c r="W80" s="35">
        <v>19</v>
      </c>
      <c r="X80" s="193" t="s">
        <v>246</v>
      </c>
      <c r="Y80" s="194" t="s">
        <v>247</v>
      </c>
      <c r="Z80" s="195">
        <v>982924.32700000005</v>
      </c>
      <c r="AA80" s="196">
        <v>21033569.525000002</v>
      </c>
      <c r="AC80" s="209">
        <v>1</v>
      </c>
      <c r="AD80" s="210" t="str">
        <f t="shared" ref="AD80:AD89" ca="1" si="0">IFERROR(VLOOKUP(AC80,Query_Peers_Clear,2,FALSE),"")</f>
        <v>Union Fidelity Life Ins Co.</v>
      </c>
      <c r="AE80" s="211">
        <f t="shared" ref="AE80:AE89" ca="1" si="1">IFERROR(VLOOKUP(AC80,Query_Peers_Clear,4,FALSE),"")</f>
        <v>20382772.969999999</v>
      </c>
      <c r="AG80" s="67"/>
      <c r="AH80" s="100"/>
      <c r="AI80" s="216"/>
      <c r="AJ80" s="216"/>
      <c r="AK80" s="232"/>
      <c r="AL80" s="65"/>
    </row>
    <row r="81" spans="20:38" x14ac:dyDescent="0.35">
      <c r="T81" s="217" t="s">
        <v>4933</v>
      </c>
      <c r="U81" s="218">
        <v>123438</v>
      </c>
      <c r="W81" s="35">
        <v>39</v>
      </c>
      <c r="X81" s="193" t="s">
        <v>288</v>
      </c>
      <c r="Y81" s="194" t="s">
        <v>289</v>
      </c>
      <c r="Z81" s="195">
        <v>301210.45400000003</v>
      </c>
      <c r="AA81" s="196">
        <v>21715283.398000002</v>
      </c>
      <c r="AC81" s="215">
        <v>2</v>
      </c>
      <c r="AD81" s="210" t="str">
        <f t="shared" ca="1" si="0"/>
        <v>Wilton Reassurance Co.</v>
      </c>
      <c r="AE81" s="211">
        <f t="shared" ca="1" si="1"/>
        <v>18346577.418000001</v>
      </c>
      <c r="AG81" s="67"/>
      <c r="AH81" s="220"/>
      <c r="AI81" s="220"/>
      <c r="AJ81" s="220"/>
      <c r="AK81" s="232"/>
      <c r="AL81" s="65"/>
    </row>
    <row r="82" spans="20:38" x14ac:dyDescent="0.35">
      <c r="T82" s="222" t="s">
        <v>4934</v>
      </c>
      <c r="U82" s="223">
        <v>122937</v>
      </c>
      <c r="W82" s="35">
        <v>51</v>
      </c>
      <c r="X82" s="193" t="s">
        <v>291</v>
      </c>
      <c r="Y82" s="194" t="s">
        <v>292</v>
      </c>
      <c r="Z82" s="195">
        <v>131664.52499999999</v>
      </c>
      <c r="AA82" s="196">
        <v>21884829.327000003</v>
      </c>
      <c r="AC82" s="215">
        <v>3</v>
      </c>
      <c r="AD82" s="210" t="str">
        <f t="shared" ca="1" si="0"/>
        <v>Amer Family Life Assr Co</v>
      </c>
      <c r="AE82" s="211">
        <f t="shared" ca="1" si="1"/>
        <v>14123822.575000001</v>
      </c>
      <c r="AG82" s="67"/>
      <c r="AH82" s="100"/>
      <c r="AI82" s="220"/>
      <c r="AJ82" s="100"/>
      <c r="AK82" s="232"/>
      <c r="AL82" s="65"/>
    </row>
    <row r="83" spans="20:38" x14ac:dyDescent="0.35">
      <c r="W83" s="35">
        <v>40</v>
      </c>
      <c r="X83" s="193" t="s">
        <v>320</v>
      </c>
      <c r="Y83" s="194" t="s">
        <v>321</v>
      </c>
      <c r="Z83" s="195">
        <v>299286.56200000003</v>
      </c>
      <c r="AA83" s="196">
        <v>21717207.290000003</v>
      </c>
      <c r="AC83" s="215">
        <v>4</v>
      </c>
      <c r="AD83" s="210" t="str">
        <f t="shared" ca="1" si="0"/>
        <v>Mutual of Omaha Insurance Co.</v>
      </c>
      <c r="AE83" s="211">
        <f t="shared" ca="1" si="1"/>
        <v>9107411.4930000007</v>
      </c>
      <c r="AG83" s="67"/>
      <c r="AH83" s="100"/>
      <c r="AI83" s="220"/>
      <c r="AJ83" s="220"/>
      <c r="AK83" s="232"/>
      <c r="AL83" s="65"/>
    </row>
    <row r="84" spans="20:38" ht="10.8" thickBot="1" x14ac:dyDescent="0.45">
      <c r="T84" s="226" t="s">
        <v>4940</v>
      </c>
      <c r="W84" s="35">
        <v>67</v>
      </c>
      <c r="X84" s="193" t="s">
        <v>397</v>
      </c>
      <c r="Y84" s="194" t="s">
        <v>398</v>
      </c>
      <c r="Z84" s="195">
        <v>17192.236000000001</v>
      </c>
      <c r="AA84" s="196">
        <v>21999301.616</v>
      </c>
      <c r="AC84" s="215">
        <v>5</v>
      </c>
      <c r="AD84" s="210" t="str">
        <f t="shared" ca="1" si="0"/>
        <v>Provident Life &amp; Accident Ins</v>
      </c>
      <c r="AE84" s="211">
        <f t="shared" ca="1" si="1"/>
        <v>7893439.9860000005</v>
      </c>
      <c r="AG84" s="67"/>
      <c r="AH84" s="100"/>
      <c r="AI84" s="100"/>
      <c r="AJ84" s="220"/>
      <c r="AK84" s="232"/>
      <c r="AL84" s="65"/>
    </row>
    <row r="85" spans="20:38" ht="10.5" thickTop="1" x14ac:dyDescent="0.35">
      <c r="T85" s="227" t="s">
        <v>4941</v>
      </c>
      <c r="W85" s="35">
        <v>74</v>
      </c>
      <c r="X85" s="193" t="s">
        <v>410</v>
      </c>
      <c r="Y85" s="194" t="s">
        <v>411</v>
      </c>
      <c r="Z85" s="195">
        <v>10970.848</v>
      </c>
      <c r="AA85" s="196">
        <v>22005523.004000001</v>
      </c>
      <c r="AC85" s="215">
        <v>6</v>
      </c>
      <c r="AD85" s="210" t="str">
        <f t="shared" ca="1" si="0"/>
        <v>Genworth Life Ins Co. of NY</v>
      </c>
      <c r="AE85" s="211">
        <f t="shared" ca="1" si="1"/>
        <v>7604753.0669999998</v>
      </c>
      <c r="AG85" s="67"/>
      <c r="AH85" s="100"/>
      <c r="AI85" s="100"/>
      <c r="AJ85" s="220"/>
      <c r="AK85" s="232"/>
      <c r="AL85" s="65"/>
    </row>
    <row r="86" spans="20:38" x14ac:dyDescent="0.35">
      <c r="T86" s="227" t="str">
        <f>SUBSTITUTE(SNLLabel_Fx,"Net Total Assets ","")</f>
        <v>x=SNLLabel(287,122915)</v>
      </c>
      <c r="W86" s="35">
        <v>17</v>
      </c>
      <c r="X86" s="193" t="s">
        <v>486</v>
      </c>
      <c r="Y86" s="194" t="s">
        <v>487</v>
      </c>
      <c r="Z86" s="195">
        <v>1135277.574</v>
      </c>
      <c r="AA86" s="196">
        <v>20881216.278000001</v>
      </c>
      <c r="AC86" s="215">
        <v>7</v>
      </c>
      <c r="AD86" s="210" t="str">
        <f t="shared" ca="1" si="0"/>
        <v>Washington National Ins Co.</v>
      </c>
      <c r="AE86" s="211">
        <f t="shared" ca="1" si="1"/>
        <v>5604249.159</v>
      </c>
      <c r="AG86" s="67"/>
      <c r="AH86" s="100"/>
      <c r="AI86" s="100"/>
      <c r="AJ86" s="220"/>
      <c r="AK86" s="232"/>
      <c r="AL86" s="65"/>
    </row>
    <row r="87" spans="20:38" x14ac:dyDescent="0.35">
      <c r="T87" s="228" t="s">
        <v>4942</v>
      </c>
      <c r="W87" s="35">
        <v>80</v>
      </c>
      <c r="X87" s="193" t="s">
        <v>617</v>
      </c>
      <c r="Y87" s="194" t="s">
        <v>618</v>
      </c>
      <c r="Z87" s="195">
        <v>8161.1670000000004</v>
      </c>
      <c r="AA87" s="196">
        <v>22008332.685000002</v>
      </c>
      <c r="AC87" s="215">
        <v>8</v>
      </c>
      <c r="AD87" s="210" t="str">
        <f t="shared" ca="1" si="0"/>
        <v>Continental General Ins Co.</v>
      </c>
      <c r="AE87" s="211">
        <f t="shared" ca="1" si="1"/>
        <v>4297281.7659999998</v>
      </c>
      <c r="AG87" s="65"/>
      <c r="AH87" s="65"/>
      <c r="AI87" s="65"/>
      <c r="AJ87" s="65"/>
      <c r="AK87" s="65"/>
      <c r="AL87" s="65"/>
    </row>
    <row r="88" spans="20:38" x14ac:dyDescent="0.35">
      <c r="W88" s="35">
        <v>46</v>
      </c>
      <c r="X88" s="193" t="s">
        <v>714</v>
      </c>
      <c r="Y88" s="194" t="s">
        <v>715</v>
      </c>
      <c r="Z88" s="195">
        <v>159120.712</v>
      </c>
      <c r="AA88" s="196">
        <v>21857373.140000001</v>
      </c>
      <c r="AC88" s="215">
        <v>9</v>
      </c>
      <c r="AD88" s="210" t="str">
        <f t="shared" ca="1" si="0"/>
        <v>Berkshire Life Ins Co. of Am</v>
      </c>
      <c r="AE88" s="211">
        <f t="shared" ca="1" si="1"/>
        <v>4181541.7490000003</v>
      </c>
      <c r="AG88" s="65"/>
      <c r="AH88" s="65"/>
      <c r="AI88" s="65"/>
      <c r="AJ88" s="65"/>
      <c r="AK88" s="65"/>
      <c r="AL88" s="65"/>
    </row>
    <row r="89" spans="20:38" x14ac:dyDescent="0.35">
      <c r="W89" s="35">
        <v>9</v>
      </c>
      <c r="X89" s="193" t="s">
        <v>790</v>
      </c>
      <c r="Y89" s="194" t="s">
        <v>791</v>
      </c>
      <c r="Z89" s="195">
        <v>4181541.7490000003</v>
      </c>
      <c r="AA89" s="196">
        <v>17834952.103</v>
      </c>
      <c r="AC89" s="219">
        <v>10</v>
      </c>
      <c r="AD89" s="210" t="str">
        <f t="shared" ca="1" si="0"/>
        <v>Colonial Life &amp; Accdt Ins Co.</v>
      </c>
      <c r="AE89" s="211">
        <f t="shared" ca="1" si="1"/>
        <v>3525222.2069999999</v>
      </c>
    </row>
    <row r="90" spans="20:38" x14ac:dyDescent="0.35">
      <c r="W90" s="35">
        <v>36</v>
      </c>
      <c r="X90" s="193" t="s">
        <v>799</v>
      </c>
      <c r="Y90" s="194" t="s">
        <v>800</v>
      </c>
      <c r="Z90" s="195">
        <v>376194.255</v>
      </c>
      <c r="AA90" s="196">
        <v>21640299.597000003</v>
      </c>
    </row>
    <row r="91" spans="20:38" ht="10.8" thickBot="1" x14ac:dyDescent="0.45">
      <c r="W91" s="35">
        <v>41</v>
      </c>
      <c r="X91" s="193" t="s">
        <v>819</v>
      </c>
      <c r="Y91" s="194" t="s">
        <v>820</v>
      </c>
      <c r="Z91" s="195">
        <v>253889.41200000001</v>
      </c>
      <c r="AA91" s="196">
        <v>21762604.440000001</v>
      </c>
      <c r="AC91" s="202"/>
      <c r="AD91" s="221" t="s">
        <v>4937</v>
      </c>
      <c r="AE91" s="105"/>
    </row>
    <row r="92" spans="20:38" ht="10.8" thickTop="1" x14ac:dyDescent="0.4">
      <c r="W92" s="35">
        <v>34</v>
      </c>
      <c r="X92" s="193" t="s">
        <v>943</v>
      </c>
      <c r="Y92" s="194" t="s">
        <v>944</v>
      </c>
      <c r="Z92" s="195">
        <v>379107.65700000001</v>
      </c>
      <c r="AA92" s="196">
        <v>21637386.195</v>
      </c>
      <c r="AC92" s="224" t="s">
        <v>4938</v>
      </c>
      <c r="AD92" s="225">
        <f ca="1">IF(LEFT(Entity_Code,1)="C",2,1)</f>
        <v>1</v>
      </c>
      <c r="AE92" s="233"/>
    </row>
    <row r="93" spans="20:38" x14ac:dyDescent="0.35">
      <c r="W93" s="35">
        <v>43</v>
      </c>
      <c r="X93" s="193" t="s">
        <v>983</v>
      </c>
      <c r="Y93" s="194" t="s">
        <v>984</v>
      </c>
      <c r="Z93" s="195">
        <v>242490.58600000001</v>
      </c>
      <c r="AA93" s="196">
        <v>21774003.266000003</v>
      </c>
    </row>
    <row r="94" spans="20:38" x14ac:dyDescent="0.35">
      <c r="W94" s="35">
        <v>59</v>
      </c>
      <c r="X94" s="193" t="s">
        <v>987</v>
      </c>
      <c r="Y94" s="194" t="s">
        <v>988</v>
      </c>
      <c r="Z94" s="195">
        <v>55336.464</v>
      </c>
      <c r="AA94" s="196">
        <v>21961157.388</v>
      </c>
    </row>
    <row r="95" spans="20:38" x14ac:dyDescent="0.35">
      <c r="W95" s="35">
        <v>69</v>
      </c>
      <c r="X95" s="193" t="s">
        <v>1014</v>
      </c>
      <c r="Y95" s="194" t="s">
        <v>1015</v>
      </c>
      <c r="Z95" s="195">
        <v>15462.022000000001</v>
      </c>
      <c r="AA95" s="196">
        <v>22001031.830000002</v>
      </c>
    </row>
    <row r="96" spans="20:38" x14ac:dyDescent="0.35">
      <c r="W96" s="35">
        <v>62</v>
      </c>
      <c r="X96" s="193" t="s">
        <v>1042</v>
      </c>
      <c r="Y96" s="194" t="s">
        <v>1043</v>
      </c>
      <c r="Z96" s="195">
        <v>33631.192999999999</v>
      </c>
      <c r="AA96" s="196">
        <v>21982862.659000002</v>
      </c>
    </row>
    <row r="97" spans="17:33" x14ac:dyDescent="0.35">
      <c r="W97" s="35">
        <v>35</v>
      </c>
      <c r="X97" s="193" t="s">
        <v>1089</v>
      </c>
      <c r="Y97" s="194" t="s">
        <v>1090</v>
      </c>
      <c r="Z97" s="195">
        <v>377305.68400000001</v>
      </c>
      <c r="AA97" s="196">
        <v>21639188.168000001</v>
      </c>
    </row>
    <row r="98" spans="17:33" ht="10.5" x14ac:dyDescent="0.4">
      <c r="W98" s="35">
        <v>10</v>
      </c>
      <c r="X98" s="193" t="s">
        <v>1097</v>
      </c>
      <c r="Y98" s="194" t="s">
        <v>1098</v>
      </c>
      <c r="Z98" s="195">
        <v>3525222.2069999999</v>
      </c>
      <c r="AA98" s="196">
        <v>18491271.645000003</v>
      </c>
      <c r="AE98" s="47"/>
      <c r="AF98" s="48"/>
    </row>
    <row r="99" spans="17:33" ht="10.5" x14ac:dyDescent="0.4">
      <c r="W99" s="35">
        <v>15</v>
      </c>
      <c r="X99" s="193" t="s">
        <v>1132</v>
      </c>
      <c r="Y99" s="194" t="s">
        <v>1133</v>
      </c>
      <c r="Z99" s="195">
        <v>2417902.2080000001</v>
      </c>
      <c r="AA99" s="196">
        <v>19598591.644000001</v>
      </c>
      <c r="AE99" s="47"/>
      <c r="AF99" s="48"/>
    </row>
    <row r="100" spans="17:33" ht="10.5" x14ac:dyDescent="0.4">
      <c r="W100" s="35">
        <v>29</v>
      </c>
      <c r="X100" s="193" t="s">
        <v>1134</v>
      </c>
      <c r="Y100" s="194" t="s">
        <v>1135</v>
      </c>
      <c r="Z100" s="195">
        <v>502764.98</v>
      </c>
      <c r="AA100" s="196">
        <v>21513728.872000001</v>
      </c>
      <c r="AE100" s="47"/>
      <c r="AF100" s="48"/>
      <c r="AG100" s="117"/>
    </row>
    <row r="101" spans="17:33" ht="10.5" x14ac:dyDescent="0.4">
      <c r="Q101" s="195"/>
      <c r="W101" s="35">
        <v>8</v>
      </c>
      <c r="X101" s="193" t="s">
        <v>1210</v>
      </c>
      <c r="Y101" s="194" t="s">
        <v>1211</v>
      </c>
      <c r="Z101" s="195">
        <v>4297281.7659999998</v>
      </c>
      <c r="AA101" s="196">
        <v>17719212.086000003</v>
      </c>
      <c r="AE101" s="47"/>
      <c r="AF101" s="48"/>
      <c r="AG101" s="48"/>
    </row>
    <row r="102" spans="17:33" ht="10.5" x14ac:dyDescent="0.4">
      <c r="Q102" s="195"/>
      <c r="W102" s="35">
        <v>71</v>
      </c>
      <c r="X102" s="193" t="s">
        <v>1441</v>
      </c>
      <c r="Y102" s="194" t="s">
        <v>1442</v>
      </c>
      <c r="Z102" s="195">
        <v>13528.101000000001</v>
      </c>
      <c r="AA102" s="196">
        <v>22002965.751000002</v>
      </c>
      <c r="AE102" s="47"/>
      <c r="AF102" s="48"/>
    </row>
    <row r="103" spans="17:33" x14ac:dyDescent="0.35">
      <c r="Q103" s="195"/>
      <c r="W103" s="35">
        <v>16</v>
      </c>
      <c r="X103" s="193" t="s">
        <v>1485</v>
      </c>
      <c r="Y103" s="194" t="s">
        <v>1486</v>
      </c>
      <c r="Z103" s="195">
        <v>1287309.169</v>
      </c>
      <c r="AA103" s="196">
        <v>20729184.683000002</v>
      </c>
      <c r="AE103" s="48"/>
      <c r="AF103" s="48"/>
    </row>
    <row r="104" spans="17:33" x14ac:dyDescent="0.35">
      <c r="Q104" s="195"/>
      <c r="W104" s="35">
        <v>75</v>
      </c>
      <c r="X104" s="193" t="s">
        <v>1577</v>
      </c>
      <c r="Y104" s="194" t="s">
        <v>1578</v>
      </c>
      <c r="Z104" s="195">
        <v>9720.7970000000005</v>
      </c>
      <c r="AA104" s="196">
        <v>22006773.055000003</v>
      </c>
      <c r="AE104" s="48"/>
      <c r="AF104" s="48"/>
    </row>
    <row r="105" spans="17:33" x14ac:dyDescent="0.35">
      <c r="Q105" s="195"/>
      <c r="W105" s="35">
        <v>33</v>
      </c>
      <c r="X105" s="193" t="s">
        <v>1671</v>
      </c>
      <c r="Y105" s="194" t="s">
        <v>1672</v>
      </c>
      <c r="Z105" s="195">
        <v>391686.12900000002</v>
      </c>
      <c r="AA105" s="196">
        <v>21624807.723000001</v>
      </c>
      <c r="AE105" s="48"/>
      <c r="AF105" s="48"/>
    </row>
    <row r="106" spans="17:33" x14ac:dyDescent="0.35">
      <c r="Q106" s="195"/>
      <c r="W106" s="35">
        <v>6</v>
      </c>
      <c r="X106" s="193" t="s">
        <v>1835</v>
      </c>
      <c r="Y106" s="194" t="s">
        <v>1836</v>
      </c>
      <c r="Z106" s="195">
        <v>7604753.0669999998</v>
      </c>
      <c r="AA106" s="196">
        <v>14411740.785000002</v>
      </c>
      <c r="AE106" s="48"/>
      <c r="AF106" s="48"/>
    </row>
    <row r="107" spans="17:33" x14ac:dyDescent="0.35">
      <c r="Q107" s="195"/>
      <c r="W107" s="35">
        <v>11</v>
      </c>
      <c r="X107" s="193" t="s">
        <v>1841</v>
      </c>
      <c r="Y107" s="194" t="s">
        <v>1842</v>
      </c>
      <c r="Z107" s="195">
        <v>40635138.417000003</v>
      </c>
      <c r="AA107" s="196">
        <v>18618644.565000001</v>
      </c>
      <c r="AE107" s="48"/>
      <c r="AF107" s="48"/>
    </row>
    <row r="108" spans="17:33" x14ac:dyDescent="0.35">
      <c r="Q108" s="195"/>
      <c r="W108" s="35">
        <v>42</v>
      </c>
      <c r="X108" s="193" t="s">
        <v>1869</v>
      </c>
      <c r="Y108" s="194" t="s">
        <v>1870</v>
      </c>
      <c r="Z108" s="195">
        <v>250153.58199999999</v>
      </c>
      <c r="AA108" s="196">
        <v>21766340.270000003</v>
      </c>
      <c r="AE108" s="48"/>
      <c r="AF108" s="48"/>
    </row>
    <row r="109" spans="17:33" x14ac:dyDescent="0.35">
      <c r="Q109" s="195"/>
      <c r="W109" s="35">
        <v>49</v>
      </c>
      <c r="X109" s="193" t="s">
        <v>1888</v>
      </c>
      <c r="Y109" s="194" t="s">
        <v>1889</v>
      </c>
      <c r="Z109" s="195">
        <v>146995.522</v>
      </c>
      <c r="AA109" s="196">
        <v>21869498.330000002</v>
      </c>
      <c r="AE109" s="48"/>
      <c r="AF109" s="48"/>
    </row>
    <row r="110" spans="17:33" x14ac:dyDescent="0.35">
      <c r="Q110" s="195"/>
      <c r="W110" s="35">
        <v>24</v>
      </c>
      <c r="X110" s="193" t="s">
        <v>1972</v>
      </c>
      <c r="Y110" s="194" t="s">
        <v>1973</v>
      </c>
      <c r="Z110" s="195">
        <v>679861.65300000005</v>
      </c>
      <c r="AA110" s="196">
        <v>21336632.199000001</v>
      </c>
      <c r="AD110" s="117"/>
    </row>
    <row r="111" spans="17:33" x14ac:dyDescent="0.35">
      <c r="W111" s="35">
        <v>26</v>
      </c>
      <c r="X111" s="193" t="s">
        <v>2057</v>
      </c>
      <c r="Y111" s="194" t="s">
        <v>2058</v>
      </c>
      <c r="Z111" s="195">
        <v>606106.31200000003</v>
      </c>
      <c r="AA111" s="196">
        <v>21410387.540000003</v>
      </c>
    </row>
    <row r="112" spans="17:33" x14ac:dyDescent="0.35">
      <c r="W112" s="35">
        <v>73</v>
      </c>
      <c r="X112" s="193" t="s">
        <v>2059</v>
      </c>
      <c r="Y112" s="194" t="s">
        <v>2060</v>
      </c>
      <c r="Z112" s="195">
        <v>11086.554</v>
      </c>
      <c r="AA112" s="196">
        <v>22005407.298</v>
      </c>
    </row>
    <row r="113" spans="23:27" x14ac:dyDescent="0.35">
      <c r="W113" s="35">
        <v>52</v>
      </c>
      <c r="X113" s="193" t="s">
        <v>2464</v>
      </c>
      <c r="Y113" s="194" t="s">
        <v>2465</v>
      </c>
      <c r="Z113" s="195">
        <v>126782.802</v>
      </c>
      <c r="AA113" s="196">
        <v>21889711.050000001</v>
      </c>
    </row>
    <row r="114" spans="23:27" x14ac:dyDescent="0.35">
      <c r="W114" s="35">
        <v>77</v>
      </c>
      <c r="X114" s="193" t="s">
        <v>2482</v>
      </c>
      <c r="Y114" s="194" t="s">
        <v>2483</v>
      </c>
      <c r="Z114" s="195">
        <v>8696.3420000000006</v>
      </c>
      <c r="AA114" s="196">
        <v>22007797.510000002</v>
      </c>
    </row>
    <row r="115" spans="23:27" x14ac:dyDescent="0.35">
      <c r="W115" s="35">
        <v>13</v>
      </c>
      <c r="X115" s="193" t="s">
        <v>2490</v>
      </c>
      <c r="Y115" s="194" t="s">
        <v>2491</v>
      </c>
      <c r="Z115" s="195">
        <v>2673939.1490000002</v>
      </c>
      <c r="AA115" s="196">
        <v>19342554.703000002</v>
      </c>
    </row>
    <row r="116" spans="23:27" x14ac:dyDescent="0.35">
      <c r="W116" s="35">
        <v>31</v>
      </c>
      <c r="X116" s="193" t="s">
        <v>2503</v>
      </c>
      <c r="Y116" s="194" t="s">
        <v>2504</v>
      </c>
      <c r="Z116" s="195">
        <v>467118.55599999998</v>
      </c>
      <c r="AA116" s="196">
        <v>21549375.296</v>
      </c>
    </row>
    <row r="117" spans="23:27" x14ac:dyDescent="0.35">
      <c r="W117" s="35">
        <v>37</v>
      </c>
      <c r="X117" s="193" t="s">
        <v>2597</v>
      </c>
      <c r="Y117" s="194" t="s">
        <v>2598</v>
      </c>
      <c r="Z117" s="195">
        <v>367867.44</v>
      </c>
      <c r="AA117" s="196">
        <v>21648626.412</v>
      </c>
    </row>
    <row r="118" spans="23:27" x14ac:dyDescent="0.35">
      <c r="W118" s="35">
        <v>21</v>
      </c>
      <c r="X118" s="193" t="s">
        <v>2624</v>
      </c>
      <c r="Y118" s="194" t="s">
        <v>2625</v>
      </c>
      <c r="Z118" s="195">
        <v>737784.18900000001</v>
      </c>
      <c r="AA118" s="33">
        <v>21278709.663000003</v>
      </c>
    </row>
    <row r="119" spans="23:27" x14ac:dyDescent="0.35">
      <c r="W119" s="35">
        <v>18</v>
      </c>
      <c r="X119" s="193" t="s">
        <v>2692</v>
      </c>
      <c r="Y119" s="194" t="s">
        <v>2693</v>
      </c>
      <c r="Z119" s="195">
        <v>1126887.6969999999</v>
      </c>
      <c r="AA119" s="33">
        <v>20889606.155000001</v>
      </c>
    </row>
    <row r="120" spans="23:27" x14ac:dyDescent="0.35">
      <c r="W120" s="35">
        <v>58</v>
      </c>
      <c r="X120" s="193" t="s">
        <v>2694</v>
      </c>
      <c r="Y120" s="194" t="s">
        <v>2695</v>
      </c>
      <c r="Z120" s="195">
        <v>63301.08</v>
      </c>
      <c r="AA120" s="33">
        <v>21953192.772000004</v>
      </c>
    </row>
    <row r="121" spans="23:27" x14ac:dyDescent="0.35">
      <c r="W121" s="35">
        <v>82</v>
      </c>
      <c r="X121" s="193" t="s">
        <v>2730</v>
      </c>
      <c r="Y121" s="194" t="s">
        <v>2731</v>
      </c>
      <c r="Z121" s="195">
        <v>1145.778</v>
      </c>
      <c r="AA121" s="33">
        <v>22015348.074000001</v>
      </c>
    </row>
    <row r="122" spans="23:27" x14ac:dyDescent="0.35">
      <c r="W122" s="35">
        <v>25</v>
      </c>
      <c r="X122" s="193" t="s">
        <v>2866</v>
      </c>
      <c r="Y122" s="194" t="s">
        <v>2867</v>
      </c>
      <c r="Z122" s="195">
        <v>615388.56900000002</v>
      </c>
      <c r="AA122" s="33">
        <v>21401105.283000004</v>
      </c>
    </row>
    <row r="123" spans="23:27" x14ac:dyDescent="0.35">
      <c r="W123" s="35">
        <v>4</v>
      </c>
      <c r="X123" s="193" t="s">
        <v>2939</v>
      </c>
      <c r="Y123" s="194" t="s">
        <v>2940</v>
      </c>
      <c r="Z123" s="195">
        <v>9107411.4930000007</v>
      </c>
      <c r="AA123" s="33">
        <v>12909082.359000001</v>
      </c>
    </row>
    <row r="124" spans="23:27" x14ac:dyDescent="0.35">
      <c r="W124" s="35">
        <v>56</v>
      </c>
      <c r="X124" s="193" t="s">
        <v>2963</v>
      </c>
      <c r="Y124" s="194" t="s">
        <v>2964</v>
      </c>
      <c r="Z124" s="195">
        <v>75529.231</v>
      </c>
      <c r="AA124" s="33">
        <v>21940964.621000003</v>
      </c>
    </row>
    <row r="125" spans="23:27" x14ac:dyDescent="0.35">
      <c r="W125" s="35">
        <v>32</v>
      </c>
      <c r="X125" s="193" t="s">
        <v>2965</v>
      </c>
      <c r="Y125" s="194" t="s">
        <v>2966</v>
      </c>
      <c r="Z125" s="195">
        <v>401796.29499999998</v>
      </c>
      <c r="AA125" s="33">
        <v>21614697.557</v>
      </c>
    </row>
    <row r="126" spans="23:27" x14ac:dyDescent="0.35">
      <c r="W126" s="35">
        <v>57</v>
      </c>
      <c r="X126" s="193" t="s">
        <v>2998</v>
      </c>
      <c r="Y126" s="194" t="s">
        <v>2999</v>
      </c>
      <c r="Z126" s="195">
        <v>70833.505000000005</v>
      </c>
      <c r="AA126" s="33">
        <v>21945660.347000003</v>
      </c>
    </row>
    <row r="127" spans="23:27" x14ac:dyDescent="0.35">
      <c r="W127" s="35">
        <v>68</v>
      </c>
      <c r="X127" s="193" t="s">
        <v>3080</v>
      </c>
      <c r="Y127" s="194" t="s">
        <v>3081</v>
      </c>
      <c r="Z127" s="195">
        <v>15961.805</v>
      </c>
      <c r="AA127" s="33">
        <v>22000532.047000002</v>
      </c>
    </row>
    <row r="128" spans="23:27" x14ac:dyDescent="0.35">
      <c r="W128" s="35">
        <v>28</v>
      </c>
      <c r="X128" s="193" t="s">
        <v>3094</v>
      </c>
      <c r="Y128" s="194" t="s">
        <v>3095</v>
      </c>
      <c r="Z128" s="195">
        <v>541016.73199999996</v>
      </c>
      <c r="AA128" s="33">
        <v>21475477.120000001</v>
      </c>
    </row>
    <row r="129" spans="23:27" x14ac:dyDescent="0.35">
      <c r="W129" s="35">
        <v>48</v>
      </c>
      <c r="X129" s="193" t="s">
        <v>3112</v>
      </c>
      <c r="Y129" s="194" t="s">
        <v>3113</v>
      </c>
      <c r="Z129" s="195">
        <v>149536.47099999999</v>
      </c>
      <c r="AA129" s="33">
        <v>21866957.381000001</v>
      </c>
    </row>
    <row r="130" spans="23:27" x14ac:dyDescent="0.35">
      <c r="W130" s="35">
        <v>27</v>
      </c>
      <c r="X130" s="193" t="s">
        <v>3114</v>
      </c>
      <c r="Y130" s="194" t="s">
        <v>3115</v>
      </c>
      <c r="Z130" s="195">
        <v>552527.03399999999</v>
      </c>
      <c r="AA130" s="33">
        <v>21463966.818000004</v>
      </c>
    </row>
    <row r="131" spans="23:27" x14ac:dyDescent="0.35">
      <c r="W131" s="35">
        <v>66</v>
      </c>
      <c r="X131" s="193" t="s">
        <v>3155</v>
      </c>
      <c r="Y131" s="194" t="s">
        <v>3156</v>
      </c>
      <c r="Z131" s="195">
        <v>18182.541000000001</v>
      </c>
      <c r="AA131" s="33">
        <v>21998311.311000001</v>
      </c>
    </row>
    <row r="132" spans="23:27" x14ac:dyDescent="0.35">
      <c r="W132" s="35">
        <v>78</v>
      </c>
      <c r="X132" s="193" t="s">
        <v>3183</v>
      </c>
      <c r="Y132" s="194" t="s">
        <v>3184</v>
      </c>
      <c r="Z132" s="195">
        <v>8472.2360000000008</v>
      </c>
      <c r="AA132" s="33">
        <v>22008021.616</v>
      </c>
    </row>
    <row r="133" spans="23:27" x14ac:dyDescent="0.35">
      <c r="W133" s="35">
        <v>63</v>
      </c>
      <c r="X133" s="193" t="s">
        <v>3245</v>
      </c>
      <c r="Y133" s="194" t="s">
        <v>3246</v>
      </c>
      <c r="Z133" s="195">
        <v>32874.152999999998</v>
      </c>
      <c r="AA133" s="33">
        <v>21983619.699000001</v>
      </c>
    </row>
    <row r="134" spans="23:27" x14ac:dyDescent="0.35">
      <c r="W134" s="35">
        <v>55</v>
      </c>
      <c r="X134" s="193" t="s">
        <v>3257</v>
      </c>
      <c r="Y134" s="194" t="s">
        <v>3258</v>
      </c>
      <c r="Z134" s="195">
        <v>109451.651</v>
      </c>
      <c r="AA134" s="33">
        <v>21907042.201000001</v>
      </c>
    </row>
    <row r="135" spans="23:27" x14ac:dyDescent="0.35">
      <c r="W135" s="35">
        <v>44</v>
      </c>
      <c r="X135" s="193" t="s">
        <v>3330</v>
      </c>
      <c r="Y135" s="194" t="s">
        <v>3331</v>
      </c>
      <c r="Z135" s="195">
        <v>191009.467</v>
      </c>
      <c r="AA135" s="33">
        <v>21825484.385000002</v>
      </c>
    </row>
    <row r="136" spans="23:27" x14ac:dyDescent="0.35">
      <c r="W136" s="35">
        <v>12</v>
      </c>
      <c r="X136" s="193" t="s">
        <v>3376</v>
      </c>
      <c r="Y136" s="194" t="s">
        <v>3377</v>
      </c>
      <c r="Z136" s="195">
        <v>3213512.4670000002</v>
      </c>
      <c r="AA136" s="33">
        <v>18802981.385000002</v>
      </c>
    </row>
    <row r="137" spans="23:27" x14ac:dyDescent="0.35">
      <c r="W137" s="35">
        <v>38</v>
      </c>
      <c r="X137" s="193" t="s">
        <v>3442</v>
      </c>
      <c r="Y137" s="194" t="s">
        <v>3443</v>
      </c>
      <c r="Z137" s="195">
        <v>326106.18</v>
      </c>
      <c r="AA137" s="33">
        <v>21690387.672000002</v>
      </c>
    </row>
    <row r="138" spans="23:27" x14ac:dyDescent="0.35">
      <c r="W138" s="35">
        <v>14</v>
      </c>
      <c r="X138" s="193" t="s">
        <v>3468</v>
      </c>
      <c r="Y138" s="194" t="s">
        <v>3469</v>
      </c>
      <c r="Z138" s="195">
        <v>2480535.7239999999</v>
      </c>
      <c r="AA138" s="33">
        <v>19535958.128000002</v>
      </c>
    </row>
    <row r="139" spans="23:27" x14ac:dyDescent="0.35">
      <c r="W139" s="35">
        <v>54</v>
      </c>
      <c r="X139" s="193" t="s">
        <v>3550</v>
      </c>
      <c r="Y139" s="194" t="s">
        <v>3551</v>
      </c>
      <c r="Z139" s="195">
        <v>113671.97200000001</v>
      </c>
      <c r="AA139" s="33">
        <v>21902821.880000003</v>
      </c>
    </row>
    <row r="140" spans="23:27" x14ac:dyDescent="0.35">
      <c r="W140" s="35">
        <v>65</v>
      </c>
      <c r="X140" s="193" t="s">
        <v>3586</v>
      </c>
      <c r="Y140" s="194" t="s">
        <v>3587</v>
      </c>
      <c r="Z140" s="195">
        <v>18648.213</v>
      </c>
      <c r="AA140" s="33">
        <v>21997845.639000002</v>
      </c>
    </row>
    <row r="141" spans="23:27" x14ac:dyDescent="0.35">
      <c r="W141" s="35">
        <v>76</v>
      </c>
      <c r="X141" s="193" t="s">
        <v>3588</v>
      </c>
      <c r="Y141" s="194" t="s">
        <v>3589</v>
      </c>
      <c r="Z141" s="195">
        <v>8806.634</v>
      </c>
      <c r="AA141" s="33">
        <v>22007687.218000002</v>
      </c>
    </row>
    <row r="142" spans="23:27" x14ac:dyDescent="0.35">
      <c r="W142" s="35">
        <v>5</v>
      </c>
      <c r="X142" s="193" t="s">
        <v>3592</v>
      </c>
      <c r="Y142" s="194" t="s">
        <v>3593</v>
      </c>
      <c r="Z142" s="195">
        <v>7893439.9860000005</v>
      </c>
      <c r="AA142" s="33">
        <v>14123053.866</v>
      </c>
    </row>
    <row r="143" spans="23:27" x14ac:dyDescent="0.35">
      <c r="W143" s="35">
        <v>20</v>
      </c>
      <c r="X143" s="193" t="s">
        <v>3594</v>
      </c>
      <c r="Y143" s="194" t="s">
        <v>3595</v>
      </c>
      <c r="Z143" s="195">
        <v>739263.41599999997</v>
      </c>
      <c r="AA143" s="33">
        <v>21277230.436000001</v>
      </c>
    </row>
    <row r="144" spans="23:27" x14ac:dyDescent="0.35">
      <c r="W144" s="35">
        <v>79</v>
      </c>
      <c r="X144" s="193" t="s">
        <v>3673</v>
      </c>
      <c r="Y144" s="194" t="s">
        <v>3674</v>
      </c>
      <c r="Z144" s="195">
        <v>8178.5430000000006</v>
      </c>
      <c r="AA144" s="33">
        <v>22008315.309</v>
      </c>
    </row>
    <row r="145" spans="23:27" x14ac:dyDescent="0.35">
      <c r="W145" s="35">
        <v>47</v>
      </c>
      <c r="X145" s="193" t="s">
        <v>3728</v>
      </c>
      <c r="Y145" s="194" t="s">
        <v>3729</v>
      </c>
      <c r="Z145" s="195">
        <v>149935.253</v>
      </c>
      <c r="AA145" s="33">
        <v>21866558.599000003</v>
      </c>
    </row>
    <row r="146" spans="23:27" x14ac:dyDescent="0.35">
      <c r="W146" s="35">
        <v>72</v>
      </c>
      <c r="X146" s="193" t="s">
        <v>4058</v>
      </c>
      <c r="Y146" s="194" t="s">
        <v>4059</v>
      </c>
      <c r="Z146" s="195">
        <v>12052.198</v>
      </c>
      <c r="AA146" s="33">
        <v>22004441.654000003</v>
      </c>
    </row>
    <row r="147" spans="23:27" x14ac:dyDescent="0.35">
      <c r="W147" s="35">
        <v>30</v>
      </c>
      <c r="X147" s="193" t="s">
        <v>4079</v>
      </c>
      <c r="Y147" s="194" t="s">
        <v>4080</v>
      </c>
      <c r="Z147" s="195">
        <v>500366.402</v>
      </c>
      <c r="AA147" s="33">
        <v>21516127.450000003</v>
      </c>
    </row>
    <row r="148" spans="23:27" x14ac:dyDescent="0.35">
      <c r="W148" s="35">
        <v>45</v>
      </c>
      <c r="X148" s="193" t="s">
        <v>4121</v>
      </c>
      <c r="Y148" s="194" t="s">
        <v>4122</v>
      </c>
      <c r="Z148" s="195">
        <v>180075.93</v>
      </c>
      <c r="AA148" s="33">
        <v>21836417.922000002</v>
      </c>
    </row>
    <row r="149" spans="23:27" x14ac:dyDescent="0.35">
      <c r="W149" s="35">
        <v>64</v>
      </c>
      <c r="X149" s="193" t="s">
        <v>4135</v>
      </c>
      <c r="Y149" s="194" t="s">
        <v>4136</v>
      </c>
      <c r="Z149" s="195">
        <v>32117.222000000002</v>
      </c>
      <c r="AA149" s="33">
        <v>21984376.630000003</v>
      </c>
    </row>
    <row r="150" spans="23:27" x14ac:dyDescent="0.35">
      <c r="W150" s="35">
        <v>70</v>
      </c>
      <c r="X150" s="193" t="s">
        <v>4137</v>
      </c>
      <c r="Y150" s="194" t="s">
        <v>4138</v>
      </c>
      <c r="Z150" s="195">
        <v>13605.053</v>
      </c>
      <c r="AA150" s="33">
        <v>22002888.799000002</v>
      </c>
    </row>
    <row r="151" spans="23:27" x14ac:dyDescent="0.35">
      <c r="W151" s="35">
        <v>1</v>
      </c>
      <c r="X151" s="193" t="s">
        <v>4471</v>
      </c>
      <c r="Y151" s="194" t="s">
        <v>4472</v>
      </c>
      <c r="Z151" s="195">
        <v>20382772.969999999</v>
      </c>
      <c r="AA151" s="33">
        <v>1633720.882000003</v>
      </c>
    </row>
    <row r="152" spans="23:27" x14ac:dyDescent="0.35">
      <c r="W152" s="35">
        <v>23</v>
      </c>
      <c r="X152" s="193" t="s">
        <v>4504</v>
      </c>
      <c r="Y152" s="194" t="s">
        <v>4505</v>
      </c>
      <c r="Z152" s="195">
        <v>707602.98300000001</v>
      </c>
      <c r="AA152" s="33">
        <v>21308890.869000003</v>
      </c>
    </row>
    <row r="153" spans="23:27" x14ac:dyDescent="0.35">
      <c r="W153" s="35">
        <v>61</v>
      </c>
      <c r="X153" s="193" t="s">
        <v>4545</v>
      </c>
      <c r="Y153" s="194" t="s">
        <v>4546</v>
      </c>
      <c r="Z153" s="195">
        <v>37972.839</v>
      </c>
      <c r="AA153" s="33">
        <v>21978521.013</v>
      </c>
    </row>
    <row r="154" spans="23:27" x14ac:dyDescent="0.35">
      <c r="W154" s="35">
        <v>60</v>
      </c>
      <c r="X154" s="193" t="s">
        <v>4553</v>
      </c>
      <c r="Y154" s="194" t="s">
        <v>4554</v>
      </c>
      <c r="Z154" s="195">
        <v>39720.85</v>
      </c>
      <c r="AA154" s="33">
        <v>21976773.002</v>
      </c>
    </row>
    <row r="155" spans="23:27" x14ac:dyDescent="0.35">
      <c r="W155" s="35">
        <v>81</v>
      </c>
      <c r="X155" s="193" t="s">
        <v>4632</v>
      </c>
      <c r="Y155" s="194" t="s">
        <v>4633</v>
      </c>
      <c r="Z155" s="195">
        <v>4350.68</v>
      </c>
      <c r="AA155" s="33">
        <v>22012143.172000002</v>
      </c>
    </row>
    <row r="156" spans="23:27" x14ac:dyDescent="0.35">
      <c r="W156" s="35">
        <v>53</v>
      </c>
      <c r="X156" s="193" t="s">
        <v>4656</v>
      </c>
      <c r="Y156" s="194" t="s">
        <v>4657</v>
      </c>
      <c r="Z156" s="195">
        <v>116348.5</v>
      </c>
      <c r="AA156" s="33">
        <v>21900145.352000002</v>
      </c>
    </row>
    <row r="157" spans="23:27" x14ac:dyDescent="0.35">
      <c r="W157" s="35">
        <v>7</v>
      </c>
      <c r="X157" s="193" t="s">
        <v>4715</v>
      </c>
      <c r="Y157" s="194" t="s">
        <v>4716</v>
      </c>
      <c r="Z157" s="195">
        <v>5604249.159</v>
      </c>
      <c r="AA157" s="33">
        <v>16412244.693000002</v>
      </c>
    </row>
    <row r="158" spans="23:27" x14ac:dyDescent="0.35">
      <c r="W158" s="35">
        <v>2</v>
      </c>
      <c r="X158" s="193" t="s">
        <v>4822</v>
      </c>
      <c r="Y158" s="194" t="s">
        <v>4823</v>
      </c>
      <c r="Z158" s="195">
        <v>18346577.418000001</v>
      </c>
      <c r="AA158" s="33">
        <v>3669916.4340000004</v>
      </c>
    </row>
    <row r="159" spans="23:27" x14ac:dyDescent="0.35">
      <c r="Y159" s="229"/>
      <c r="Z159" s="195"/>
    </row>
    <row r="160" spans="23:27" x14ac:dyDescent="0.35">
      <c r="Y160" s="229"/>
      <c r="Z160" s="195"/>
    </row>
    <row r="161" spans="25:26" x14ac:dyDescent="0.35">
      <c r="Y161" s="229"/>
      <c r="Z161" s="195"/>
    </row>
    <row r="162" spans="25:26" x14ac:dyDescent="0.35">
      <c r="Y162" s="229"/>
      <c r="Z162" s="195"/>
    </row>
    <row r="163" spans="25:26" x14ac:dyDescent="0.35">
      <c r="Z163" s="195"/>
    </row>
    <row r="164" spans="25:26" x14ac:dyDescent="0.35">
      <c r="Z164" s="195"/>
    </row>
    <row r="165" spans="25:26" x14ac:dyDescent="0.35">
      <c r="Z165" s="195"/>
    </row>
    <row r="166" spans="25:26" x14ac:dyDescent="0.35">
      <c r="Z166" s="195"/>
    </row>
    <row r="167" spans="25:26" x14ac:dyDescent="0.35">
      <c r="Z167" s="195"/>
    </row>
    <row r="168" spans="25:26" x14ac:dyDescent="0.35">
      <c r="Z168" s="195"/>
    </row>
    <row r="169" spans="25:26" x14ac:dyDescent="0.35">
      <c r="Z169" s="195"/>
    </row>
    <row r="170" spans="25:26" x14ac:dyDescent="0.35">
      <c r="Z170" s="195"/>
    </row>
    <row r="171" spans="25:26" x14ac:dyDescent="0.35">
      <c r="Z171" s="195"/>
    </row>
    <row r="172" spans="25:26" x14ac:dyDescent="0.35">
      <c r="Z172" s="195"/>
    </row>
    <row r="173" spans="25:26" x14ac:dyDescent="0.35">
      <c r="Z173" s="195"/>
    </row>
    <row r="174" spans="25:26" x14ac:dyDescent="0.35">
      <c r="Z174" s="195"/>
    </row>
    <row r="175" spans="25:26" x14ac:dyDescent="0.35">
      <c r="Z175" s="195"/>
    </row>
    <row r="176" spans="25:26" x14ac:dyDescent="0.35">
      <c r="Z176" s="195"/>
    </row>
    <row r="177" spans="26:26" x14ac:dyDescent="0.35">
      <c r="Z177" s="195"/>
    </row>
    <row r="178" spans="26:26" x14ac:dyDescent="0.35">
      <c r="Z178" s="195"/>
    </row>
    <row r="179" spans="26:26" x14ac:dyDescent="0.35">
      <c r="Z179" s="195"/>
    </row>
    <row r="180" spans="26:26" x14ac:dyDescent="0.35">
      <c r="Z180" s="195"/>
    </row>
    <row r="181" spans="26:26" x14ac:dyDescent="0.35">
      <c r="Z181" s="195"/>
    </row>
    <row r="182" spans="26:26" x14ac:dyDescent="0.35">
      <c r="Z182" s="195"/>
    </row>
    <row r="183" spans="26:26" x14ac:dyDescent="0.35">
      <c r="Z183" s="195"/>
    </row>
    <row r="184" spans="26:26" x14ac:dyDescent="0.35">
      <c r="Z184" s="195"/>
    </row>
    <row r="185" spans="26:26" x14ac:dyDescent="0.35">
      <c r="Z185" s="195"/>
    </row>
    <row r="186" spans="26:26" x14ac:dyDescent="0.35">
      <c r="Z186" s="195"/>
    </row>
    <row r="187" spans="26:26" x14ac:dyDescent="0.35">
      <c r="Z187" s="195"/>
    </row>
    <row r="188" spans="26:26" x14ac:dyDescent="0.35">
      <c r="Z188" s="195"/>
    </row>
    <row r="189" spans="26:26" x14ac:dyDescent="0.35">
      <c r="Z189" s="195"/>
    </row>
    <row r="190" spans="26:26" x14ac:dyDescent="0.35">
      <c r="Z190" s="195"/>
    </row>
    <row r="191" spans="26:26" x14ac:dyDescent="0.35">
      <c r="Z191" s="195"/>
    </row>
    <row r="192" spans="26:26" x14ac:dyDescent="0.35">
      <c r="Z192" s="195"/>
    </row>
    <row r="193" spans="26:26" x14ac:dyDescent="0.35">
      <c r="Z193" s="195"/>
    </row>
    <row r="194" spans="26:26" x14ac:dyDescent="0.35">
      <c r="Z194" s="195"/>
    </row>
    <row r="195" spans="26:26" x14ac:dyDescent="0.35">
      <c r="Z195" s="195"/>
    </row>
    <row r="196" spans="26:26" x14ac:dyDescent="0.35">
      <c r="Z196" s="195"/>
    </row>
    <row r="197" spans="26:26" x14ac:dyDescent="0.35">
      <c r="Z197" s="195"/>
    </row>
    <row r="198" spans="26:26" x14ac:dyDescent="0.35">
      <c r="Z198" s="195"/>
    </row>
    <row r="199" spans="26:26" x14ac:dyDescent="0.35">
      <c r="Z199" s="195"/>
    </row>
    <row r="200" spans="26:26" x14ac:dyDescent="0.35">
      <c r="Z200" s="195"/>
    </row>
    <row r="201" spans="26:26" x14ac:dyDescent="0.35">
      <c r="Z201" s="195"/>
    </row>
    <row r="202" spans="26:26" x14ac:dyDescent="0.35">
      <c r="Z202" s="195"/>
    </row>
    <row r="203" spans="26:26" x14ac:dyDescent="0.35">
      <c r="Z203" s="195"/>
    </row>
    <row r="204" spans="26:26" x14ac:dyDescent="0.35">
      <c r="Z204" s="195"/>
    </row>
    <row r="205" spans="26:26" x14ac:dyDescent="0.35">
      <c r="Z205" s="195"/>
    </row>
    <row r="206" spans="26:26" x14ac:dyDescent="0.35">
      <c r="Z206" s="195"/>
    </row>
    <row r="207" spans="26:26" x14ac:dyDescent="0.35">
      <c r="Z207" s="195"/>
    </row>
    <row r="208" spans="26:26" x14ac:dyDescent="0.35">
      <c r="Z208" s="195"/>
    </row>
    <row r="209" spans="26:26" x14ac:dyDescent="0.35">
      <c r="Z209" s="195"/>
    </row>
    <row r="210" spans="26:26" x14ac:dyDescent="0.35">
      <c r="Z210" s="195"/>
    </row>
    <row r="211" spans="26:26" x14ac:dyDescent="0.35">
      <c r="Z211" s="195"/>
    </row>
    <row r="212" spans="26:26" x14ac:dyDescent="0.35">
      <c r="Z212" s="195"/>
    </row>
    <row r="213" spans="26:26" x14ac:dyDescent="0.35">
      <c r="Z213" s="195"/>
    </row>
    <row r="214" spans="26:26" x14ac:dyDescent="0.35">
      <c r="Z214" s="195"/>
    </row>
    <row r="215" spans="26:26" x14ac:dyDescent="0.35">
      <c r="Z215" s="195"/>
    </row>
    <row r="216" spans="26:26" x14ac:dyDescent="0.35">
      <c r="Z216" s="195"/>
    </row>
    <row r="217" spans="26:26" x14ac:dyDescent="0.35">
      <c r="Z217" s="195"/>
    </row>
    <row r="218" spans="26:26" x14ac:dyDescent="0.35">
      <c r="Z218" s="195"/>
    </row>
    <row r="219" spans="26:26" x14ac:dyDescent="0.35">
      <c r="Z219" s="195"/>
    </row>
    <row r="220" spans="26:26" x14ac:dyDescent="0.35">
      <c r="Z220" s="195"/>
    </row>
    <row r="221" spans="26:26" x14ac:dyDescent="0.35">
      <c r="Z221" s="195"/>
    </row>
    <row r="222" spans="26:26" x14ac:dyDescent="0.35">
      <c r="Z222" s="195"/>
    </row>
    <row r="223" spans="26:26" x14ac:dyDescent="0.35">
      <c r="Z223" s="195"/>
    </row>
    <row r="224" spans="26:26" x14ac:dyDescent="0.35">
      <c r="Z224" s="195"/>
    </row>
    <row r="225" spans="26:26" x14ac:dyDescent="0.35">
      <c r="Z225" s="195"/>
    </row>
    <row r="226" spans="26:26" x14ac:dyDescent="0.35">
      <c r="Z226" s="195"/>
    </row>
    <row r="227" spans="26:26" x14ac:dyDescent="0.35">
      <c r="Z227" s="195"/>
    </row>
    <row r="228" spans="26:26" x14ac:dyDescent="0.35">
      <c r="Z228" s="195"/>
    </row>
    <row r="229" spans="26:26" x14ac:dyDescent="0.35">
      <c r="Z229" s="195"/>
    </row>
    <row r="230" spans="26:26" x14ac:dyDescent="0.35">
      <c r="Z230" s="195"/>
    </row>
    <row r="231" spans="26:26" x14ac:dyDescent="0.35">
      <c r="Z231" s="195"/>
    </row>
    <row r="232" spans="26:26" x14ac:dyDescent="0.35">
      <c r="Z232" s="195"/>
    </row>
  </sheetData>
  <mergeCells count="4">
    <mergeCell ref="L35:P35"/>
    <mergeCell ref="L11:R12"/>
    <mergeCell ref="L41:P41"/>
    <mergeCell ref="L37:R38"/>
  </mergeCells>
  <dataValidations count="1">
    <dataValidation type="textLength" allowBlank="1" showInputMessage="1" showErrorMessage="1" errorTitle="Invalid Period Entry" error="Please retry." sqref="I20:J20" xr:uid="{00000000-0002-0000-0200-000000000000}">
      <formula1>5</formula1>
      <formula2>6</formula2>
    </dataValidation>
  </dataValidations>
  <hyperlinks>
    <hyperlink ref="L2" location="Instructions!A1" tooltip="Go back to Instructions tab" display="Back to Instructions" xr:uid="{00000000-0004-0000-0200-000000000000}"/>
    <hyperlink ref="P7" r:id="rId1" xr:uid="{00000000-0004-0000-0200-000001000000}"/>
    <hyperlink ref="D12" location="Underwriting_Analysis!A1" tooltip="Go to Underwriting_Analysis tab." display="Underwriting Analysis" xr:uid="{00000000-0004-0000-0200-000002000000}"/>
    <hyperlink ref="B14" location="Balance_Sheet!A1" tooltip="Go to Balance_Sheet tab." display="Balance Sheet" xr:uid="{00000000-0004-0000-0200-000003000000}"/>
    <hyperlink ref="B16" location="Income_Statement!A1" tooltip="Go to Income_Statement tab." display="Income Statement" xr:uid="{00000000-0004-0000-0200-000004000000}"/>
    <hyperlink ref="D14" location="Investment_Analysis!A1" tooltip="Go to Investment_Analysis tab." display="Investment Analysis" xr:uid="{00000000-0004-0000-0200-000005000000}"/>
    <hyperlink ref="D16" location="Capital_Adequacy!A1" tooltip="Go to Capital_Adequacy tab." display="Capital Adequacy" xr:uid="{00000000-0004-0000-0200-000006000000}"/>
    <hyperlink ref="F12" location="Reserve_Analysis!A1" tooltip="Go to Reserve_Analysis tab." display="Reserve Analysis" xr:uid="{00000000-0004-0000-0200-000007000000}"/>
    <hyperlink ref="F14" location="In_Force_and_Size!A1" tooltip="Go to In_Force_and_Size tab." display="In Force and Size" xr:uid="{00000000-0004-0000-0200-000008000000}"/>
    <hyperlink ref="F16" location="Reinsurance!A1" tooltip="Go to Reinsurance tab." display="Reinsurance" xr:uid="{00000000-0004-0000-0200-000009000000}"/>
    <hyperlink ref="H12" location="Peer_Analysis!A1" tooltip="Go to Peer_Analysis tab." display="Peer Analysis" xr:uid="{00000000-0004-0000-0200-00000A000000}"/>
    <hyperlink ref="B12" location="Financial_Highlights!A1" tooltip="Go to Financial_Highlights tab." display="Financial Highlights" xr:uid="{00000000-0004-0000-0200-00000B000000}"/>
  </hyperlinks>
  <printOptions horizontalCentered="1"/>
  <pageMargins left="0" right="0" top="0.5" bottom="0.25" header="0.25" footer="0.25"/>
  <pageSetup scale="90" fitToHeight="0" orientation="portrait" r:id="rId2"/>
  <headerFooter alignWithMargins="0"/>
  <colBreaks count="1" manualBreakCount="1">
    <brk id="18" max="1048575" man="1"/>
  </colBreaks>
  <drawing r:id="rId3"/>
  <legacyDrawing r:id="rId4"/>
  <controls>
    <mc:AlternateContent xmlns:mc="http://schemas.openxmlformats.org/markup-compatibility/2006">
      <mc:Choice Requires="x14">
        <control shapeId="6160" r:id="rId5" name="ComboBox11">
          <controlPr defaultSize="0" autoLine="0" autoPict="0" linkedCell="Entity_10" listFillRange="Company_List!B18:B2419" r:id="rId6">
            <anchor moveWithCells="1">
              <from>
                <xdr:col>12</xdr:col>
                <xdr:colOff>19050</xdr:colOff>
                <xdr:row>30</xdr:row>
                <xdr:rowOff>95250</xdr:rowOff>
              </from>
              <to>
                <xdr:col>18</xdr:col>
                <xdr:colOff>11430</xdr:colOff>
                <xdr:row>32</xdr:row>
                <xdr:rowOff>38100</xdr:rowOff>
              </to>
            </anchor>
          </controlPr>
        </control>
      </mc:Choice>
      <mc:Fallback>
        <control shapeId="6160" r:id="rId5" name="ComboBox11"/>
      </mc:Fallback>
    </mc:AlternateContent>
    <mc:AlternateContent xmlns:mc="http://schemas.openxmlformats.org/markup-compatibility/2006">
      <mc:Choice Requires="x14">
        <control shapeId="6159" r:id="rId7" name="ComboBox10">
          <controlPr defaultSize="0" autoLine="0" autoPict="0" linkedCell="Entity_9" listFillRange="Company_List!B18:B2419" r:id="rId8">
            <anchor moveWithCells="1">
              <from>
                <xdr:col>12</xdr:col>
                <xdr:colOff>19050</xdr:colOff>
                <xdr:row>28</xdr:row>
                <xdr:rowOff>87630</xdr:rowOff>
              </from>
              <to>
                <xdr:col>18</xdr:col>
                <xdr:colOff>11430</xdr:colOff>
                <xdr:row>30</xdr:row>
                <xdr:rowOff>19050</xdr:rowOff>
              </to>
            </anchor>
          </controlPr>
        </control>
      </mc:Choice>
      <mc:Fallback>
        <control shapeId="6159" r:id="rId7" name="ComboBox10"/>
      </mc:Fallback>
    </mc:AlternateContent>
    <mc:AlternateContent xmlns:mc="http://schemas.openxmlformats.org/markup-compatibility/2006">
      <mc:Choice Requires="x14">
        <control shapeId="6158" r:id="rId9" name="ComboBox9">
          <controlPr defaultSize="0" autoLine="0" autoPict="0" linkedCell="Entity_8" listFillRange="Company_List!B18:B2419" r:id="rId10">
            <anchor moveWithCells="1">
              <from>
                <xdr:col>12</xdr:col>
                <xdr:colOff>19050</xdr:colOff>
                <xdr:row>26</xdr:row>
                <xdr:rowOff>87630</xdr:rowOff>
              </from>
              <to>
                <xdr:col>18</xdr:col>
                <xdr:colOff>11430</xdr:colOff>
                <xdr:row>28</xdr:row>
                <xdr:rowOff>19050</xdr:rowOff>
              </to>
            </anchor>
          </controlPr>
        </control>
      </mc:Choice>
      <mc:Fallback>
        <control shapeId="6158" r:id="rId9" name="ComboBox9"/>
      </mc:Fallback>
    </mc:AlternateContent>
    <mc:AlternateContent xmlns:mc="http://schemas.openxmlformats.org/markup-compatibility/2006">
      <mc:Choice Requires="x14">
        <control shapeId="6157" r:id="rId11" name="ComboBox8">
          <controlPr defaultSize="0" autoLine="0" autoPict="0" linkedCell="Entity_7" listFillRange="Company_List!B18:B2419" r:id="rId12">
            <anchor moveWithCells="1">
              <from>
                <xdr:col>12</xdr:col>
                <xdr:colOff>19050</xdr:colOff>
                <xdr:row>24</xdr:row>
                <xdr:rowOff>87630</xdr:rowOff>
              </from>
              <to>
                <xdr:col>18</xdr:col>
                <xdr:colOff>11430</xdr:colOff>
                <xdr:row>26</xdr:row>
                <xdr:rowOff>19050</xdr:rowOff>
              </to>
            </anchor>
          </controlPr>
        </control>
      </mc:Choice>
      <mc:Fallback>
        <control shapeId="6157" r:id="rId11" name="ComboBox8"/>
      </mc:Fallback>
    </mc:AlternateContent>
    <mc:AlternateContent xmlns:mc="http://schemas.openxmlformats.org/markup-compatibility/2006">
      <mc:Choice Requires="x14">
        <control shapeId="6156" r:id="rId13" name="ComboBox7">
          <controlPr defaultSize="0" autoLine="0" autoPict="0" linkedCell="Entity_6" listFillRange="Company_List!B18:B2419" r:id="rId14">
            <anchor moveWithCells="1">
              <from>
                <xdr:col>12</xdr:col>
                <xdr:colOff>19050</xdr:colOff>
                <xdr:row>22</xdr:row>
                <xdr:rowOff>95250</xdr:rowOff>
              </from>
              <to>
                <xdr:col>18</xdr:col>
                <xdr:colOff>11430</xdr:colOff>
                <xdr:row>24</xdr:row>
                <xdr:rowOff>38100</xdr:rowOff>
              </to>
            </anchor>
          </controlPr>
        </control>
      </mc:Choice>
      <mc:Fallback>
        <control shapeId="6156" r:id="rId13" name="ComboBox7"/>
      </mc:Fallback>
    </mc:AlternateContent>
    <mc:AlternateContent xmlns:mc="http://schemas.openxmlformats.org/markup-compatibility/2006">
      <mc:Choice Requires="x14">
        <control shapeId="6155" r:id="rId15" name="ComboBox6">
          <controlPr defaultSize="0" autoLine="0" autoPict="0" linkedCell="Entity_5" listFillRange="Company_List!B18:B2419" r:id="rId16">
            <anchor moveWithCells="1">
              <from>
                <xdr:col>12</xdr:col>
                <xdr:colOff>19050</xdr:colOff>
                <xdr:row>20</xdr:row>
                <xdr:rowOff>95250</xdr:rowOff>
              </from>
              <to>
                <xdr:col>18</xdr:col>
                <xdr:colOff>11430</xdr:colOff>
                <xdr:row>22</xdr:row>
                <xdr:rowOff>38100</xdr:rowOff>
              </to>
            </anchor>
          </controlPr>
        </control>
      </mc:Choice>
      <mc:Fallback>
        <control shapeId="6155" r:id="rId15" name="ComboBox6"/>
      </mc:Fallback>
    </mc:AlternateContent>
    <mc:AlternateContent xmlns:mc="http://schemas.openxmlformats.org/markup-compatibility/2006">
      <mc:Choice Requires="x14">
        <control shapeId="6154" r:id="rId17" name="ComboBox5">
          <controlPr defaultSize="0" autoLine="0" autoPict="0" linkedCell="Entity_4" listFillRange="Company_List!B18:B2419" r:id="rId18">
            <anchor moveWithCells="1">
              <from>
                <xdr:col>12</xdr:col>
                <xdr:colOff>19050</xdr:colOff>
                <xdr:row>18</xdr:row>
                <xdr:rowOff>95250</xdr:rowOff>
              </from>
              <to>
                <xdr:col>18</xdr:col>
                <xdr:colOff>11430</xdr:colOff>
                <xdr:row>20</xdr:row>
                <xdr:rowOff>38100</xdr:rowOff>
              </to>
            </anchor>
          </controlPr>
        </control>
      </mc:Choice>
      <mc:Fallback>
        <control shapeId="6154" r:id="rId17" name="ComboBox5"/>
      </mc:Fallback>
    </mc:AlternateContent>
    <mc:AlternateContent xmlns:mc="http://schemas.openxmlformats.org/markup-compatibility/2006">
      <mc:Choice Requires="x14">
        <control shapeId="6153" r:id="rId19" name="ComboBox4">
          <controlPr defaultSize="0" autoLine="0" autoPict="0" linkedCell="Entity_3" listFillRange="Company_List!B18:B2419" r:id="rId20">
            <anchor moveWithCells="1">
              <from>
                <xdr:col>12</xdr:col>
                <xdr:colOff>19050</xdr:colOff>
                <xdr:row>16</xdr:row>
                <xdr:rowOff>95250</xdr:rowOff>
              </from>
              <to>
                <xdr:col>18</xdr:col>
                <xdr:colOff>11430</xdr:colOff>
                <xdr:row>18</xdr:row>
                <xdr:rowOff>38100</xdr:rowOff>
              </to>
            </anchor>
          </controlPr>
        </control>
      </mc:Choice>
      <mc:Fallback>
        <control shapeId="6153" r:id="rId19" name="ComboBox4"/>
      </mc:Fallback>
    </mc:AlternateContent>
    <mc:AlternateContent xmlns:mc="http://schemas.openxmlformats.org/markup-compatibility/2006">
      <mc:Choice Requires="x14">
        <control shapeId="6152" r:id="rId21" name="ComboBox3">
          <controlPr defaultSize="0" autoLine="0" autoPict="0" linkedCell="Entity_2" listFillRange="Company_List!B18:B2419" r:id="rId22">
            <anchor moveWithCells="1">
              <from>
                <xdr:col>12</xdr:col>
                <xdr:colOff>19050</xdr:colOff>
                <xdr:row>14</xdr:row>
                <xdr:rowOff>95250</xdr:rowOff>
              </from>
              <to>
                <xdr:col>18</xdr:col>
                <xdr:colOff>11430</xdr:colOff>
                <xdr:row>16</xdr:row>
                <xdr:rowOff>38100</xdr:rowOff>
              </to>
            </anchor>
          </controlPr>
        </control>
      </mc:Choice>
      <mc:Fallback>
        <control shapeId="6152" r:id="rId21" name="ComboBox3"/>
      </mc:Fallback>
    </mc:AlternateContent>
    <mc:AlternateContent xmlns:mc="http://schemas.openxmlformats.org/markup-compatibility/2006">
      <mc:Choice Requires="x14">
        <control shapeId="6151" r:id="rId23" name="ComboBox2">
          <controlPr defaultSize="0" autoLine="0" autoPict="0" linkedCell="Entity_1" listFillRange="Company_List!B18:B2419" r:id="rId24">
            <anchor moveWithCells="1">
              <from>
                <xdr:col>12</xdr:col>
                <xdr:colOff>19050</xdr:colOff>
                <xdr:row>12</xdr:row>
                <xdr:rowOff>95250</xdr:rowOff>
              </from>
              <to>
                <xdr:col>18</xdr:col>
                <xdr:colOff>11430</xdr:colOff>
                <xdr:row>14</xdr:row>
                <xdr:rowOff>49530</xdr:rowOff>
              </to>
            </anchor>
          </controlPr>
        </control>
      </mc:Choice>
      <mc:Fallback>
        <control shapeId="6151" r:id="rId23" name="ComboBox2"/>
      </mc:Fallback>
    </mc:AlternateContent>
    <mc:AlternateContent xmlns:mc="http://schemas.openxmlformats.org/markup-compatibility/2006">
      <mc:Choice Requires="x14">
        <control shapeId="6147" r:id="rId25" name="ComboBox18">
          <controlPr defaultSize="0" autoLine="0" linkedCell="Selected_Field" listFillRange="Fields_Life" r:id="rId26">
            <anchor moveWithCells="1">
              <from>
                <xdr:col>5</xdr:col>
                <xdr:colOff>0</xdr:colOff>
                <xdr:row>26</xdr:row>
                <xdr:rowOff>57150</xdr:rowOff>
              </from>
              <to>
                <xdr:col>9</xdr:col>
                <xdr:colOff>487680</xdr:colOff>
                <xdr:row>28</xdr:row>
                <xdr:rowOff>3810</xdr:rowOff>
              </to>
            </anchor>
          </controlPr>
        </control>
      </mc:Choice>
      <mc:Fallback>
        <control shapeId="6147" r:id="rId25" name="ComboBox18"/>
      </mc:Fallback>
    </mc:AlternateContent>
    <mc:AlternateContent xmlns:mc="http://schemas.openxmlformats.org/markup-compatibility/2006">
      <mc:Choice Requires="x14">
        <control shapeId="6145" r:id="rId27" name="Entity_Name">
          <controlPr defaultSize="0" autoLine="0" linkedCell="Entity_Name" listFillRange="Company_List!B18:B2419" r:id="rId28">
            <anchor moveWithCells="1">
              <from>
                <xdr:col>5</xdr:col>
                <xdr:colOff>0</xdr:colOff>
                <xdr:row>20</xdr:row>
                <xdr:rowOff>76200</xdr:rowOff>
              </from>
              <to>
                <xdr:col>9</xdr:col>
                <xdr:colOff>487680</xdr:colOff>
                <xdr:row>22</xdr:row>
                <xdr:rowOff>22860</xdr:rowOff>
              </to>
            </anchor>
          </controlPr>
        </control>
      </mc:Choice>
      <mc:Fallback>
        <control shapeId="6145" r:id="rId27" name="Entity_Name"/>
      </mc:Fallback>
    </mc:AlternateContent>
    <mc:AlternateContent xmlns:mc="http://schemas.openxmlformats.org/markup-compatibility/2006">
      <mc:Choice Requires="x14">
        <control shapeId="6162" r:id="rId29" name="Button 18">
          <controlPr defaultSize="0" print="0" autoFill="0" autoPict="0" macro="[0]!Clear_Peers">
            <anchor moveWithCells="1" sizeWithCells="1">
              <from>
                <xdr:col>7</xdr:col>
                <xdr:colOff>220980</xdr:colOff>
                <xdr:row>24</xdr:row>
                <xdr:rowOff>57150</xdr:rowOff>
              </from>
              <to>
                <xdr:col>10</xdr:col>
                <xdr:colOff>11430</xdr:colOff>
                <xdr:row>26</xdr:row>
                <xdr:rowOff>0</xdr:rowOff>
              </to>
            </anchor>
          </controlPr>
        </control>
      </mc:Choice>
    </mc:AlternateContent>
    <mc:AlternateContent xmlns:mc="http://schemas.openxmlformats.org/markup-compatibility/2006">
      <mc:Choice Requires="x14">
        <control shapeId="6166" r:id="rId30" name="Button 22">
          <controlPr defaultSize="0" print="0" autoFill="0" autoPict="0" macro="[0]!Peer_Generation">
            <anchor moveWithCells="1" sizeWithCells="1">
              <from>
                <xdr:col>7</xdr:col>
                <xdr:colOff>220980</xdr:colOff>
                <xdr:row>28</xdr:row>
                <xdr:rowOff>76200</xdr:rowOff>
              </from>
              <to>
                <xdr:col>10</xdr:col>
                <xdr:colOff>11430</xdr:colOff>
                <xdr:row>30</xdr:row>
                <xdr:rowOff>19050</xdr:rowOff>
              </to>
            </anchor>
          </controlPr>
        </control>
      </mc:Choice>
    </mc:AlternateContent>
    <mc:AlternateContent xmlns:mc="http://schemas.openxmlformats.org/markup-compatibility/2006">
      <mc:Choice Requires="x14">
        <control shapeId="6167" r:id="rId31" name="Button 23">
          <controlPr defaultSize="0" print="0" autoFill="0" autoPict="0" macro="[0]!Refresh_Model">
            <anchor moveWithCells="1" sizeWithCells="1">
              <from>
                <xdr:col>7</xdr:col>
                <xdr:colOff>220980</xdr:colOff>
                <xdr:row>30</xdr:row>
                <xdr:rowOff>87630</xdr:rowOff>
              </from>
              <to>
                <xdr:col>10</xdr:col>
                <xdr:colOff>11430</xdr:colOff>
                <xdr:row>32</xdr:row>
                <xdr:rowOff>19050</xdr:rowOff>
              </to>
            </anchor>
          </controlPr>
        </control>
      </mc:Choice>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T274"/>
  <sheetViews>
    <sheetView showGridLines="0" zoomScaleNormal="100" workbookViewId="0"/>
  </sheetViews>
  <sheetFormatPr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3" width="8.83984375" style="235"/>
    <col min="14" max="14" width="29.68359375" style="363" hidden="1" customWidth="1" outlineLevel="1"/>
    <col min="15" max="16" width="8.83984375" style="235" hidden="1" customWidth="1" outlineLevel="1"/>
    <col min="17" max="17" width="24.578125" style="235" hidden="1" customWidth="1" outlineLevel="1"/>
    <col min="18" max="19" width="8.83984375" style="235" hidden="1" customWidth="1" outlineLevel="1"/>
    <col min="20" max="20" width="8.83984375" style="235" collapsed="1"/>
    <col min="21" max="254" width="8.83984375" style="235"/>
    <col min="255" max="255" width="48.578125" style="235" customWidth="1"/>
    <col min="256" max="261" width="17.578125" style="235" customWidth="1"/>
    <col min="262" max="510" width="8.83984375" style="235"/>
    <col min="511" max="511" width="48.578125" style="235" customWidth="1"/>
    <col min="512" max="517" width="17.578125" style="235" customWidth="1"/>
    <col min="518" max="766" width="8.83984375" style="235"/>
    <col min="767" max="767" width="48.578125" style="235" customWidth="1"/>
    <col min="768" max="773" width="17.578125" style="235" customWidth="1"/>
    <col min="774" max="1022" width="8.83984375" style="235"/>
    <col min="1023" max="1023" width="48.578125" style="235" customWidth="1"/>
    <col min="1024" max="1029" width="17.578125" style="235" customWidth="1"/>
    <col min="1030" max="1278" width="8.83984375" style="235"/>
    <col min="1279" max="1279" width="48.578125" style="235" customWidth="1"/>
    <col min="1280" max="1285" width="17.578125" style="235" customWidth="1"/>
    <col min="1286" max="1534" width="8.83984375" style="235"/>
    <col min="1535" max="1535" width="48.578125" style="235" customWidth="1"/>
    <col min="1536" max="1541" width="17.578125" style="235" customWidth="1"/>
    <col min="1542" max="1790" width="8.83984375" style="235"/>
    <col min="1791" max="1791" width="48.578125" style="235" customWidth="1"/>
    <col min="1792" max="1797" width="17.578125" style="235" customWidth="1"/>
    <col min="1798" max="2046" width="8.83984375" style="235"/>
    <col min="2047" max="2047" width="48.578125" style="235" customWidth="1"/>
    <col min="2048" max="2053" width="17.578125" style="235" customWidth="1"/>
    <col min="2054" max="2302" width="8.83984375" style="235"/>
    <col min="2303" max="2303" width="48.578125" style="235" customWidth="1"/>
    <col min="2304" max="2309" width="17.578125" style="235" customWidth="1"/>
    <col min="2310" max="2558" width="8.83984375" style="235"/>
    <col min="2559" max="2559" width="48.578125" style="235" customWidth="1"/>
    <col min="2560" max="2565" width="17.578125" style="235" customWidth="1"/>
    <col min="2566" max="2814" width="8.83984375" style="235"/>
    <col min="2815" max="2815" width="48.578125" style="235" customWidth="1"/>
    <col min="2816" max="2821" width="17.578125" style="235" customWidth="1"/>
    <col min="2822" max="3070" width="8.83984375" style="235"/>
    <col min="3071" max="3071" width="48.578125" style="235" customWidth="1"/>
    <col min="3072" max="3077" width="17.578125" style="235" customWidth="1"/>
    <col min="3078" max="3326" width="8.83984375" style="235"/>
    <col min="3327" max="3327" width="48.578125" style="235" customWidth="1"/>
    <col min="3328" max="3333" width="17.578125" style="235" customWidth="1"/>
    <col min="3334" max="3582" width="8.83984375" style="235"/>
    <col min="3583" max="3583" width="48.578125" style="235" customWidth="1"/>
    <col min="3584" max="3589" width="17.578125" style="235" customWidth="1"/>
    <col min="3590" max="3838" width="8.83984375" style="235"/>
    <col min="3839" max="3839" width="48.578125" style="235" customWidth="1"/>
    <col min="3840" max="3845" width="17.578125" style="235" customWidth="1"/>
    <col min="3846" max="4094" width="8.83984375" style="235"/>
    <col min="4095" max="4095" width="48.578125" style="235" customWidth="1"/>
    <col min="4096" max="4101" width="17.578125" style="235" customWidth="1"/>
    <col min="4102" max="4350" width="8.83984375" style="235"/>
    <col min="4351" max="4351" width="48.578125" style="235" customWidth="1"/>
    <col min="4352" max="4357" width="17.578125" style="235" customWidth="1"/>
    <col min="4358" max="4606" width="8.83984375" style="235"/>
    <col min="4607" max="4607" width="48.578125" style="235" customWidth="1"/>
    <col min="4608" max="4613" width="17.578125" style="235" customWidth="1"/>
    <col min="4614" max="4862" width="8.83984375" style="235"/>
    <col min="4863" max="4863" width="48.578125" style="235" customWidth="1"/>
    <col min="4864" max="4869" width="17.578125" style="235" customWidth="1"/>
    <col min="4870" max="5118" width="8.83984375" style="235"/>
    <col min="5119" max="5119" width="48.578125" style="235" customWidth="1"/>
    <col min="5120" max="5125" width="17.578125" style="235" customWidth="1"/>
    <col min="5126" max="5374" width="8.83984375" style="235"/>
    <col min="5375" max="5375" width="48.578125" style="235" customWidth="1"/>
    <col min="5376" max="5381" width="17.578125" style="235" customWidth="1"/>
    <col min="5382" max="5630" width="8.83984375" style="235"/>
    <col min="5631" max="5631" width="48.578125" style="235" customWidth="1"/>
    <col min="5632" max="5637" width="17.578125" style="235" customWidth="1"/>
    <col min="5638" max="5886" width="8.83984375" style="235"/>
    <col min="5887" max="5887" width="48.578125" style="235" customWidth="1"/>
    <col min="5888" max="5893" width="17.578125" style="235" customWidth="1"/>
    <col min="5894" max="6142" width="8.83984375" style="235"/>
    <col min="6143" max="6143" width="48.578125" style="235" customWidth="1"/>
    <col min="6144" max="6149" width="17.578125" style="235" customWidth="1"/>
    <col min="6150" max="6398" width="8.83984375" style="235"/>
    <col min="6399" max="6399" width="48.578125" style="235" customWidth="1"/>
    <col min="6400" max="6405" width="17.578125" style="235" customWidth="1"/>
    <col min="6406" max="6654" width="8.83984375" style="235"/>
    <col min="6655" max="6655" width="48.578125" style="235" customWidth="1"/>
    <col min="6656" max="6661" width="17.578125" style="235" customWidth="1"/>
    <col min="6662" max="6910" width="8.83984375" style="235"/>
    <col min="6911" max="6911" width="48.578125" style="235" customWidth="1"/>
    <col min="6912" max="6917" width="17.578125" style="235" customWidth="1"/>
    <col min="6918" max="7166" width="8.83984375" style="235"/>
    <col min="7167" max="7167" width="48.578125" style="235" customWidth="1"/>
    <col min="7168" max="7173" width="17.578125" style="235" customWidth="1"/>
    <col min="7174" max="7422" width="8.83984375" style="235"/>
    <col min="7423" max="7423" width="48.578125" style="235" customWidth="1"/>
    <col min="7424" max="7429" width="17.578125" style="235" customWidth="1"/>
    <col min="7430" max="7678" width="8.83984375" style="235"/>
    <col min="7679" max="7679" width="48.578125" style="235" customWidth="1"/>
    <col min="7680" max="7685" width="17.578125" style="235" customWidth="1"/>
    <col min="7686" max="7934" width="8.83984375" style="235"/>
    <col min="7935" max="7935" width="48.578125" style="235" customWidth="1"/>
    <col min="7936" max="7941" width="17.578125" style="235" customWidth="1"/>
    <col min="7942" max="8190" width="8.83984375" style="235"/>
    <col min="8191" max="8191" width="48.578125" style="235" customWidth="1"/>
    <col min="8192" max="8197" width="17.578125" style="235" customWidth="1"/>
    <col min="8198" max="8446" width="8.83984375" style="235"/>
    <col min="8447" max="8447" width="48.578125" style="235" customWidth="1"/>
    <col min="8448" max="8453" width="17.578125" style="235" customWidth="1"/>
    <col min="8454" max="8702" width="8.83984375" style="235"/>
    <col min="8703" max="8703" width="48.578125" style="235" customWidth="1"/>
    <col min="8704" max="8709" width="17.578125" style="235" customWidth="1"/>
    <col min="8710" max="8958" width="8.83984375" style="235"/>
    <col min="8959" max="8959" width="48.578125" style="235" customWidth="1"/>
    <col min="8960" max="8965" width="17.578125" style="235" customWidth="1"/>
    <col min="8966" max="9214" width="8.83984375" style="235"/>
    <col min="9215" max="9215" width="48.578125" style="235" customWidth="1"/>
    <col min="9216" max="9221" width="17.578125" style="235" customWidth="1"/>
    <col min="9222" max="9470" width="8.83984375" style="235"/>
    <col min="9471" max="9471" width="48.578125" style="235" customWidth="1"/>
    <col min="9472" max="9477" width="17.578125" style="235" customWidth="1"/>
    <col min="9478" max="9726" width="8.83984375" style="235"/>
    <col min="9727" max="9727" width="48.578125" style="235" customWidth="1"/>
    <col min="9728" max="9733" width="17.578125" style="235" customWidth="1"/>
    <col min="9734" max="9982" width="8.83984375" style="235"/>
    <col min="9983" max="9983" width="48.578125" style="235" customWidth="1"/>
    <col min="9984" max="9989" width="17.578125" style="235" customWidth="1"/>
    <col min="9990" max="10238" width="8.83984375" style="235"/>
    <col min="10239" max="10239" width="48.578125" style="235" customWidth="1"/>
    <col min="10240" max="10245" width="17.578125" style="235" customWidth="1"/>
    <col min="10246" max="10494" width="8.83984375" style="235"/>
    <col min="10495" max="10495" width="48.578125" style="235" customWidth="1"/>
    <col min="10496" max="10501" width="17.578125" style="235" customWidth="1"/>
    <col min="10502" max="10750" width="8.83984375" style="235"/>
    <col min="10751" max="10751" width="48.578125" style="235" customWidth="1"/>
    <col min="10752" max="10757" width="17.578125" style="235" customWidth="1"/>
    <col min="10758" max="11006" width="8.83984375" style="235"/>
    <col min="11007" max="11007" width="48.578125" style="235" customWidth="1"/>
    <col min="11008" max="11013" width="17.578125" style="235" customWidth="1"/>
    <col min="11014" max="11262" width="8.83984375" style="235"/>
    <col min="11263" max="11263" width="48.578125" style="235" customWidth="1"/>
    <col min="11264" max="11269" width="17.578125" style="235" customWidth="1"/>
    <col min="11270" max="11518" width="8.83984375" style="235"/>
    <col min="11519" max="11519" width="48.578125" style="235" customWidth="1"/>
    <col min="11520" max="11525" width="17.578125" style="235" customWidth="1"/>
    <col min="11526" max="11774" width="8.83984375" style="235"/>
    <col min="11775" max="11775" width="48.578125" style="235" customWidth="1"/>
    <col min="11776" max="11781" width="17.578125" style="235" customWidth="1"/>
    <col min="11782" max="12030" width="8.83984375" style="235"/>
    <col min="12031" max="12031" width="48.578125" style="235" customWidth="1"/>
    <col min="12032" max="12037" width="17.578125" style="235" customWidth="1"/>
    <col min="12038" max="12286" width="8.83984375" style="235"/>
    <col min="12287" max="12287" width="48.578125" style="235" customWidth="1"/>
    <col min="12288" max="12293" width="17.578125" style="235" customWidth="1"/>
    <col min="12294" max="12542" width="8.83984375" style="235"/>
    <col min="12543" max="12543" width="48.578125" style="235" customWidth="1"/>
    <col min="12544" max="12549" width="17.578125" style="235" customWidth="1"/>
    <col min="12550" max="12798" width="8.83984375" style="235"/>
    <col min="12799" max="12799" width="48.578125" style="235" customWidth="1"/>
    <col min="12800" max="12805" width="17.578125" style="235" customWidth="1"/>
    <col min="12806" max="13054" width="8.83984375" style="235"/>
    <col min="13055" max="13055" width="48.578125" style="235" customWidth="1"/>
    <col min="13056" max="13061" width="17.578125" style="235" customWidth="1"/>
    <col min="13062" max="13310" width="8.83984375" style="235"/>
    <col min="13311" max="13311" width="48.578125" style="235" customWidth="1"/>
    <col min="13312" max="13317" width="17.578125" style="235" customWidth="1"/>
    <col min="13318" max="13566" width="8.83984375" style="235"/>
    <col min="13567" max="13567" width="48.578125" style="235" customWidth="1"/>
    <col min="13568" max="13573" width="17.578125" style="235" customWidth="1"/>
    <col min="13574" max="13822" width="8.83984375" style="235"/>
    <col min="13823" max="13823" width="48.578125" style="235" customWidth="1"/>
    <col min="13824" max="13829" width="17.578125" style="235" customWidth="1"/>
    <col min="13830" max="14078" width="8.83984375" style="235"/>
    <col min="14079" max="14079" width="48.578125" style="235" customWidth="1"/>
    <col min="14080" max="14085" width="17.578125" style="235" customWidth="1"/>
    <col min="14086" max="14334" width="8.83984375" style="235"/>
    <col min="14335" max="14335" width="48.578125" style="235" customWidth="1"/>
    <col min="14336" max="14341" width="17.578125" style="235" customWidth="1"/>
    <col min="14342" max="14590" width="8.83984375" style="235"/>
    <col min="14591" max="14591" width="48.578125" style="235" customWidth="1"/>
    <col min="14592" max="14597" width="17.578125" style="235" customWidth="1"/>
    <col min="14598" max="14846" width="8.83984375" style="235"/>
    <col min="14847" max="14847" width="48.578125" style="235" customWidth="1"/>
    <col min="14848" max="14853" width="17.578125" style="235" customWidth="1"/>
    <col min="14854" max="15102" width="8.83984375" style="235"/>
    <col min="15103" max="15103" width="48.578125" style="235" customWidth="1"/>
    <col min="15104" max="15109" width="17.578125" style="235" customWidth="1"/>
    <col min="15110" max="15358" width="8.83984375" style="235"/>
    <col min="15359" max="15359" width="48.578125" style="235" customWidth="1"/>
    <col min="15360" max="15365" width="17.578125" style="235" customWidth="1"/>
    <col min="15366" max="15614" width="8.83984375" style="235"/>
    <col min="15615" max="15615" width="48.578125" style="235" customWidth="1"/>
    <col min="15616" max="15621" width="17.578125" style="235" customWidth="1"/>
    <col min="15622" max="15870" width="8.83984375" style="235"/>
    <col min="15871" max="15871" width="48.578125" style="235" customWidth="1"/>
    <col min="15872" max="15877" width="17.578125" style="235" customWidth="1"/>
    <col min="15878" max="16126" width="8.83984375" style="235"/>
    <col min="16127" max="16127" width="48.578125" style="235" customWidth="1"/>
    <col min="16128" max="16133" width="17.578125" style="235" customWidth="1"/>
    <col min="16134"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5354</v>
      </c>
      <c r="C3" s="241"/>
      <c r="D3" s="241"/>
      <c r="E3" s="241"/>
      <c r="F3" s="241"/>
      <c r="G3" s="241"/>
      <c r="H3" s="350"/>
    </row>
    <row r="4" spans="2:10" ht="11.25" customHeight="1" x14ac:dyDescent="0.35">
      <c r="B4" s="277" t="s">
        <v>5363</v>
      </c>
      <c r="C4" s="264"/>
      <c r="D4" s="264"/>
      <c r="E4" s="264"/>
      <c r="F4" s="264"/>
      <c r="G4" s="264"/>
      <c r="H4" s="264"/>
    </row>
    <row r="5" spans="2:10" ht="11.25" customHeight="1" x14ac:dyDescent="0.35">
      <c r="B5" s="236"/>
      <c r="C5" s="237"/>
    </row>
    <row r="6" spans="2:10" ht="11.25" hidden="1" customHeight="1" outlineLevel="1" x14ac:dyDescent="0.35">
      <c r="B6" s="254" t="str">
        <f ca="1">[1]!snltable(287,$D$6:$H$6,$C$10:$C$153,$D$7:$H$7,,"Options:Curr=USD,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x14ac:dyDescent="0.35">
      <c r="B8" s="261"/>
      <c r="C8" s="262"/>
      <c r="D8" s="241"/>
      <c r="E8" s="241"/>
      <c r="F8" s="241"/>
      <c r="G8" s="241"/>
      <c r="H8" s="263"/>
    </row>
    <row r="9" spans="2:10" ht="11.25" customHeight="1" collapsed="1" thickBot="1" x14ac:dyDescent="0.4">
      <c r="B9" s="265" t="s">
        <v>5353</v>
      </c>
      <c r="C9" s="266"/>
      <c r="D9" s="267" t="str">
        <f>D7</f>
        <v>2010Y</v>
      </c>
      <c r="E9" s="267" t="str">
        <f t="shared" ref="E9:H9" si="1">E7</f>
        <v>2011Y</v>
      </c>
      <c r="F9" s="267" t="str">
        <f t="shared" si="1"/>
        <v>2012Y</v>
      </c>
      <c r="G9" s="267" t="str">
        <f t="shared" si="1"/>
        <v>2013Y</v>
      </c>
      <c r="H9" s="267" t="str">
        <f t="shared" si="1"/>
        <v>2014Y</v>
      </c>
    </row>
    <row r="10" spans="2:10" ht="11.25" customHeight="1" x14ac:dyDescent="0.35">
      <c r="B10" s="246" t="s">
        <v>4945</v>
      </c>
      <c r="C10" s="308">
        <v>202219</v>
      </c>
      <c r="D10" s="309">
        <v>40543</v>
      </c>
      <c r="E10" s="309">
        <v>40908</v>
      </c>
      <c r="F10" s="309">
        <v>41274</v>
      </c>
      <c r="G10" s="309">
        <v>41639</v>
      </c>
      <c r="H10" s="309">
        <v>42004</v>
      </c>
    </row>
    <row r="11" spans="2:10" ht="11.25" customHeight="1" x14ac:dyDescent="0.35">
      <c r="B11" s="244" t="s">
        <v>4946</v>
      </c>
      <c r="C11" s="247"/>
      <c r="D11" s="248"/>
      <c r="E11" s="248"/>
      <c r="F11" s="248"/>
      <c r="G11" s="248"/>
      <c r="H11" s="248"/>
    </row>
    <row r="12" spans="2:10" ht="11.25" customHeight="1" x14ac:dyDescent="0.35">
      <c r="B12" s="246" t="s">
        <v>4947</v>
      </c>
      <c r="C12" s="247"/>
      <c r="D12" s="248"/>
      <c r="E12" s="248"/>
      <c r="F12" s="248"/>
      <c r="G12" s="248"/>
      <c r="H12" s="248"/>
    </row>
    <row r="13" spans="2:10" ht="11.25" customHeight="1" x14ac:dyDescent="0.35">
      <c r="B13" s="244" t="s">
        <v>4948</v>
      </c>
      <c r="C13" s="245">
        <v>122914</v>
      </c>
      <c r="D13" s="279">
        <v>3196195125.4608703</v>
      </c>
      <c r="E13" s="279">
        <v>3360535194.0314598</v>
      </c>
      <c r="F13" s="279">
        <v>3403292657.0011301</v>
      </c>
      <c r="G13" s="279">
        <v>3482338468.0696602</v>
      </c>
      <c r="H13" s="279">
        <v>3631569036.5766702</v>
      </c>
    </row>
    <row r="14" spans="2:10" ht="11.25" customHeight="1" x14ac:dyDescent="0.35">
      <c r="B14" s="244" t="s">
        <v>4949</v>
      </c>
      <c r="C14" s="245">
        <v>123429</v>
      </c>
      <c r="D14" s="279">
        <v>1840184325.3770001</v>
      </c>
      <c r="E14" s="279">
        <v>1835601856.931</v>
      </c>
      <c r="F14" s="279">
        <v>2053198272.325</v>
      </c>
      <c r="G14" s="279">
        <v>2328903142.9200001</v>
      </c>
      <c r="H14" s="279">
        <v>2423541834.993</v>
      </c>
    </row>
    <row r="15" spans="2:10" ht="11.25" customHeight="1" x14ac:dyDescent="0.35">
      <c r="B15" s="244" t="s">
        <v>4935</v>
      </c>
      <c r="C15" s="245">
        <v>122915</v>
      </c>
      <c r="D15" s="279">
        <v>5196688720.1468706</v>
      </c>
      <c r="E15" s="279">
        <v>5369975369.6004601</v>
      </c>
      <c r="F15" s="279">
        <v>5640951565.2958298</v>
      </c>
      <c r="G15" s="279">
        <v>6004818998.5240402</v>
      </c>
      <c r="H15" s="279">
        <v>6259520737.28267</v>
      </c>
    </row>
    <row r="16" spans="2:10" ht="11.25" customHeight="1" x14ac:dyDescent="0.35">
      <c r="B16" s="244" t="s">
        <v>4950</v>
      </c>
      <c r="C16" s="245">
        <v>122916</v>
      </c>
      <c r="D16" s="279">
        <v>108481173.92920101</v>
      </c>
      <c r="E16" s="279">
        <v>118039218.606066</v>
      </c>
      <c r="F16" s="279">
        <v>128580627.950756</v>
      </c>
      <c r="G16" s="279">
        <v>144347273.40793899</v>
      </c>
      <c r="H16" s="279">
        <v>155215057.23957503</v>
      </c>
    </row>
    <row r="17" spans="2:8" ht="11.25" customHeight="1" x14ac:dyDescent="0.35">
      <c r="B17" s="244" t="s">
        <v>4946</v>
      </c>
      <c r="C17" s="247"/>
      <c r="D17" s="279"/>
      <c r="E17" s="279"/>
      <c r="F17" s="279"/>
      <c r="G17" s="279"/>
      <c r="H17" s="279"/>
    </row>
    <row r="18" spans="2:8" ht="11.25" customHeight="1" x14ac:dyDescent="0.35">
      <c r="B18" s="244" t="s">
        <v>4951</v>
      </c>
      <c r="C18" s="245">
        <v>123430</v>
      </c>
      <c r="D18" s="279">
        <v>2191699559.237</v>
      </c>
      <c r="E18" s="279">
        <v>2313636450.4640002</v>
      </c>
      <c r="F18" s="279">
        <v>2305692178.4510002</v>
      </c>
      <c r="G18" s="279">
        <v>2375623947.0174599</v>
      </c>
      <c r="H18" s="279">
        <v>2467613614.0929999</v>
      </c>
    </row>
    <row r="19" spans="2:8" ht="11.25" customHeight="1" x14ac:dyDescent="0.35">
      <c r="B19" s="244" t="s">
        <v>4952</v>
      </c>
      <c r="C19" s="245">
        <v>123431</v>
      </c>
      <c r="D19" s="279">
        <v>206860187.17700002</v>
      </c>
      <c r="E19" s="279">
        <v>222224539.92300001</v>
      </c>
      <c r="F19" s="279">
        <v>219108146.34694001</v>
      </c>
      <c r="G19" s="279">
        <v>218819908.98232999</v>
      </c>
      <c r="H19" s="279">
        <v>223486028.88100001</v>
      </c>
    </row>
    <row r="20" spans="2:8" ht="11.25" customHeight="1" x14ac:dyDescent="0.35">
      <c r="B20" s="244" t="s">
        <v>4953</v>
      </c>
      <c r="C20" s="245">
        <v>123432</v>
      </c>
      <c r="D20" s="279">
        <v>2398559746.414</v>
      </c>
      <c r="E20" s="279">
        <v>2535860990.3870001</v>
      </c>
      <c r="F20" s="279">
        <v>2524800324.7979398</v>
      </c>
      <c r="G20" s="279">
        <v>2594443855.9997902</v>
      </c>
      <c r="H20" s="279">
        <v>2691099642.974</v>
      </c>
    </row>
    <row r="21" spans="2:8" ht="11.25" customHeight="1" x14ac:dyDescent="0.35">
      <c r="B21" s="244" t="s">
        <v>4954</v>
      </c>
      <c r="C21" s="245">
        <v>123433</v>
      </c>
      <c r="D21" s="279">
        <v>15441834.192</v>
      </c>
      <c r="E21" s="279">
        <v>20329454.120999999</v>
      </c>
      <c r="F21" s="279">
        <v>25174986.833000001</v>
      </c>
      <c r="G21" s="279">
        <v>25967411.989</v>
      </c>
      <c r="H21" s="279">
        <v>26474272.517999999</v>
      </c>
    </row>
    <row r="22" spans="2:8" ht="11.25" customHeight="1" x14ac:dyDescent="0.35">
      <c r="B22" s="244" t="s">
        <v>4955</v>
      </c>
      <c r="C22" s="245">
        <v>123434</v>
      </c>
      <c r="D22" s="279">
        <v>29913275.205000002</v>
      </c>
      <c r="E22" s="279">
        <v>37872751.976000004</v>
      </c>
      <c r="F22" s="279">
        <v>43074503.685819998</v>
      </c>
      <c r="G22" s="279">
        <v>46547970.941555999</v>
      </c>
      <c r="H22" s="279">
        <v>51038494.180600002</v>
      </c>
    </row>
    <row r="23" spans="2:8" ht="11.25" customHeight="1" x14ac:dyDescent="0.35">
      <c r="B23" s="244" t="s">
        <v>4956</v>
      </c>
      <c r="C23" s="245">
        <v>122921</v>
      </c>
      <c r="D23" s="279">
        <v>4887363197.2670002</v>
      </c>
      <c r="E23" s="279">
        <v>5057832964.4219999</v>
      </c>
      <c r="F23" s="279">
        <v>5314351080.4709997</v>
      </c>
      <c r="G23" s="279">
        <v>5672901069.3150005</v>
      </c>
      <c r="H23" s="279">
        <v>5905552181.6070004</v>
      </c>
    </row>
    <row r="24" spans="2:8" ht="11.25" customHeight="1" x14ac:dyDescent="0.35">
      <c r="B24" s="244" t="s">
        <v>4946</v>
      </c>
      <c r="C24" s="247"/>
      <c r="D24" s="279"/>
      <c r="E24" s="279"/>
      <c r="F24" s="279"/>
      <c r="G24" s="279"/>
      <c r="H24" s="279"/>
    </row>
    <row r="25" spans="2:8" ht="11.25" customHeight="1" x14ac:dyDescent="0.35">
      <c r="B25" s="244" t="s">
        <v>4957</v>
      </c>
      <c r="C25" s="245">
        <v>122922</v>
      </c>
      <c r="D25" s="279">
        <v>32051187.810000002</v>
      </c>
      <c r="E25" s="279">
        <v>31281382.943</v>
      </c>
      <c r="F25" s="279">
        <v>28814999.603</v>
      </c>
      <c r="G25" s="279">
        <v>28694618.332000002</v>
      </c>
      <c r="H25" s="279">
        <v>30678880.892999999</v>
      </c>
    </row>
    <row r="26" spans="2:8" ht="11.25" customHeight="1" x14ac:dyDescent="0.35">
      <c r="B26" s="244" t="s">
        <v>4958</v>
      </c>
      <c r="C26" s="245">
        <v>122923</v>
      </c>
      <c r="D26" s="279">
        <v>306430238.04987097</v>
      </c>
      <c r="E26" s="279">
        <v>310372996.99645603</v>
      </c>
      <c r="F26" s="279">
        <v>326647273.29112798</v>
      </c>
      <c r="G26" s="279">
        <v>331982055.72465903</v>
      </c>
      <c r="H26" s="279">
        <v>353968596.65167499</v>
      </c>
    </row>
    <row r="27" spans="2:8" ht="11.25" customHeight="1" x14ac:dyDescent="0.35">
      <c r="B27" s="244" t="s">
        <v>4946</v>
      </c>
      <c r="C27" s="247"/>
      <c r="D27" s="248"/>
      <c r="E27" s="248"/>
      <c r="F27" s="248"/>
      <c r="G27" s="248"/>
      <c r="H27" s="248"/>
    </row>
    <row r="28" spans="2:8" ht="11.25" customHeight="1" x14ac:dyDescent="0.35">
      <c r="B28" s="244" t="s">
        <v>4959</v>
      </c>
      <c r="C28" s="245">
        <v>122924</v>
      </c>
      <c r="D28" s="278">
        <v>9.1294454999999992</v>
      </c>
      <c r="E28" s="278">
        <v>8.7815562000000007</v>
      </c>
      <c r="F28" s="278">
        <v>9.1045076999999992</v>
      </c>
      <c r="G28" s="278">
        <v>9.0312745999999997</v>
      </c>
      <c r="H28" s="278">
        <v>9.2275950000000009</v>
      </c>
    </row>
    <row r="29" spans="2:8" ht="11.25" customHeight="1" x14ac:dyDescent="0.35">
      <c r="B29" s="244" t="s">
        <v>4960</v>
      </c>
      <c r="C29" s="245">
        <v>123435</v>
      </c>
      <c r="D29" s="278">
        <v>871.88898080000001</v>
      </c>
      <c r="E29" s="278">
        <v>903.02145210000003</v>
      </c>
      <c r="F29" s="278">
        <v>855.77760169999999</v>
      </c>
      <c r="G29" s="278">
        <v>861.11785729999997</v>
      </c>
      <c r="H29" s="278">
        <v>835.89058360000001</v>
      </c>
    </row>
    <row r="30" spans="2:8" ht="11.25" customHeight="1" x14ac:dyDescent="0.35">
      <c r="B30" s="244" t="s">
        <v>4946</v>
      </c>
      <c r="C30" s="247"/>
      <c r="D30" s="248"/>
      <c r="E30" s="248"/>
      <c r="F30" s="248"/>
      <c r="G30" s="248"/>
      <c r="H30" s="248"/>
    </row>
    <row r="31" spans="2:8" ht="11.25" customHeight="1" x14ac:dyDescent="0.35">
      <c r="B31" s="246" t="s">
        <v>4961</v>
      </c>
      <c r="C31" s="247"/>
      <c r="D31" s="248"/>
      <c r="E31" s="248"/>
      <c r="F31" s="248"/>
      <c r="G31" s="248"/>
      <c r="H31" s="248"/>
    </row>
    <row r="32" spans="2:8" ht="11.25" customHeight="1" x14ac:dyDescent="0.35">
      <c r="B32" s="244" t="s">
        <v>4936</v>
      </c>
      <c r="C32" s="245">
        <v>123436</v>
      </c>
      <c r="D32" s="279">
        <v>561897905.02600002</v>
      </c>
      <c r="E32" s="279">
        <v>604491337.15799999</v>
      </c>
      <c r="F32" s="279">
        <v>625643181.80430007</v>
      </c>
      <c r="G32" s="279">
        <v>562564031.47389197</v>
      </c>
      <c r="H32" s="279">
        <v>647273909.29062998</v>
      </c>
    </row>
    <row r="33" spans="2:8" ht="11.25" customHeight="1" x14ac:dyDescent="0.35">
      <c r="B33" s="244" t="s">
        <v>4962</v>
      </c>
      <c r="C33" s="245">
        <v>122934</v>
      </c>
      <c r="D33" s="279">
        <v>164137870.45031202</v>
      </c>
      <c r="E33" s="279">
        <v>167322080.87812001</v>
      </c>
      <c r="F33" s="279">
        <v>166522937.91613001</v>
      </c>
      <c r="G33" s="279">
        <v>167085527.53747001</v>
      </c>
      <c r="H33" s="279">
        <v>171733049.15720999</v>
      </c>
    </row>
    <row r="34" spans="2:8" ht="11.25" customHeight="1" x14ac:dyDescent="0.35">
      <c r="B34" s="244" t="s">
        <v>4963</v>
      </c>
      <c r="C34" s="245">
        <v>123437</v>
      </c>
      <c r="D34" s="279">
        <v>23360655.035</v>
      </c>
      <c r="E34" s="279">
        <v>26085975.147</v>
      </c>
      <c r="F34" s="279">
        <v>29516587.243000001</v>
      </c>
      <c r="G34" s="279">
        <v>31425592.789999999</v>
      </c>
      <c r="H34" s="279">
        <v>34270975.314999998</v>
      </c>
    </row>
    <row r="35" spans="2:8" ht="11.25" customHeight="1" x14ac:dyDescent="0.35">
      <c r="B35" s="244" t="s">
        <v>4933</v>
      </c>
      <c r="C35" s="245">
        <v>123438</v>
      </c>
      <c r="D35" s="279">
        <v>773322504.59831202</v>
      </c>
      <c r="E35" s="279">
        <v>834971217.60608995</v>
      </c>
      <c r="F35" s="279">
        <v>832471741.75750005</v>
      </c>
      <c r="G35" s="279">
        <v>782663654.63049996</v>
      </c>
      <c r="H35" s="279">
        <v>877991644.98000002</v>
      </c>
    </row>
    <row r="36" spans="2:8" ht="11.25" customHeight="1" x14ac:dyDescent="0.35">
      <c r="B36" s="244" t="s">
        <v>4946</v>
      </c>
      <c r="C36" s="247"/>
      <c r="D36" s="279"/>
      <c r="E36" s="279"/>
      <c r="F36" s="279"/>
      <c r="G36" s="279"/>
      <c r="H36" s="279"/>
    </row>
    <row r="37" spans="2:8" ht="11.25" customHeight="1" x14ac:dyDescent="0.35">
      <c r="B37" s="244" t="s">
        <v>4964</v>
      </c>
      <c r="C37" s="245">
        <v>123439</v>
      </c>
      <c r="D37" s="279">
        <v>231493865.708</v>
      </c>
      <c r="E37" s="279">
        <v>238935094.26199999</v>
      </c>
      <c r="F37" s="279">
        <v>241756379.78400001</v>
      </c>
      <c r="G37" s="279">
        <v>250632395.47499999</v>
      </c>
      <c r="H37" s="279">
        <v>251752086.87799999</v>
      </c>
    </row>
    <row r="38" spans="2:8" ht="11.25" customHeight="1" x14ac:dyDescent="0.35">
      <c r="B38" s="244" t="s">
        <v>4965</v>
      </c>
      <c r="C38" s="245">
        <v>123440</v>
      </c>
      <c r="D38" s="279">
        <v>216846299.625</v>
      </c>
      <c r="E38" s="279">
        <v>237280135.928</v>
      </c>
      <c r="F38" s="279">
        <v>245728199.09</v>
      </c>
      <c r="G38" s="279">
        <v>248702088.08200002</v>
      </c>
      <c r="H38" s="279">
        <v>281532892.41500002</v>
      </c>
    </row>
    <row r="39" spans="2:8" ht="11.25" customHeight="1" x14ac:dyDescent="0.35">
      <c r="B39" s="244" t="s">
        <v>4966</v>
      </c>
      <c r="C39" s="245">
        <v>123441</v>
      </c>
      <c r="D39" s="279">
        <v>96170207.669</v>
      </c>
      <c r="E39" s="279">
        <v>141176777.89899999</v>
      </c>
      <c r="F39" s="279">
        <v>83761282.745000005</v>
      </c>
      <c r="G39" s="279">
        <v>86224085.912</v>
      </c>
      <c r="H39" s="279">
        <v>108734428.991</v>
      </c>
    </row>
    <row r="40" spans="2:8" ht="10.9" customHeight="1" x14ac:dyDescent="0.35">
      <c r="B40" s="244" t="s">
        <v>4967</v>
      </c>
      <c r="C40" s="245">
        <v>123442</v>
      </c>
      <c r="D40" s="279">
        <v>48847382.272</v>
      </c>
      <c r="E40" s="279">
        <v>51367502.270999998</v>
      </c>
      <c r="F40" s="279">
        <v>52614275.413000003</v>
      </c>
      <c r="G40" s="279">
        <v>53014166.497000001</v>
      </c>
      <c r="H40" s="279">
        <v>52063513.546999998</v>
      </c>
    </row>
    <row r="41" spans="2:8" ht="11.25" customHeight="1" x14ac:dyDescent="0.35">
      <c r="B41" s="244" t="s">
        <v>4968</v>
      </c>
      <c r="C41" s="245">
        <v>123443</v>
      </c>
      <c r="D41" s="279">
        <v>54630552.185000002</v>
      </c>
      <c r="E41" s="279">
        <v>56406139.32</v>
      </c>
      <c r="F41" s="279">
        <v>57205719.556000002</v>
      </c>
      <c r="G41" s="279">
        <v>58463239.664000005</v>
      </c>
      <c r="H41" s="279">
        <v>58950535.903999999</v>
      </c>
    </row>
    <row r="42" spans="2:8" ht="11.25" customHeight="1" x14ac:dyDescent="0.35">
      <c r="B42" s="244" t="s">
        <v>4969</v>
      </c>
      <c r="C42" s="245">
        <v>123444</v>
      </c>
      <c r="D42" s="279">
        <v>29272993.751000002</v>
      </c>
      <c r="E42" s="279">
        <v>32427423.960000001</v>
      </c>
      <c r="F42" s="279">
        <v>61550445.767000005</v>
      </c>
      <c r="G42" s="279">
        <v>-771523.37100000004</v>
      </c>
      <c r="H42" s="279">
        <v>-16464688.812000001</v>
      </c>
    </row>
    <row r="43" spans="2:8" ht="11.25" customHeight="1" x14ac:dyDescent="0.35">
      <c r="B43" s="244" t="s">
        <v>4970</v>
      </c>
      <c r="C43" s="245">
        <v>122932</v>
      </c>
      <c r="D43" s="279">
        <v>14985542.016000001</v>
      </c>
      <c r="E43" s="279">
        <v>15099873.65</v>
      </c>
      <c r="F43" s="279">
        <v>15211989.984999999</v>
      </c>
      <c r="G43" s="279">
        <v>15660305.782780001</v>
      </c>
      <c r="H43" s="279">
        <v>16430514.796</v>
      </c>
    </row>
    <row r="44" spans="2:8" ht="11.25" customHeight="1" x14ac:dyDescent="0.35">
      <c r="B44" s="244" t="s">
        <v>4971</v>
      </c>
      <c r="C44" s="245">
        <v>122936</v>
      </c>
      <c r="D44" s="279">
        <v>8561304.6109999996</v>
      </c>
      <c r="E44" s="279">
        <v>4669077.4570000004</v>
      </c>
      <c r="F44" s="279">
        <v>9865693.2119999994</v>
      </c>
      <c r="G44" s="279">
        <v>8553853.3939999994</v>
      </c>
      <c r="H44" s="279">
        <v>10106056.346000001</v>
      </c>
    </row>
    <row r="45" spans="2:8" ht="11.25" customHeight="1" x14ac:dyDescent="0.35">
      <c r="B45" s="244" t="s">
        <v>4972</v>
      </c>
      <c r="C45" s="245">
        <v>122935</v>
      </c>
      <c r="D45" s="279">
        <v>-16015455.677000001</v>
      </c>
      <c r="E45" s="279">
        <v>-8534931.6070000008</v>
      </c>
      <c r="F45" s="279">
        <v>-9447731.0309999995</v>
      </c>
      <c r="G45" s="279">
        <v>-12026145.003</v>
      </c>
      <c r="H45" s="279">
        <v>-1306441.395</v>
      </c>
    </row>
    <row r="46" spans="2:8" ht="11.25" customHeight="1" x14ac:dyDescent="0.35">
      <c r="B46" s="244" t="s">
        <v>4934</v>
      </c>
      <c r="C46" s="245">
        <v>122937</v>
      </c>
      <c r="D46" s="279">
        <v>28049198.917312</v>
      </c>
      <c r="E46" s="279">
        <v>14364501.2180901</v>
      </c>
      <c r="F46" s="279">
        <v>40260418.098499998</v>
      </c>
      <c r="G46" s="279">
        <v>42317304.8895</v>
      </c>
      <c r="H46" s="279">
        <v>37605615.140000001</v>
      </c>
    </row>
    <row r="47" spans="2:8" ht="11.25" customHeight="1" x14ac:dyDescent="0.35">
      <c r="B47" s="244" t="s">
        <v>4946</v>
      </c>
      <c r="C47" s="247"/>
      <c r="D47" s="279"/>
      <c r="E47" s="279"/>
      <c r="F47" s="279"/>
      <c r="G47" s="279"/>
      <c r="H47" s="279"/>
    </row>
    <row r="48" spans="2:8" ht="11.25" customHeight="1" x14ac:dyDescent="0.35">
      <c r="B48" s="244" t="s">
        <v>4973</v>
      </c>
      <c r="C48" s="245">
        <v>123445</v>
      </c>
      <c r="D48" s="279">
        <v>53084270.445312001</v>
      </c>
      <c r="E48" s="279">
        <v>28002719.295090102</v>
      </c>
      <c r="F48" s="279">
        <v>59568027.677500002</v>
      </c>
      <c r="G48" s="279">
        <v>62897845.907499999</v>
      </c>
      <c r="H48" s="279">
        <v>49012242.648000002</v>
      </c>
    </row>
    <row r="49" spans="2:9" ht="11.25" customHeight="1" x14ac:dyDescent="0.35">
      <c r="B49" s="244" t="s">
        <v>4946</v>
      </c>
      <c r="C49" s="247"/>
      <c r="D49" s="248"/>
      <c r="E49" s="248"/>
      <c r="F49" s="248"/>
      <c r="G49" s="248"/>
      <c r="H49" s="248"/>
    </row>
    <row r="50" spans="2:9" ht="11.25" customHeight="1" x14ac:dyDescent="0.35">
      <c r="B50" s="246" t="s">
        <v>4974</v>
      </c>
      <c r="C50" s="247"/>
      <c r="D50" s="248"/>
      <c r="E50" s="248"/>
      <c r="F50" s="248"/>
      <c r="G50" s="248"/>
      <c r="H50" s="248"/>
    </row>
    <row r="51" spans="2:9" ht="11.25" customHeight="1" x14ac:dyDescent="0.35">
      <c r="B51" s="244" t="s">
        <v>4908</v>
      </c>
      <c r="C51" s="245"/>
      <c r="D51" s="278">
        <f>IF(LEFT(D$7,4)&gt;"2018",D67,D70)</f>
        <v>17.8436369</v>
      </c>
      <c r="E51" s="278">
        <f>IF(LEFT(E$7,4)&gt;"2018",E67,E70)</f>
        <v>20.3162661</v>
      </c>
      <c r="F51" s="278">
        <f>IF(LEFT(F$7,4)&gt;"2018",F67,F70)</f>
        <v>20.865614999999998</v>
      </c>
      <c r="G51" s="278">
        <f>IF(LEFT(G$7,4)&gt;"2018",G67,G70)</f>
        <v>22.3899224</v>
      </c>
      <c r="H51" s="278">
        <f>IF(LEFT(H$7,4)&gt;"2018",H67,H70)</f>
        <v>20.686921600000002</v>
      </c>
    </row>
    <row r="52" spans="2:9" ht="11.25" customHeight="1" x14ac:dyDescent="0.35">
      <c r="B52" s="244" t="s">
        <v>4975</v>
      </c>
      <c r="C52" s="245"/>
      <c r="D52" s="278">
        <f>IF(LEFT(D$7,4)&gt;"2018",D68,D71)</f>
        <v>50.955587999999999</v>
      </c>
      <c r="E52" s="278">
        <f>IF(LEFT(E$7,4)&gt;"2018",E68,E71)</f>
        <v>54.093838699999999</v>
      </c>
      <c r="F52" s="278">
        <f>IF(LEFT(F$7,4)&gt;"2018",F68,F71)</f>
        <v>54.330464300000003</v>
      </c>
      <c r="G52" s="278">
        <f>IF(LEFT(G$7,4)&gt;"2018",G68,G71)</f>
        <v>49.671565200000003</v>
      </c>
      <c r="H52" s="278">
        <f>IF(LEFT(H$7,4)&gt;"2018",H68,H71)</f>
        <v>54.5091757</v>
      </c>
      <c r="I52" s="291"/>
    </row>
    <row r="53" spans="2:9" ht="11.25" customHeight="1" x14ac:dyDescent="0.35">
      <c r="B53" s="244" t="s">
        <v>4976</v>
      </c>
      <c r="C53" s="245"/>
      <c r="D53" s="278">
        <f>IF(LEFT(D$7,4)&gt;"2018",D63,D72)</f>
        <v>26.808485099999999</v>
      </c>
      <c r="E53" s="278">
        <f>IF(LEFT(E$7,4)&gt;"2018",E63,E72)</f>
        <v>24.9878848</v>
      </c>
      <c r="F53" s="278">
        <f>IF(LEFT(F$7,4)&gt;"2018",F63,F72)</f>
        <v>24.195375899999998</v>
      </c>
      <c r="G53" s="278">
        <f>IF(LEFT(G$7,4)&gt;"2018",G63,G72)</f>
        <v>27.247480599999999</v>
      </c>
      <c r="H53" s="278">
        <f>IF(LEFT(H$7,4)&gt;"2018",H63,H72)</f>
        <v>24.194672499999999</v>
      </c>
    </row>
    <row r="54" spans="2:9" ht="11.25" customHeight="1" x14ac:dyDescent="0.35">
      <c r="B54" s="292" t="s">
        <v>5385</v>
      </c>
      <c r="C54" s="245"/>
      <c r="D54" s="278">
        <f>IF(LEFT(D$7,4)&gt;"2018","NA",D73)</f>
        <v>0.27844089999999999</v>
      </c>
      <c r="E54" s="278">
        <f>IF(LEFT(E$7,4)&gt;"2018","NA",E73)</f>
        <v>0.2619475</v>
      </c>
      <c r="F54" s="278">
        <f>IF(LEFT(F$7,4)&gt;"2018","NA",F73)</f>
        <v>0.2488118</v>
      </c>
      <c r="G54" s="278">
        <f>IF(LEFT(G$7,4)&gt;"2018","NA",G73)</f>
        <v>0.2568976</v>
      </c>
      <c r="H54" s="278">
        <f>IF(LEFT(H$7,4)&gt;"2018","NA",H73)</f>
        <v>0.2145292</v>
      </c>
    </row>
    <row r="55" spans="2:9" ht="11.25" customHeight="1" x14ac:dyDescent="0.35">
      <c r="B55" s="244" t="s">
        <v>4977</v>
      </c>
      <c r="C55" s="245"/>
      <c r="D55" s="278">
        <f>IF(LEFT(D$7,4)&gt;"2018",IF(COUNT(D64:D66)=0,"NA",SUM(D64:D66)),D74)</f>
        <v>4.1140246999999999</v>
      </c>
      <c r="E55" s="278">
        <f>IF(LEFT(E$7,4)&gt;"2018",IF(COUNT(E64:E66)=0,"NA",SUM(E64:E66)),E74)</f>
        <v>0.34228419999999998</v>
      </c>
      <c r="F55" s="278">
        <f>IF(LEFT(F$7,4)&gt;"2018",IF(COUNT(F64:F66)=0,"NA",SUM(F64:F66)),F74)</f>
        <v>0.35920239999999998</v>
      </c>
      <c r="G55" s="278">
        <f>IF(LEFT(G$7,4)&gt;"2018",IF(COUNT(G64:G66)=0,"NA",SUM(G64:G66)),G74)</f>
        <v>0.41694809999999999</v>
      </c>
      <c r="H55" s="278">
        <f>IF(LEFT(H$7,4)&gt;"2018",IF(COUNT(H64:H66)=0,"NA",SUM(H64:H66)),H74)</f>
        <v>0.39470110000000003</v>
      </c>
    </row>
    <row r="56" spans="2:9" ht="11.25" customHeight="1" x14ac:dyDescent="0.35">
      <c r="B56" s="244"/>
      <c r="C56" s="245"/>
      <c r="D56" s="278"/>
      <c r="E56" s="278"/>
      <c r="F56" s="278"/>
      <c r="G56" s="278"/>
      <c r="H56" s="278"/>
    </row>
    <row r="57" spans="2:9" ht="11.25" customHeight="1" x14ac:dyDescent="0.35">
      <c r="B57" s="246" t="s">
        <v>5509</v>
      </c>
      <c r="C57" s="245"/>
      <c r="D57" s="278"/>
      <c r="E57" s="278"/>
      <c r="F57" s="278"/>
      <c r="G57" s="278"/>
      <c r="H57" s="278"/>
    </row>
    <row r="58" spans="2:9" ht="11.25" customHeight="1" x14ac:dyDescent="0.35">
      <c r="B58" s="292" t="s">
        <v>5365</v>
      </c>
      <c r="C58" s="245"/>
      <c r="D58" s="278" t="str">
        <f>IFERROR(100*SUM(D77,D90)/SUM(D$77,D$90),"NA")</f>
        <v>NA</v>
      </c>
      <c r="E58" s="278" t="str">
        <f>IFERROR(100*SUM(E77,E90)/SUM(E$77,E$90),"NA")</f>
        <v>NA</v>
      </c>
      <c r="F58" s="278" t="str">
        <f>IFERROR(100*SUM(F77,F90)/SUM(F$77,F$90),"NA")</f>
        <v>NA</v>
      </c>
      <c r="G58" s="278" t="str">
        <f>IFERROR(100*SUM(G77,G90)/SUM(G$77,G$90),"NA")</f>
        <v>NA</v>
      </c>
      <c r="H58" s="278" t="str">
        <f>IFERROR(100*SUM(H77,H90)/SUM(H$77,H$90),"NA")</f>
        <v>NA</v>
      </c>
    </row>
    <row r="59" spans="2:9" ht="11.25" customHeight="1" x14ac:dyDescent="0.35">
      <c r="B59" s="244" t="s">
        <v>5366</v>
      </c>
      <c r="C59" s="245"/>
      <c r="D59" s="278" t="str">
        <f>IFERROR(100*SUM(D78,D91)/SUM(D$77,D$90),"NA")</f>
        <v>NA</v>
      </c>
      <c r="E59" s="278" t="str">
        <f>IFERROR(100*SUM(E78,E91)/SUM(E$77,E$90),"NA")</f>
        <v>NA</v>
      </c>
      <c r="F59" s="278" t="str">
        <f>IFERROR(100*SUM(F78,F91)/SUM(F$77,F$90),"NA")</f>
        <v>NA</v>
      </c>
      <c r="G59" s="278" t="str">
        <f>IFERROR(100*SUM(G78,G91)/SUM(G$77,G$90),"NA")</f>
        <v>NA</v>
      </c>
      <c r="H59" s="278" t="str">
        <f>IFERROR(100*SUM(H78,H91)/SUM(H$77,H$90),"NA")</f>
        <v>NA</v>
      </c>
    </row>
    <row r="60" spans="2:9" ht="11.25" customHeight="1" x14ac:dyDescent="0.35">
      <c r="B60" s="244" t="s">
        <v>5122</v>
      </c>
      <c r="C60" s="245"/>
      <c r="D60" s="278" t="str">
        <f>IFERROR(100*SUM(D79,D92)/SUM(D$77,D$90),"NA")</f>
        <v>NA</v>
      </c>
      <c r="E60" s="278" t="str">
        <f>IFERROR(100*SUM(E79,E92)/SUM(E$77,E$90),"NA")</f>
        <v>NA</v>
      </c>
      <c r="F60" s="278" t="str">
        <f>IFERROR(100*SUM(F79,F92)/SUM(F$77,F$90),"NA")</f>
        <v>NA</v>
      </c>
      <c r="G60" s="278" t="str">
        <f>IFERROR(100*SUM(G79,G92)/SUM(G$77,G$90),"NA")</f>
        <v>NA</v>
      </c>
      <c r="H60" s="278" t="str">
        <f>IFERROR(100*SUM(H79,H92)/SUM(H$77,H$90),"NA")</f>
        <v>NA</v>
      </c>
    </row>
    <row r="61" spans="2:9" ht="11.25" customHeight="1" x14ac:dyDescent="0.35">
      <c r="B61" s="244" t="s">
        <v>5124</v>
      </c>
      <c r="C61" s="245"/>
      <c r="D61" s="278" t="str">
        <f>IFERROR(100*SUM(D80,D93)/SUM(D$77,D$90),"NA")</f>
        <v>NA</v>
      </c>
      <c r="E61" s="278" t="str">
        <f>IFERROR(100*SUM(E80,E93)/SUM(E$77,E$90),"NA")</f>
        <v>NA</v>
      </c>
      <c r="F61" s="278" t="str">
        <f>IFERROR(100*SUM(F80,F93)/SUM(F$77,F$90),"NA")</f>
        <v>NA</v>
      </c>
      <c r="G61" s="278" t="str">
        <f>IFERROR(100*SUM(G80,G93)/SUM(G$77,G$90),"NA")</f>
        <v>NA</v>
      </c>
      <c r="H61" s="278" t="str">
        <f>IFERROR(100*SUM(H80,H93)/SUM(H$77,H$90),"NA")</f>
        <v>NA</v>
      </c>
    </row>
    <row r="62" spans="2:9" ht="11.25" customHeight="1" x14ac:dyDescent="0.35">
      <c r="B62" s="244" t="s">
        <v>5121</v>
      </c>
      <c r="C62" s="245"/>
      <c r="D62" s="278" t="str">
        <f>IFERROR(100*SUM(D81,D94)/SUM(D$77,D$90),"NA")</f>
        <v>NA</v>
      </c>
      <c r="E62" s="278" t="str">
        <f>IFERROR(100*SUM(E81,E94)/SUM(E$77,E$90),"NA")</f>
        <v>NA</v>
      </c>
      <c r="F62" s="278" t="str">
        <f>IFERROR(100*SUM(F81,F94)/SUM(F$77,F$90),"NA")</f>
        <v>NA</v>
      </c>
      <c r="G62" s="278" t="str">
        <f>IFERROR(100*SUM(G81,G94)/SUM(G$77,G$90),"NA")</f>
        <v>NA</v>
      </c>
      <c r="H62" s="278" t="str">
        <f>IFERROR(100*SUM(H81,H94)/SUM(H$77,H$90),"NA")</f>
        <v>NA</v>
      </c>
    </row>
    <row r="63" spans="2:9" ht="11.25" customHeight="1" x14ac:dyDescent="0.35">
      <c r="B63" s="244" t="s">
        <v>5367</v>
      </c>
      <c r="C63" s="245"/>
      <c r="D63" s="278" t="str">
        <f>IFERROR(100*SUM(D82,D95)/SUM(D$77,D$90),"NA")</f>
        <v>NA</v>
      </c>
      <c r="E63" s="278" t="str">
        <f>IFERROR(100*SUM(E82,E95)/SUM(E$77,E$90),"NA")</f>
        <v>NA</v>
      </c>
      <c r="F63" s="278" t="str">
        <f>IFERROR(100*SUM(F82,F95)/SUM(F$77,F$90),"NA")</f>
        <v>NA</v>
      </c>
      <c r="G63" s="278" t="str">
        <f>IFERROR(100*SUM(G82,G95)/SUM(G$77,G$90),"NA")</f>
        <v>NA</v>
      </c>
      <c r="H63" s="278" t="str">
        <f>IFERROR(100*SUM(H82,H95)/SUM(H$77,H$90),"NA")</f>
        <v>NA</v>
      </c>
    </row>
    <row r="64" spans="2:9" ht="11.25" customHeight="1" x14ac:dyDescent="0.35">
      <c r="B64" s="244" t="s">
        <v>5368</v>
      </c>
      <c r="C64" s="245"/>
      <c r="D64" s="278" t="str">
        <f>IFERROR(100*SUM(D83,D96)/SUM(D$77,D$90),"NA")</f>
        <v>NA</v>
      </c>
      <c r="E64" s="278" t="str">
        <f>IFERROR(100*SUM(E83,E96)/SUM(E$77,E$90),"NA")</f>
        <v>NA</v>
      </c>
      <c r="F64" s="278" t="str">
        <f>IFERROR(100*SUM(F83,F96)/SUM(F$77,F$90),"NA")</f>
        <v>NA</v>
      </c>
      <c r="G64" s="278" t="str">
        <f>IFERROR(100*SUM(G83,G96)/SUM(G$77,G$90),"NA")</f>
        <v>NA</v>
      </c>
      <c r="H64" s="278" t="str">
        <f>IFERROR(100*SUM(H83,H96)/SUM(H$77,H$90),"NA")</f>
        <v>NA</v>
      </c>
    </row>
    <row r="65" spans="2:8" ht="11.25" customHeight="1" x14ac:dyDescent="0.35">
      <c r="B65" s="244" t="s">
        <v>5369</v>
      </c>
      <c r="C65" s="245"/>
      <c r="D65" s="278" t="str">
        <f>IFERROR(100*SUM(D84,D97)/SUM(D$77,D$90),"NA")</f>
        <v>NA</v>
      </c>
      <c r="E65" s="278" t="str">
        <f>IFERROR(100*SUM(E84,E97)/SUM(E$77,E$90),"NA")</f>
        <v>NA</v>
      </c>
      <c r="F65" s="278" t="str">
        <f>IFERROR(100*SUM(F84,F97)/SUM(F$77,F$90),"NA")</f>
        <v>NA</v>
      </c>
      <c r="G65" s="278" t="str">
        <f>IFERROR(100*SUM(G84,G97)/SUM(G$77,G$90),"NA")</f>
        <v>NA</v>
      </c>
      <c r="H65" s="278" t="str">
        <f>IFERROR(100*SUM(H84,H97)/SUM(H$77,H$90),"NA")</f>
        <v>NA</v>
      </c>
    </row>
    <row r="66" spans="2:8" ht="11.25" customHeight="1" x14ac:dyDescent="0.35">
      <c r="B66" s="244" t="s">
        <v>5370</v>
      </c>
      <c r="C66" s="245"/>
      <c r="D66" s="278" t="str">
        <f>IFERROR(100*SUM(D85,D98)/SUM(D$77,D$90),"NA")</f>
        <v>NA</v>
      </c>
      <c r="E66" s="278" t="str">
        <f>IFERROR(100*SUM(E85,E98)/SUM(E$77,E$90),"NA")</f>
        <v>NA</v>
      </c>
      <c r="F66" s="278" t="str">
        <f>IFERROR(100*SUM(F85,F98)/SUM(F$77,F$90),"NA")</f>
        <v>NA</v>
      </c>
      <c r="G66" s="278" t="str">
        <f>IFERROR(100*SUM(G85,G98)/SUM(G$77,G$90),"NA")</f>
        <v>NA</v>
      </c>
      <c r="H66" s="278" t="str">
        <f>IFERROR(100*SUM(H85,H98)/SUM(H$77,H$90),"NA")</f>
        <v>NA</v>
      </c>
    </row>
    <row r="67" spans="2:8" ht="11.25" customHeight="1" x14ac:dyDescent="0.35">
      <c r="B67" s="244" t="s">
        <v>5371</v>
      </c>
      <c r="C67" s="245"/>
      <c r="D67" s="278" t="str">
        <f>IFERROR(100*SUM(D86,D99)/SUM(D$77,D$90),"NA")</f>
        <v>NA</v>
      </c>
      <c r="E67" s="278" t="str">
        <f>IFERROR(100*SUM(E86,E99)/SUM(E$77,E$90),"NA")</f>
        <v>NA</v>
      </c>
      <c r="F67" s="278" t="str">
        <f>IFERROR(100*SUM(F86,F99)/SUM(F$77,F$90),"NA")</f>
        <v>NA</v>
      </c>
      <c r="G67" s="278" t="str">
        <f>IFERROR(100*SUM(G86,G99)/SUM(G$77,G$90),"NA")</f>
        <v>NA</v>
      </c>
      <c r="H67" s="278" t="str">
        <f>IFERROR(100*SUM(H86,H99)/SUM(H$77,H$90),"NA")</f>
        <v>NA</v>
      </c>
    </row>
    <row r="68" spans="2:8" ht="11.25" customHeight="1" x14ac:dyDescent="0.35">
      <c r="B68" s="244" t="s">
        <v>5372</v>
      </c>
      <c r="C68" s="245"/>
      <c r="D68" s="278" t="str">
        <f>IFERROR(100*SUM(D87,D100)/SUM(D$77,D$90),"NA")</f>
        <v>NA</v>
      </c>
      <c r="E68" s="278" t="str">
        <f>IFERROR(100*SUM(E87,E100)/SUM(E$77,E$90),"NA")</f>
        <v>NA</v>
      </c>
      <c r="F68" s="278" t="str">
        <f>IFERROR(100*SUM(F87,F100)/SUM(F$77,F$90),"NA")</f>
        <v>NA</v>
      </c>
      <c r="G68" s="278" t="str">
        <f>IFERROR(100*SUM(G87,G100)/SUM(G$77,G$90),"NA")</f>
        <v>NA</v>
      </c>
      <c r="H68" s="278" t="str">
        <f>IFERROR(100*SUM(H87,H100)/SUM(H$77,H$90),"NA")</f>
        <v>NA</v>
      </c>
    </row>
    <row r="69" spans="2:8" ht="11.25" customHeight="1" x14ac:dyDescent="0.35">
      <c r="B69" s="244"/>
      <c r="C69" s="245"/>
      <c r="D69" s="278"/>
      <c r="E69" s="278"/>
      <c r="F69" s="278"/>
      <c r="G69" s="278"/>
      <c r="H69" s="278"/>
    </row>
    <row r="70" spans="2:8" ht="11.25" hidden="1" customHeight="1" outlineLevel="1" x14ac:dyDescent="0.35">
      <c r="B70" s="244" t="s">
        <v>4908</v>
      </c>
      <c r="C70" s="245">
        <v>123446</v>
      </c>
      <c r="D70" s="278">
        <v>17.8436369</v>
      </c>
      <c r="E70" s="278">
        <v>20.3162661</v>
      </c>
      <c r="F70" s="278">
        <v>20.865614999999998</v>
      </c>
      <c r="G70" s="278">
        <v>22.3899224</v>
      </c>
      <c r="H70" s="278">
        <v>20.686921600000002</v>
      </c>
    </row>
    <row r="71" spans="2:8" ht="11.25" hidden="1" customHeight="1" outlineLevel="1" x14ac:dyDescent="0.35">
      <c r="B71" s="244" t="s">
        <v>4975</v>
      </c>
      <c r="C71" s="245">
        <v>123447</v>
      </c>
      <c r="D71" s="278">
        <v>50.955587999999999</v>
      </c>
      <c r="E71" s="278">
        <v>54.093838699999999</v>
      </c>
      <c r="F71" s="278">
        <v>54.330464300000003</v>
      </c>
      <c r="G71" s="278">
        <v>49.671565200000003</v>
      </c>
      <c r="H71" s="278">
        <v>54.5091757</v>
      </c>
    </row>
    <row r="72" spans="2:8" ht="11.25" hidden="1" customHeight="1" outlineLevel="1" x14ac:dyDescent="0.35">
      <c r="B72" s="244" t="s">
        <v>4976</v>
      </c>
      <c r="C72" s="245">
        <v>123448</v>
      </c>
      <c r="D72" s="278">
        <v>26.808485099999999</v>
      </c>
      <c r="E72" s="278">
        <v>24.9878848</v>
      </c>
      <c r="F72" s="278">
        <v>24.195375899999998</v>
      </c>
      <c r="G72" s="278">
        <v>27.247480599999999</v>
      </c>
      <c r="H72" s="278">
        <v>24.194672499999999</v>
      </c>
    </row>
    <row r="73" spans="2:8" ht="11.25" hidden="1" customHeight="1" outlineLevel="1" x14ac:dyDescent="0.35">
      <c r="B73" s="244" t="s">
        <v>5385</v>
      </c>
      <c r="C73" s="245">
        <v>123449</v>
      </c>
      <c r="D73" s="278">
        <v>0.27844089999999999</v>
      </c>
      <c r="E73" s="278">
        <v>0.2619475</v>
      </c>
      <c r="F73" s="278">
        <v>0.2488118</v>
      </c>
      <c r="G73" s="278">
        <v>0.2568976</v>
      </c>
      <c r="H73" s="278">
        <v>0.2145292</v>
      </c>
    </row>
    <row r="74" spans="2:8" ht="11.25" hidden="1" customHeight="1" outlineLevel="1" x14ac:dyDescent="0.35">
      <c r="B74" s="244" t="s">
        <v>4977</v>
      </c>
      <c r="C74" s="245">
        <v>123450</v>
      </c>
      <c r="D74" s="278">
        <v>4.1140246999999999</v>
      </c>
      <c r="E74" s="278">
        <v>0.34228419999999998</v>
      </c>
      <c r="F74" s="278">
        <v>0.35920239999999998</v>
      </c>
      <c r="G74" s="278">
        <v>0.41694809999999999</v>
      </c>
      <c r="H74" s="278">
        <v>0.39470110000000003</v>
      </c>
    </row>
    <row r="75" spans="2:8" ht="11.25" hidden="1" customHeight="1" outlineLevel="1" x14ac:dyDescent="0.35">
      <c r="B75" s="244"/>
      <c r="C75" s="245"/>
      <c r="D75" s="278"/>
      <c r="E75" s="278"/>
      <c r="F75" s="278"/>
      <c r="G75" s="278"/>
      <c r="H75" s="278"/>
    </row>
    <row r="76" spans="2:8" s="302" customFormat="1" ht="11.25" hidden="1" customHeight="1" outlineLevel="1" x14ac:dyDescent="0.35">
      <c r="B76" s="246" t="s">
        <v>5458</v>
      </c>
      <c r="C76" s="245"/>
      <c r="D76" s="334"/>
      <c r="E76" s="334"/>
      <c r="F76" s="334"/>
      <c r="G76" s="334"/>
      <c r="H76" s="334"/>
    </row>
    <row r="77" spans="2:8" s="302" customFormat="1" ht="11.25" hidden="1" customHeight="1" outlineLevel="1" x14ac:dyDescent="0.35">
      <c r="B77" s="244" t="s">
        <v>5365</v>
      </c>
      <c r="C77" s="245"/>
      <c r="D77" s="279" t="str">
        <f>IF(S208="","",S208)</f>
        <v>NA</v>
      </c>
      <c r="E77" s="279" t="str">
        <f>IF(S197="","",S197)</f>
        <v>NA</v>
      </c>
      <c r="F77" s="279" t="str">
        <f>IF(S186="","",S186)</f>
        <v>NA</v>
      </c>
      <c r="G77" s="279" t="str">
        <f>IF(S175="","",S175)</f>
        <v>NA</v>
      </c>
      <c r="H77" s="279" t="str">
        <f>IF(S164="","",S164)</f>
        <v>NA</v>
      </c>
    </row>
    <row r="78" spans="2:8" ht="11.25" hidden="1" customHeight="1" outlineLevel="1" x14ac:dyDescent="0.35">
      <c r="B78" s="244" t="s">
        <v>5366</v>
      </c>
      <c r="C78" s="245"/>
      <c r="D78" s="279" t="str">
        <f>IF(S209="","",S209)</f>
        <v>NA</v>
      </c>
      <c r="E78" s="279" t="str">
        <f>IF(S198="","",S198)</f>
        <v>NA</v>
      </c>
      <c r="F78" s="279" t="str">
        <f>IF(S187="","",S187)</f>
        <v>NA</v>
      </c>
      <c r="G78" s="279" t="str">
        <f>IF(S176="","",S176)</f>
        <v>NA</v>
      </c>
      <c r="H78" s="279" t="str">
        <f>IF(S165="","",S165)</f>
        <v>NA</v>
      </c>
    </row>
    <row r="79" spans="2:8" ht="11.25" hidden="1" customHeight="1" outlineLevel="1" x14ac:dyDescent="0.35">
      <c r="B79" s="244" t="s">
        <v>5122</v>
      </c>
      <c r="C79" s="245"/>
      <c r="D79" s="279" t="str">
        <f>IF(S210="","",S210)</f>
        <v>NA</v>
      </c>
      <c r="E79" s="279" t="str">
        <f>IF(S199="","",S199)</f>
        <v>NA</v>
      </c>
      <c r="F79" s="279" t="str">
        <f>IF(S188="","",S188)</f>
        <v>NA</v>
      </c>
      <c r="G79" s="279" t="str">
        <f>IF(S177="","",S177)</f>
        <v>NA</v>
      </c>
      <c r="H79" s="279" t="str">
        <f>IF(S166="","",S166)</f>
        <v>NA</v>
      </c>
    </row>
    <row r="80" spans="2:8" ht="11.25" hidden="1" customHeight="1" outlineLevel="1" x14ac:dyDescent="0.35">
      <c r="B80" s="244" t="s">
        <v>5124</v>
      </c>
      <c r="C80" s="245"/>
      <c r="D80" s="279" t="str">
        <f>IF(S211="","",S211)</f>
        <v>NA</v>
      </c>
      <c r="E80" s="279" t="str">
        <f>IF(S200="","",S200)</f>
        <v>NA</v>
      </c>
      <c r="F80" s="279" t="str">
        <f>IF(S189="","",S189)</f>
        <v>NA</v>
      </c>
      <c r="G80" s="279" t="str">
        <f>IF(S178="","",S178)</f>
        <v>NA</v>
      </c>
      <c r="H80" s="279" t="str">
        <f>IF(S167="","",S167)</f>
        <v>NA</v>
      </c>
    </row>
    <row r="81" spans="2:8" ht="11.25" hidden="1" customHeight="1" outlineLevel="1" x14ac:dyDescent="0.35">
      <c r="B81" s="244" t="s">
        <v>5121</v>
      </c>
      <c r="C81" s="245"/>
      <c r="D81" s="279" t="str">
        <f>IF(S212="","",S212)</f>
        <v>NA</v>
      </c>
      <c r="E81" s="279" t="str">
        <f>IF(S201="","",S201)</f>
        <v>NA</v>
      </c>
      <c r="F81" s="279" t="str">
        <f>IF(S190="","",S190)</f>
        <v>NA</v>
      </c>
      <c r="G81" s="279" t="str">
        <f>IF(S179="","",S179)</f>
        <v>NA</v>
      </c>
      <c r="H81" s="279" t="str">
        <f>IF(S168="","",S168)</f>
        <v>NA</v>
      </c>
    </row>
    <row r="82" spans="2:8" ht="11.25" hidden="1" customHeight="1" outlineLevel="1" x14ac:dyDescent="0.35">
      <c r="B82" s="244" t="s">
        <v>5367</v>
      </c>
      <c r="C82" s="245"/>
      <c r="D82" s="279" t="str">
        <f>IF(S213="","",S213)</f>
        <v>NA</v>
      </c>
      <c r="E82" s="279" t="str">
        <f>IF(S202="","",S202)</f>
        <v>NA</v>
      </c>
      <c r="F82" s="279" t="str">
        <f>IF(S191="","",S191)</f>
        <v>NA</v>
      </c>
      <c r="G82" s="279" t="str">
        <f>IF(S180="","",S180)</f>
        <v>NA</v>
      </c>
      <c r="H82" s="279" t="str">
        <f>IF(S169="","",S169)</f>
        <v>NA</v>
      </c>
    </row>
    <row r="83" spans="2:8" ht="11.25" hidden="1" customHeight="1" outlineLevel="1" x14ac:dyDescent="0.35">
      <c r="B83" s="244" t="s">
        <v>5368</v>
      </c>
      <c r="C83" s="245"/>
      <c r="D83" s="279" t="str">
        <f>IF(S214="","",S214)</f>
        <v>NA</v>
      </c>
      <c r="E83" s="279" t="str">
        <f>IF(S203="","",S203)</f>
        <v>NA</v>
      </c>
      <c r="F83" s="279" t="str">
        <f>IF(S192="","",S192)</f>
        <v>NA</v>
      </c>
      <c r="G83" s="279" t="str">
        <f>IF(S181="","",S181)</f>
        <v>NA</v>
      </c>
      <c r="H83" s="279" t="str">
        <f>IF(S170="","",S170)</f>
        <v>NA</v>
      </c>
    </row>
    <row r="84" spans="2:8" ht="11.25" hidden="1" customHeight="1" outlineLevel="1" x14ac:dyDescent="0.35">
      <c r="B84" s="244" t="s">
        <v>5369</v>
      </c>
      <c r="C84" s="245"/>
      <c r="D84" s="279" t="str">
        <f>IF(S215="","",S215)</f>
        <v>NA</v>
      </c>
      <c r="E84" s="279" t="str">
        <f>IF(S204="","",S204)</f>
        <v>NA</v>
      </c>
      <c r="F84" s="279" t="str">
        <f>IF(S193="","",S193)</f>
        <v>NA</v>
      </c>
      <c r="G84" s="279" t="str">
        <f>IF(S182="","",S182)</f>
        <v>NA</v>
      </c>
      <c r="H84" s="279" t="str">
        <f>IF(S171="","",S171)</f>
        <v>NA</v>
      </c>
    </row>
    <row r="85" spans="2:8" ht="11.25" hidden="1" customHeight="1" outlineLevel="1" x14ac:dyDescent="0.35">
      <c r="B85" s="244" t="s">
        <v>5370</v>
      </c>
      <c r="C85" s="245"/>
      <c r="D85" s="279" t="str">
        <f>IF(S216="","",S216)</f>
        <v>NA</v>
      </c>
      <c r="E85" s="279" t="str">
        <f>IF(S205="","",S205)</f>
        <v>NA</v>
      </c>
      <c r="F85" s="279" t="str">
        <f>IF(S194="","",S194)</f>
        <v>NA</v>
      </c>
      <c r="G85" s="279" t="str">
        <f>IF(S183="","",S183)</f>
        <v>NA</v>
      </c>
      <c r="H85" s="279" t="str">
        <f>IF(S172="","",S172)</f>
        <v>NA</v>
      </c>
    </row>
    <row r="86" spans="2:8" ht="11.25" hidden="1" customHeight="1" outlineLevel="1" x14ac:dyDescent="0.35">
      <c r="B86" s="244" t="s">
        <v>5371</v>
      </c>
      <c r="C86" s="245"/>
      <c r="D86" s="279" t="str">
        <f>IF(S217="","",S217)</f>
        <v>NA</v>
      </c>
      <c r="E86" s="279" t="str">
        <f>IF(S206="","",S206)</f>
        <v>NA</v>
      </c>
      <c r="F86" s="279" t="str">
        <f>IF(S195="","",S195)</f>
        <v>NA</v>
      </c>
      <c r="G86" s="279" t="str">
        <f>IF(S184="","",S184)</f>
        <v>NA</v>
      </c>
      <c r="H86" s="279" t="str">
        <f>IF(S173="","",S173)</f>
        <v>NA</v>
      </c>
    </row>
    <row r="87" spans="2:8" ht="11.25" hidden="1" customHeight="1" outlineLevel="1" x14ac:dyDescent="0.35">
      <c r="B87" s="244" t="s">
        <v>5372</v>
      </c>
      <c r="C87" s="245"/>
      <c r="D87" s="279" t="str">
        <f>IF(S218="","",S218)</f>
        <v>NA</v>
      </c>
      <c r="E87" s="279" t="str">
        <f>IF(S207="","",S207)</f>
        <v>NA</v>
      </c>
      <c r="F87" s="279" t="str">
        <f>IF(S196="","",S196)</f>
        <v>NA</v>
      </c>
      <c r="G87" s="279" t="str">
        <f>IF(S185="","",S185)</f>
        <v>NA</v>
      </c>
      <c r="H87" s="279" t="str">
        <f>IF(S174="","",S174)</f>
        <v>NA</v>
      </c>
    </row>
    <row r="88" spans="2:8" ht="11.25" hidden="1" customHeight="1" outlineLevel="1" x14ac:dyDescent="0.35">
      <c r="B88" s="244"/>
      <c r="C88" s="245"/>
      <c r="D88" s="279"/>
      <c r="E88" s="279"/>
      <c r="F88" s="279"/>
      <c r="G88" s="279"/>
      <c r="H88" s="279"/>
    </row>
    <row r="89" spans="2:8" ht="11.25" hidden="1" customHeight="1" outlineLevel="1" x14ac:dyDescent="0.35">
      <c r="B89" s="246" t="s">
        <v>5459</v>
      </c>
      <c r="C89" s="245"/>
      <c r="D89" s="279"/>
      <c r="E89" s="279"/>
      <c r="F89" s="279"/>
      <c r="G89" s="279"/>
      <c r="H89" s="279"/>
    </row>
    <row r="90" spans="2:8" ht="11.25" hidden="1" customHeight="1" outlineLevel="1" x14ac:dyDescent="0.35">
      <c r="B90" s="244" t="s">
        <v>5365</v>
      </c>
      <c r="C90" s="245"/>
      <c r="D90" s="279" t="str">
        <f>IF(S264="","",S264)</f>
        <v>NA</v>
      </c>
      <c r="E90" s="279" t="str">
        <f>IF(S253="","",S253)</f>
        <v>NA</v>
      </c>
      <c r="F90" s="279" t="str">
        <f>IF(S242="","",S242)</f>
        <v>NA</v>
      </c>
      <c r="G90" s="279" t="str">
        <f>IF(S231="","",S231)</f>
        <v>NA</v>
      </c>
      <c r="H90" s="279" t="str">
        <f>IF(S220="","",S220)</f>
        <v>NA</v>
      </c>
    </row>
    <row r="91" spans="2:8" ht="11.25" hidden="1" customHeight="1" outlineLevel="1" x14ac:dyDescent="0.35">
      <c r="B91" s="244" t="s">
        <v>5366</v>
      </c>
      <c r="C91" s="245"/>
      <c r="D91" s="279" t="str">
        <f>IF(S265="","",S265)</f>
        <v>NA</v>
      </c>
      <c r="E91" s="279" t="str">
        <f>IF(S254="","",S254)</f>
        <v>NA</v>
      </c>
      <c r="F91" s="279" t="str">
        <f>IF(S243="","",S243)</f>
        <v>NA</v>
      </c>
      <c r="G91" s="279" t="str">
        <f>IF(S232="","",S232)</f>
        <v>NA</v>
      </c>
      <c r="H91" s="279" t="str">
        <f>IF(S221="","",S221)</f>
        <v>NA</v>
      </c>
    </row>
    <row r="92" spans="2:8" ht="11.25" hidden="1" customHeight="1" outlineLevel="1" x14ac:dyDescent="0.35">
      <c r="B92" s="244" t="s">
        <v>5122</v>
      </c>
      <c r="C92" s="245"/>
      <c r="D92" s="279" t="str">
        <f>IF(S266="","",S266)</f>
        <v>NA</v>
      </c>
      <c r="E92" s="279" t="str">
        <f>IF(S255="","",S255)</f>
        <v>NA</v>
      </c>
      <c r="F92" s="279" t="str">
        <f>IF(S244="","",S244)</f>
        <v>NA</v>
      </c>
      <c r="G92" s="279" t="str">
        <f>IF(S233="","",S233)</f>
        <v>NA</v>
      </c>
      <c r="H92" s="279" t="str">
        <f>IF(S222="","",S222)</f>
        <v>NA</v>
      </c>
    </row>
    <row r="93" spans="2:8" ht="11.25" hidden="1" customHeight="1" outlineLevel="1" x14ac:dyDescent="0.35">
      <c r="B93" s="244" t="s">
        <v>5124</v>
      </c>
      <c r="C93" s="245"/>
      <c r="D93" s="279" t="str">
        <f>IF(S267="","",S267)</f>
        <v>NA</v>
      </c>
      <c r="E93" s="279" t="str">
        <f>IF(S256="","",S256)</f>
        <v>NA</v>
      </c>
      <c r="F93" s="279" t="str">
        <f>IF(S245="","",S245)</f>
        <v>NA</v>
      </c>
      <c r="G93" s="279" t="str">
        <f>IF(S234="","",S234)</f>
        <v>NA</v>
      </c>
      <c r="H93" s="279" t="str">
        <f>IF(S223="","",S223)</f>
        <v>NA</v>
      </c>
    </row>
    <row r="94" spans="2:8" ht="11.25" hidden="1" customHeight="1" outlineLevel="1" x14ac:dyDescent="0.35">
      <c r="B94" s="244" t="s">
        <v>5121</v>
      </c>
      <c r="C94" s="245"/>
      <c r="D94" s="279" t="str">
        <f>IF(S268="","",S268)</f>
        <v>NA</v>
      </c>
      <c r="E94" s="279" t="str">
        <f>IF(S257="","",S257)</f>
        <v>NA</v>
      </c>
      <c r="F94" s="279" t="str">
        <f>IF(S246="","",S246)</f>
        <v>NA</v>
      </c>
      <c r="G94" s="279" t="str">
        <f>IF(S235="","",S235)</f>
        <v>NA</v>
      </c>
      <c r="H94" s="279" t="str">
        <f>IF(S224="","",S224)</f>
        <v>NA</v>
      </c>
    </row>
    <row r="95" spans="2:8" ht="11.25" hidden="1" customHeight="1" outlineLevel="1" x14ac:dyDescent="0.35">
      <c r="B95" s="244" t="s">
        <v>5367</v>
      </c>
      <c r="C95" s="245"/>
      <c r="D95" s="279" t="str">
        <f>IF(S269="","",S269)</f>
        <v>NA</v>
      </c>
      <c r="E95" s="279" t="str">
        <f>IF(S258="","",S258)</f>
        <v>NA</v>
      </c>
      <c r="F95" s="279" t="str">
        <f>IF(S247="","",S247)</f>
        <v>NA</v>
      </c>
      <c r="G95" s="279" t="str">
        <f>IF(S236="","",S236)</f>
        <v>NA</v>
      </c>
      <c r="H95" s="279" t="str">
        <f>IF(S225="","",S225)</f>
        <v>NA</v>
      </c>
    </row>
    <row r="96" spans="2:8" ht="11.25" hidden="1" customHeight="1" outlineLevel="1" x14ac:dyDescent="0.35">
      <c r="B96" s="244" t="s">
        <v>5368</v>
      </c>
      <c r="C96" s="245"/>
      <c r="D96" s="279" t="str">
        <f>IF(S270="","",S270)</f>
        <v>NA</v>
      </c>
      <c r="E96" s="279" t="str">
        <f>IF(S259="","",S259)</f>
        <v>NA</v>
      </c>
      <c r="F96" s="279" t="str">
        <f>IF(S248="","",S248)</f>
        <v>NA</v>
      </c>
      <c r="G96" s="279" t="str">
        <f>IF(S237="","",S237)</f>
        <v>NA</v>
      </c>
      <c r="H96" s="279" t="str">
        <f>IF(S226="","",S226)</f>
        <v>NA</v>
      </c>
    </row>
    <row r="97" spans="2:8" ht="11.25" hidden="1" customHeight="1" outlineLevel="1" x14ac:dyDescent="0.35">
      <c r="B97" s="244" t="s">
        <v>5369</v>
      </c>
      <c r="C97" s="245"/>
      <c r="D97" s="279" t="str">
        <f>IF(S271="","",S271)</f>
        <v>NA</v>
      </c>
      <c r="E97" s="279" t="str">
        <f>IF(S260="","",S260)</f>
        <v>NA</v>
      </c>
      <c r="F97" s="279" t="str">
        <f>IF(S249="","",S249)</f>
        <v>NA</v>
      </c>
      <c r="G97" s="279" t="str">
        <f>IF(S238="","",S238)</f>
        <v>NA</v>
      </c>
      <c r="H97" s="279" t="str">
        <f>IF(S227="","",S227)</f>
        <v>NA</v>
      </c>
    </row>
    <row r="98" spans="2:8" ht="11.25" hidden="1" customHeight="1" outlineLevel="1" x14ac:dyDescent="0.35">
      <c r="B98" s="244" t="s">
        <v>5370</v>
      </c>
      <c r="C98" s="245"/>
      <c r="D98" s="279" t="str">
        <f>IF(S272="","",S272)</f>
        <v>NA</v>
      </c>
      <c r="E98" s="279" t="str">
        <f>IF(S261="","",S261)</f>
        <v>NA</v>
      </c>
      <c r="F98" s="279" t="str">
        <f>IF(S250="","",S250)</f>
        <v>NA</v>
      </c>
      <c r="G98" s="279" t="str">
        <f>IF(S239="","",S239)</f>
        <v>NA</v>
      </c>
      <c r="H98" s="279" t="str">
        <f>IF(S228="","",S228)</f>
        <v>NA</v>
      </c>
    </row>
    <row r="99" spans="2:8" ht="11.25" hidden="1" customHeight="1" outlineLevel="1" x14ac:dyDescent="0.35">
      <c r="B99" s="244" t="s">
        <v>5371</v>
      </c>
      <c r="C99" s="245"/>
      <c r="D99" s="279" t="str">
        <f>IF(S273="","",S273)</f>
        <v>NA</v>
      </c>
      <c r="E99" s="279" t="str">
        <f>IF(S262="","",S262)</f>
        <v>NA</v>
      </c>
      <c r="F99" s="279" t="str">
        <f>IF(S251="","",S251)</f>
        <v>NA</v>
      </c>
      <c r="G99" s="279" t="str">
        <f>IF(S240="","",S240)</f>
        <v>NA</v>
      </c>
      <c r="H99" s="279" t="str">
        <f>IF(S229="","",S229)</f>
        <v>NA</v>
      </c>
    </row>
    <row r="100" spans="2:8" ht="11.25" hidden="1" customHeight="1" outlineLevel="1" x14ac:dyDescent="0.35">
      <c r="B100" s="244" t="s">
        <v>5372</v>
      </c>
      <c r="C100" s="245"/>
      <c r="D100" s="279" t="str">
        <f>IF(S274="","",S274)</f>
        <v>NA</v>
      </c>
      <c r="E100" s="279" t="str">
        <f>IF(S263="","",S263)</f>
        <v>NA</v>
      </c>
      <c r="F100" s="279" t="str">
        <f>IF(S252="","",S252)</f>
        <v>NA</v>
      </c>
      <c r="G100" s="279" t="str">
        <f>IF(S241="","",S241)</f>
        <v>NA</v>
      </c>
      <c r="H100" s="279" t="str">
        <f>IF(S230="","",S230)</f>
        <v>NA</v>
      </c>
    </row>
    <row r="101" spans="2:8" ht="11.25" hidden="1" customHeight="1" outlineLevel="1" x14ac:dyDescent="0.35">
      <c r="B101" s="244"/>
      <c r="C101" s="245"/>
      <c r="D101" s="278"/>
      <c r="E101" s="278"/>
      <c r="F101" s="278"/>
      <c r="G101" s="278"/>
      <c r="H101" s="278"/>
    </row>
    <row r="102" spans="2:8" ht="11.25" customHeight="1" collapsed="1" x14ac:dyDescent="0.35">
      <c r="B102" s="246" t="s">
        <v>4978</v>
      </c>
      <c r="C102" s="247"/>
      <c r="D102" s="278"/>
      <c r="E102" s="278"/>
      <c r="F102" s="278"/>
      <c r="G102" s="278"/>
      <c r="H102" s="278"/>
    </row>
    <row r="103" spans="2:8" ht="11.25" customHeight="1" x14ac:dyDescent="0.35">
      <c r="B103" s="244" t="s">
        <v>4979</v>
      </c>
      <c r="C103" s="245">
        <v>123509</v>
      </c>
      <c r="D103" s="278">
        <v>0.78051400000000004</v>
      </c>
      <c r="E103" s="278">
        <v>7.1867438999999997</v>
      </c>
      <c r="F103" s="278">
        <v>4.2503292000000004</v>
      </c>
      <c r="G103" s="278">
        <v>-5.5802196000000004</v>
      </c>
      <c r="H103" s="278">
        <v>2.4205549999999998</v>
      </c>
    </row>
    <row r="104" spans="2:8" ht="11.25" customHeight="1" x14ac:dyDescent="0.35">
      <c r="B104" s="244" t="s">
        <v>4980</v>
      </c>
      <c r="C104" s="245">
        <v>123451</v>
      </c>
      <c r="D104" s="278">
        <v>13.9724676</v>
      </c>
      <c r="E104" s="278">
        <v>7.5802795999999999</v>
      </c>
      <c r="F104" s="278">
        <v>3.4991146</v>
      </c>
      <c r="G104" s="278">
        <v>-10.082288500000001</v>
      </c>
      <c r="H104" s="278">
        <v>15.0578197</v>
      </c>
    </row>
    <row r="105" spans="2:8" ht="11.25" customHeight="1" x14ac:dyDescent="0.35">
      <c r="B105" s="244" t="s">
        <v>4981</v>
      </c>
      <c r="C105" s="245">
        <v>123452</v>
      </c>
      <c r="D105" s="278">
        <v>-12.937036600000001</v>
      </c>
      <c r="E105" s="278">
        <v>-47.248555799999998</v>
      </c>
      <c r="F105" s="278">
        <v>112.7222969</v>
      </c>
      <c r="G105" s="278">
        <v>5.5899421</v>
      </c>
      <c r="H105" s="278">
        <v>-22.076436900000001</v>
      </c>
    </row>
    <row r="106" spans="2:8" ht="11.25" customHeight="1" x14ac:dyDescent="0.35">
      <c r="B106" s="244" t="s">
        <v>4982</v>
      </c>
      <c r="C106" s="245">
        <v>123453</v>
      </c>
      <c r="D106" s="278">
        <v>-0.44006299999999998</v>
      </c>
      <c r="E106" s="278">
        <v>7.9719280000000001</v>
      </c>
      <c r="F106" s="278">
        <v>-0.29934870000000002</v>
      </c>
      <c r="G106" s="278">
        <v>-5.9831564999999998</v>
      </c>
      <c r="H106" s="278">
        <v>12.179943400000001</v>
      </c>
    </row>
    <row r="107" spans="2:8" ht="11.25" customHeight="1" x14ac:dyDescent="0.35">
      <c r="B107" s="244" t="s">
        <v>4983</v>
      </c>
      <c r="C107" s="245">
        <v>123454</v>
      </c>
      <c r="D107" s="278">
        <v>41.1985636</v>
      </c>
      <c r="E107" s="278">
        <v>39.526636600000003</v>
      </c>
      <c r="F107" s="278">
        <v>38.641255399999999</v>
      </c>
      <c r="G107" s="278">
        <v>44.5517988</v>
      </c>
      <c r="H107" s="278">
        <v>38.894212099999997</v>
      </c>
    </row>
    <row r="108" spans="2:8" ht="11.25" customHeight="1" x14ac:dyDescent="0.35">
      <c r="B108" s="244" t="s">
        <v>4984</v>
      </c>
      <c r="C108" s="245">
        <v>123455</v>
      </c>
      <c r="D108" s="278">
        <v>8.6932843000000002</v>
      </c>
      <c r="E108" s="278">
        <v>8.4976407999999992</v>
      </c>
      <c r="F108" s="278">
        <v>8.4096297999999994</v>
      </c>
      <c r="G108" s="278">
        <v>9.4236679999999993</v>
      </c>
      <c r="H108" s="278">
        <v>8.0435057000000008</v>
      </c>
    </row>
    <row r="109" spans="2:8" ht="11.25" customHeight="1" x14ac:dyDescent="0.35">
      <c r="B109" s="244" t="s">
        <v>4985</v>
      </c>
      <c r="C109" s="245">
        <v>123456</v>
      </c>
      <c r="D109" s="278">
        <v>9.722505</v>
      </c>
      <c r="E109" s="278">
        <v>9.3311741000000001</v>
      </c>
      <c r="F109" s="278">
        <v>9.1435055999999992</v>
      </c>
      <c r="G109" s="278">
        <v>10.392281799999999</v>
      </c>
      <c r="H109" s="278">
        <v>9.1075099999999996</v>
      </c>
    </row>
    <row r="110" spans="2:8" ht="11.25" customHeight="1" x14ac:dyDescent="0.35">
      <c r="B110" s="244" t="s">
        <v>4986</v>
      </c>
      <c r="C110" s="245">
        <v>123457</v>
      </c>
      <c r="D110" s="278">
        <v>-0.129665</v>
      </c>
      <c r="E110" s="278">
        <v>0.76294629999999997</v>
      </c>
      <c r="F110" s="278">
        <v>0.74249849999999995</v>
      </c>
      <c r="G110" s="278">
        <v>2.9471213000000001</v>
      </c>
      <c r="H110" s="278">
        <v>4.9182246000000003</v>
      </c>
    </row>
    <row r="111" spans="2:8" ht="11.25" customHeight="1" x14ac:dyDescent="0.35">
      <c r="B111" s="244" t="s">
        <v>4987</v>
      </c>
      <c r="C111" s="245">
        <v>123458</v>
      </c>
      <c r="D111" s="278">
        <v>16.127761599999999</v>
      </c>
      <c r="E111" s="278">
        <v>16.673657299999999</v>
      </c>
      <c r="F111" s="278">
        <v>16.562061199999999</v>
      </c>
      <c r="G111" s="278">
        <v>13.599596699999999</v>
      </c>
      <c r="H111" s="278">
        <v>20.619453</v>
      </c>
    </row>
    <row r="112" spans="2:8" ht="11.25" customHeight="1" x14ac:dyDescent="0.35">
      <c r="B112" s="244" t="s">
        <v>4988</v>
      </c>
      <c r="C112" s="245">
        <v>122952</v>
      </c>
      <c r="D112" s="278">
        <v>5.2372886000000003</v>
      </c>
      <c r="E112" s="278">
        <v>5.1038268000000002</v>
      </c>
      <c r="F112" s="278">
        <v>4.9239259999999998</v>
      </c>
      <c r="G112" s="278">
        <v>4.8531652000000003</v>
      </c>
      <c r="H112" s="278">
        <v>4.8280934000000002</v>
      </c>
    </row>
    <row r="113" spans="2:8" ht="11.25" customHeight="1" x14ac:dyDescent="0.35">
      <c r="B113" s="244" t="s">
        <v>4989</v>
      </c>
      <c r="C113" s="245">
        <v>123459</v>
      </c>
      <c r="D113" s="278">
        <v>6.8644413999999996</v>
      </c>
      <c r="E113" s="278">
        <v>3.3537347</v>
      </c>
      <c r="F113" s="278">
        <v>7.1555615000000001</v>
      </c>
      <c r="G113" s="278">
        <v>8.0363825999999996</v>
      </c>
      <c r="H113" s="278">
        <v>5.5823131000000004</v>
      </c>
    </row>
    <row r="114" spans="2:8" ht="11.25" customHeight="1" x14ac:dyDescent="0.35">
      <c r="B114" s="244" t="s">
        <v>4990</v>
      </c>
      <c r="C114" s="245">
        <v>122954</v>
      </c>
      <c r="D114" s="278">
        <v>9.3948315999999998</v>
      </c>
      <c r="E114" s="278">
        <v>4.6577256</v>
      </c>
      <c r="F114" s="278">
        <v>12.640231399999999</v>
      </c>
      <c r="G114" s="278">
        <v>12.8501125</v>
      </c>
      <c r="H114" s="278">
        <v>10.964524900000001</v>
      </c>
    </row>
    <row r="115" spans="2:8" ht="11.25" customHeight="1" x14ac:dyDescent="0.35">
      <c r="B115" s="244" t="s">
        <v>4991</v>
      </c>
      <c r="C115" s="245">
        <v>123460</v>
      </c>
      <c r="D115" s="278">
        <v>17.780107900000001</v>
      </c>
      <c r="E115" s="278">
        <v>9.0799520999999999</v>
      </c>
      <c r="F115" s="278">
        <v>18.702082300000001</v>
      </c>
      <c r="G115" s="278">
        <v>19.099618899999999</v>
      </c>
      <c r="H115" s="278">
        <v>14.2903115</v>
      </c>
    </row>
    <row r="116" spans="2:8" ht="11.25" customHeight="1" x14ac:dyDescent="0.35">
      <c r="B116" s="244" t="s">
        <v>4992</v>
      </c>
      <c r="C116" s="245">
        <v>122956</v>
      </c>
      <c r="D116" s="278">
        <v>0.5581412</v>
      </c>
      <c r="E116" s="278">
        <v>0.2718834</v>
      </c>
      <c r="F116" s="278">
        <v>0.73128119999999996</v>
      </c>
      <c r="G116" s="278">
        <v>0.72674119999999998</v>
      </c>
      <c r="H116" s="278">
        <v>0.6132514</v>
      </c>
    </row>
    <row r="117" spans="2:8" ht="11.25" customHeight="1" x14ac:dyDescent="0.35">
      <c r="B117" s="244" t="s">
        <v>4946</v>
      </c>
      <c r="C117" s="247"/>
      <c r="D117" s="248"/>
      <c r="E117" s="248"/>
      <c r="F117" s="248"/>
      <c r="G117" s="248"/>
      <c r="H117" s="248"/>
    </row>
    <row r="118" spans="2:8" ht="11.25" customHeight="1" x14ac:dyDescent="0.35">
      <c r="B118" s="246" t="s">
        <v>4993</v>
      </c>
      <c r="C118" s="247"/>
      <c r="D118" s="248"/>
      <c r="E118" s="248"/>
      <c r="F118" s="248"/>
      <c r="G118" s="248"/>
      <c r="H118" s="248"/>
    </row>
    <row r="119" spans="2:8" ht="11.25" customHeight="1" x14ac:dyDescent="0.35">
      <c r="B119" s="244" t="s">
        <v>4994</v>
      </c>
      <c r="C119" s="245">
        <v>122957</v>
      </c>
      <c r="D119" s="279" t="s">
        <v>29</v>
      </c>
      <c r="E119" s="279" t="s">
        <v>29</v>
      </c>
      <c r="F119" s="279" t="s">
        <v>29</v>
      </c>
      <c r="G119" s="279" t="s">
        <v>29</v>
      </c>
      <c r="H119" s="279" t="s">
        <v>29</v>
      </c>
    </row>
    <row r="120" spans="2:8" ht="11.25" customHeight="1" x14ac:dyDescent="0.35">
      <c r="B120" s="244" t="s">
        <v>4995</v>
      </c>
      <c r="C120" s="245">
        <v>122958</v>
      </c>
      <c r="D120" s="279" t="s">
        <v>29</v>
      </c>
      <c r="E120" s="279" t="s">
        <v>29</v>
      </c>
      <c r="F120" s="279" t="s">
        <v>29</v>
      </c>
      <c r="G120" s="279" t="s">
        <v>29</v>
      </c>
      <c r="H120" s="279" t="s">
        <v>29</v>
      </c>
    </row>
    <row r="121" spans="2:8" ht="11.25" customHeight="1" x14ac:dyDescent="0.35">
      <c r="B121" s="244" t="s">
        <v>4996</v>
      </c>
      <c r="C121" s="245">
        <v>122959</v>
      </c>
      <c r="D121" s="278" t="s">
        <v>29</v>
      </c>
      <c r="E121" s="278" t="s">
        <v>29</v>
      </c>
      <c r="F121" s="278" t="s">
        <v>29</v>
      </c>
      <c r="G121" s="278" t="s">
        <v>29</v>
      </c>
      <c r="H121" s="278" t="s">
        <v>29</v>
      </c>
    </row>
    <row r="122" spans="2:8" ht="11.25" customHeight="1" x14ac:dyDescent="0.35">
      <c r="B122" s="244" t="s">
        <v>4997</v>
      </c>
      <c r="C122" s="245">
        <v>123461</v>
      </c>
      <c r="D122" s="278">
        <v>188.20274459999999</v>
      </c>
      <c r="E122" s="278">
        <v>196.00783609999999</v>
      </c>
      <c r="F122" s="278">
        <v>196.42802940000001</v>
      </c>
      <c r="G122" s="278">
        <v>170.82872159999999</v>
      </c>
      <c r="H122" s="278">
        <v>188.72317039999999</v>
      </c>
    </row>
    <row r="123" spans="2:8" ht="11.25" customHeight="1" x14ac:dyDescent="0.35">
      <c r="B123" s="244" t="s">
        <v>4998</v>
      </c>
      <c r="C123" s="245">
        <v>122960</v>
      </c>
      <c r="D123" s="278">
        <v>35.401589199999997</v>
      </c>
      <c r="E123" s="278">
        <v>38.031407299999998</v>
      </c>
      <c r="F123" s="278">
        <v>39.363753600000003</v>
      </c>
      <c r="G123" s="278">
        <v>43.480444499999997</v>
      </c>
      <c r="H123" s="278">
        <v>43.849951300000001</v>
      </c>
    </row>
    <row r="124" spans="2:8" ht="11.25" customHeight="1" x14ac:dyDescent="0.35">
      <c r="B124" s="244" t="s">
        <v>5460</v>
      </c>
      <c r="C124" s="245">
        <v>122964</v>
      </c>
      <c r="D124" s="279">
        <v>-21958174.743312001</v>
      </c>
      <c r="E124" s="279">
        <v>-22979050.2720901</v>
      </c>
      <c r="F124" s="279">
        <v>-18594997.875500001</v>
      </c>
      <c r="G124" s="279">
        <v>-23855884.013500001</v>
      </c>
      <c r="H124" s="279">
        <v>-27465336.322999999</v>
      </c>
    </row>
    <row r="125" spans="2:8" ht="11.25" customHeight="1" x14ac:dyDescent="0.35">
      <c r="B125" s="244" t="s">
        <v>4946</v>
      </c>
      <c r="C125" s="247"/>
      <c r="D125" s="248"/>
      <c r="E125" s="248"/>
      <c r="F125" s="248"/>
      <c r="G125" s="248"/>
      <c r="H125" s="248"/>
    </row>
    <row r="126" spans="2:8" ht="11.25" customHeight="1" x14ac:dyDescent="0.35">
      <c r="B126" s="246" t="s">
        <v>4999</v>
      </c>
      <c r="C126" s="247"/>
      <c r="D126" s="248"/>
      <c r="E126" s="248"/>
      <c r="F126" s="248"/>
      <c r="G126" s="248"/>
      <c r="H126" s="248"/>
    </row>
    <row r="127" spans="2:8" ht="11.25" customHeight="1" x14ac:dyDescent="0.35">
      <c r="B127" s="244" t="s">
        <v>5000</v>
      </c>
      <c r="C127" s="245">
        <v>123463</v>
      </c>
      <c r="D127" s="279">
        <v>4508355130.7960005</v>
      </c>
      <c r="E127" s="279">
        <v>4634592365.1339998</v>
      </c>
      <c r="F127" s="279">
        <v>4846128064.1339407</v>
      </c>
      <c r="G127" s="279">
        <v>5185723040.2077904</v>
      </c>
      <c r="H127" s="279">
        <v>5380100436.8330002</v>
      </c>
    </row>
    <row r="128" spans="2:8" ht="11.25" customHeight="1" x14ac:dyDescent="0.35">
      <c r="B128" s="244" t="s">
        <v>5001</v>
      </c>
      <c r="C128" s="245">
        <v>123462</v>
      </c>
      <c r="D128" s="278">
        <v>7.2166592999999999</v>
      </c>
      <c r="E128" s="278">
        <v>2.8000729999999998</v>
      </c>
      <c r="F128" s="278">
        <v>4.5642784000000001</v>
      </c>
      <c r="G128" s="278">
        <v>7.0075526999999997</v>
      </c>
      <c r="H128" s="278">
        <v>3.7483181000000001</v>
      </c>
    </row>
    <row r="129" spans="2:8" ht="11.25" customHeight="1" x14ac:dyDescent="0.35">
      <c r="B129" s="244" t="s">
        <v>4946</v>
      </c>
      <c r="C129" s="247"/>
      <c r="D129" s="248"/>
      <c r="E129" s="248"/>
      <c r="F129" s="248"/>
      <c r="G129" s="248"/>
      <c r="H129" s="248"/>
    </row>
    <row r="130" spans="2:8" ht="11.25" customHeight="1" x14ac:dyDescent="0.35">
      <c r="B130" s="246" t="s">
        <v>5002</v>
      </c>
      <c r="C130" s="247"/>
      <c r="D130" s="248"/>
      <c r="E130" s="248"/>
      <c r="F130" s="248"/>
      <c r="G130" s="248"/>
      <c r="H130" s="248"/>
    </row>
    <row r="131" spans="2:8" ht="11.25" customHeight="1" x14ac:dyDescent="0.35">
      <c r="B131" s="244" t="s">
        <v>5003</v>
      </c>
      <c r="C131" s="245">
        <v>122952</v>
      </c>
      <c r="D131" s="278">
        <v>5.2372886000000003</v>
      </c>
      <c r="E131" s="278">
        <v>5.1038268000000002</v>
      </c>
      <c r="F131" s="278">
        <v>4.9239259999999998</v>
      </c>
      <c r="G131" s="278">
        <v>4.8531652000000003</v>
      </c>
      <c r="H131" s="278">
        <v>4.8280934000000002</v>
      </c>
    </row>
    <row r="132" spans="2:8" ht="11.25" customHeight="1" x14ac:dyDescent="0.35">
      <c r="B132" s="244" t="s">
        <v>5004</v>
      </c>
      <c r="C132" s="245">
        <v>122971</v>
      </c>
      <c r="D132" s="278">
        <v>77.753604100000004</v>
      </c>
      <c r="E132" s="278">
        <v>77.395828199999997</v>
      </c>
      <c r="F132" s="278">
        <v>76.902858300000005</v>
      </c>
      <c r="G132" s="278">
        <v>76.874059900000006</v>
      </c>
      <c r="H132" s="278">
        <v>76.217066700000004</v>
      </c>
    </row>
    <row r="133" spans="2:8" ht="11.25" customHeight="1" x14ac:dyDescent="0.35">
      <c r="B133" s="244" t="s">
        <v>5005</v>
      </c>
      <c r="C133" s="245">
        <v>122972</v>
      </c>
      <c r="D133" s="278">
        <v>0.26212930000000001</v>
      </c>
      <c r="E133" s="278">
        <v>0.2174595</v>
      </c>
      <c r="F133" s="278">
        <v>0.2063141</v>
      </c>
      <c r="G133" s="278">
        <v>0.21776519999999999</v>
      </c>
      <c r="H133" s="278">
        <v>0.2461515</v>
      </c>
    </row>
    <row r="134" spans="2:8" ht="11.25" customHeight="1" x14ac:dyDescent="0.35">
      <c r="B134" s="244" t="s">
        <v>5006</v>
      </c>
      <c r="C134" s="245">
        <v>122973</v>
      </c>
      <c r="D134" s="278">
        <v>0.93982770000000004</v>
      </c>
      <c r="E134" s="278">
        <v>0.8816792</v>
      </c>
      <c r="F134" s="278">
        <v>0.85236970000000001</v>
      </c>
      <c r="G134" s="278">
        <v>0.94568070000000004</v>
      </c>
      <c r="H134" s="278">
        <v>0.99229429999999996</v>
      </c>
    </row>
    <row r="135" spans="2:8" ht="11.25" customHeight="1" x14ac:dyDescent="0.35">
      <c r="B135" s="244" t="s">
        <v>5007</v>
      </c>
      <c r="C135" s="245">
        <v>122974</v>
      </c>
      <c r="D135" s="278">
        <v>3.3892688</v>
      </c>
      <c r="E135" s="278">
        <v>3.5078263999999999</v>
      </c>
      <c r="F135" s="278">
        <v>3.7739696999999999</v>
      </c>
      <c r="G135" s="278">
        <v>4.1399562999999997</v>
      </c>
      <c r="H135" s="278">
        <v>4.2687448000000003</v>
      </c>
    </row>
    <row r="136" spans="2:8" ht="11.25" customHeight="1" x14ac:dyDescent="0.35">
      <c r="B136" s="244" t="s">
        <v>5008</v>
      </c>
      <c r="C136" s="245">
        <v>122975</v>
      </c>
      <c r="D136" s="278">
        <v>5.6374874000000004</v>
      </c>
      <c r="E136" s="278">
        <v>5.4114956000000003</v>
      </c>
      <c r="F136" s="278">
        <v>5.1967903</v>
      </c>
      <c r="G136" s="278">
        <v>5.0015185000000004</v>
      </c>
      <c r="H136" s="278">
        <v>4.8960768000000003</v>
      </c>
    </row>
    <row r="137" spans="2:8" ht="11.25" customHeight="1" x14ac:dyDescent="0.35">
      <c r="B137" s="244" t="s">
        <v>5516</v>
      </c>
      <c r="C137" s="245">
        <v>122976</v>
      </c>
      <c r="D137" s="278">
        <v>1.4532803000000001</v>
      </c>
      <c r="E137" s="278">
        <v>1.4530103000000001</v>
      </c>
      <c r="F137" s="278">
        <v>1.4673242</v>
      </c>
      <c r="G137" s="278">
        <v>1.4620473</v>
      </c>
      <c r="H137" s="278">
        <v>1.4533242</v>
      </c>
    </row>
    <row r="138" spans="2:8" ht="11.25" customHeight="1" x14ac:dyDescent="0.35">
      <c r="B138" s="244" t="s">
        <v>5009</v>
      </c>
      <c r="C138" s="245">
        <v>122977</v>
      </c>
      <c r="D138" s="278">
        <v>6.9497100999999999</v>
      </c>
      <c r="E138" s="278">
        <v>6.6181302000000004</v>
      </c>
      <c r="F138" s="278">
        <v>6.3088541999999999</v>
      </c>
      <c r="G138" s="278">
        <v>5.8495011999999997</v>
      </c>
      <c r="H138" s="278">
        <v>5.9195966000000002</v>
      </c>
    </row>
    <row r="139" spans="2:8" ht="11.25" customHeight="1" x14ac:dyDescent="0.35">
      <c r="B139" s="244" t="s">
        <v>5010</v>
      </c>
      <c r="C139" s="245">
        <v>122978</v>
      </c>
      <c r="D139" s="278">
        <v>9.6453547000000004</v>
      </c>
      <c r="E139" s="278">
        <v>9.1892329000000004</v>
      </c>
      <c r="F139" s="278">
        <v>10.390784</v>
      </c>
      <c r="G139" s="278">
        <v>8.5545629999999999</v>
      </c>
      <c r="H139" s="278">
        <v>8.8231529000000002</v>
      </c>
    </row>
    <row r="140" spans="2:8" ht="11.25" customHeight="1" x14ac:dyDescent="0.35">
      <c r="B140" s="244" t="s">
        <v>4946</v>
      </c>
      <c r="C140" s="247"/>
      <c r="D140" s="248"/>
      <c r="E140" s="248"/>
      <c r="F140" s="248"/>
      <c r="G140" s="248"/>
      <c r="H140" s="248"/>
    </row>
    <row r="141" spans="2:8" ht="11.25" customHeight="1" x14ac:dyDescent="0.35">
      <c r="B141" s="246" t="s">
        <v>5501</v>
      </c>
      <c r="C141" s="247"/>
      <c r="D141" s="248"/>
      <c r="E141" s="248"/>
      <c r="F141" s="248"/>
      <c r="G141" s="248"/>
      <c r="H141" s="248"/>
    </row>
    <row r="142" spans="2:8" ht="11.25" customHeight="1" x14ac:dyDescent="0.35">
      <c r="B142" s="246" t="s">
        <v>5011</v>
      </c>
      <c r="C142" s="247"/>
      <c r="D142" s="248"/>
      <c r="E142" s="248"/>
      <c r="F142" s="248"/>
      <c r="G142" s="248"/>
      <c r="H142" s="248"/>
    </row>
    <row r="143" spans="2:8" ht="11.25" customHeight="1" x14ac:dyDescent="0.35">
      <c r="B143" s="244" t="s">
        <v>5012</v>
      </c>
      <c r="C143" s="245">
        <v>123464</v>
      </c>
      <c r="D143" s="279">
        <v>96112965.185000002</v>
      </c>
      <c r="E143" s="279">
        <v>90493726.513999999</v>
      </c>
      <c r="F143" s="279">
        <v>85024112.718999997</v>
      </c>
      <c r="G143" s="279">
        <v>109033392.814</v>
      </c>
      <c r="H143" s="279">
        <v>78208757.908999994</v>
      </c>
    </row>
    <row r="144" spans="2:8" ht="11.25" customHeight="1" x14ac:dyDescent="0.35">
      <c r="B144" s="244" t="s">
        <v>5013</v>
      </c>
      <c r="C144" s="245">
        <v>123465</v>
      </c>
      <c r="D144" s="279">
        <v>19463998.933000002</v>
      </c>
      <c r="E144" s="279">
        <v>20981476.225000001</v>
      </c>
      <c r="F144" s="279">
        <v>38663716.758000001</v>
      </c>
      <c r="G144" s="279">
        <v>48245166.318000004</v>
      </c>
      <c r="H144" s="279">
        <v>-17193674.155999999</v>
      </c>
    </row>
    <row r="145" spans="2:8" ht="11.25" customHeight="1" x14ac:dyDescent="0.35">
      <c r="B145" s="244" t="s">
        <v>5014</v>
      </c>
      <c r="C145" s="245">
        <v>123466</v>
      </c>
      <c r="D145" s="279">
        <v>24938932.851</v>
      </c>
      <c r="E145" s="279">
        <v>25384918.923999999</v>
      </c>
      <c r="F145" s="279">
        <v>29019024.826000001</v>
      </c>
      <c r="G145" s="279">
        <v>30516070.047000002</v>
      </c>
      <c r="H145" s="279">
        <v>36756305.923</v>
      </c>
    </row>
    <row r="146" spans="2:8" ht="11.25" customHeight="1" x14ac:dyDescent="0.35">
      <c r="B146" s="246" t="s">
        <v>5015</v>
      </c>
      <c r="C146" s="247"/>
      <c r="D146" s="279"/>
      <c r="E146" s="279"/>
      <c r="F146" s="279"/>
      <c r="G146" s="279"/>
      <c r="H146" s="279"/>
    </row>
    <row r="147" spans="2:8" ht="11.25" customHeight="1" x14ac:dyDescent="0.35">
      <c r="B147" s="244" t="s">
        <v>5016</v>
      </c>
      <c r="C147" s="245">
        <v>123467</v>
      </c>
      <c r="D147" s="279">
        <v>398540453.34799999</v>
      </c>
      <c r="E147" s="279">
        <v>444230967.23900002</v>
      </c>
      <c r="F147" s="279">
        <v>487981433.45899999</v>
      </c>
      <c r="G147" s="279">
        <v>531215870.75800002</v>
      </c>
      <c r="H147" s="279">
        <v>547829714.67200005</v>
      </c>
    </row>
    <row r="148" spans="2:8" ht="11.25" customHeight="1" x14ac:dyDescent="0.35">
      <c r="B148" s="244" t="s">
        <v>5017</v>
      </c>
      <c r="C148" s="245">
        <v>123468</v>
      </c>
      <c r="D148" s="279">
        <v>7026297.2590000005</v>
      </c>
      <c r="E148" s="279">
        <v>6566707.1220000004</v>
      </c>
      <c r="F148" s="279">
        <v>3025276.4</v>
      </c>
      <c r="G148" s="279">
        <v>2773739.19</v>
      </c>
      <c r="H148" s="279">
        <v>278132.52600000001</v>
      </c>
    </row>
    <row r="149" spans="2:8" ht="11.25" customHeight="1" x14ac:dyDescent="0.35">
      <c r="B149" s="244" t="s">
        <v>5018</v>
      </c>
      <c r="C149" s="245">
        <v>123470</v>
      </c>
      <c r="D149" s="279">
        <v>66598319.833000004</v>
      </c>
      <c r="E149" s="279">
        <v>69875251.214000002</v>
      </c>
      <c r="F149" s="279">
        <v>74702641.684</v>
      </c>
      <c r="G149" s="279">
        <v>81097197.278999999</v>
      </c>
      <c r="H149" s="279">
        <v>88348805.401999995</v>
      </c>
    </row>
    <row r="150" spans="2:8" ht="11.25" customHeight="1" x14ac:dyDescent="0.35">
      <c r="B150" s="246" t="s">
        <v>5019</v>
      </c>
      <c r="C150" s="247"/>
      <c r="D150" s="279"/>
      <c r="E150" s="279"/>
      <c r="F150" s="279"/>
      <c r="G150" s="279"/>
      <c r="H150" s="279"/>
    </row>
    <row r="151" spans="2:8" ht="11.25" customHeight="1" x14ac:dyDescent="0.35">
      <c r="B151" s="244" t="s">
        <v>5016</v>
      </c>
      <c r="C151" s="245">
        <v>123471</v>
      </c>
      <c r="D151" s="279">
        <v>10240296.309</v>
      </c>
      <c r="E151" s="279">
        <v>9987917.2379999999</v>
      </c>
      <c r="F151" s="279">
        <v>12638163.668</v>
      </c>
      <c r="G151" s="279">
        <v>12577962.308</v>
      </c>
      <c r="H151" s="279">
        <v>13034464.189999999</v>
      </c>
    </row>
    <row r="152" spans="2:8" ht="11.25" customHeight="1" x14ac:dyDescent="0.35">
      <c r="B152" s="244" t="s">
        <v>5017</v>
      </c>
      <c r="C152" s="245">
        <v>123472</v>
      </c>
      <c r="D152" s="279">
        <v>240338.356</v>
      </c>
      <c r="E152" s="279">
        <v>238608.05900000001</v>
      </c>
      <c r="F152" s="279">
        <v>114253.77900000001</v>
      </c>
      <c r="G152" s="279">
        <v>19885.024000000001</v>
      </c>
      <c r="H152" s="279">
        <v>274.29599999999999</v>
      </c>
    </row>
    <row r="153" spans="2:8" ht="11.25" customHeight="1" thickBot="1" x14ac:dyDescent="0.4">
      <c r="B153" s="249" t="s">
        <v>5014</v>
      </c>
      <c r="C153" s="250">
        <v>123473</v>
      </c>
      <c r="D153" s="280">
        <v>212375.13800000001</v>
      </c>
      <c r="E153" s="280">
        <v>158212.125</v>
      </c>
      <c r="F153" s="280">
        <v>130344.512</v>
      </c>
      <c r="G153" s="280">
        <v>125468.63100000001</v>
      </c>
      <c r="H153" s="280">
        <v>117297.10100000001</v>
      </c>
    </row>
    <row r="154" spans="2:8" ht="11.25" customHeight="1" x14ac:dyDescent="0.35">
      <c r="B154" s="237"/>
    </row>
    <row r="162" spans="14:19" ht="11.25" customHeight="1" x14ac:dyDescent="0.35">
      <c r="N162" s="381" t="str">
        <f ca="1">[1]!snltable(287,S162,O164:O274,P164:P274,,"Options:Curr=USD, Mag=Thousands, ConvMethod=SNLrecommended")</f>
        <v>SNLTable</v>
      </c>
      <c r="O162" s="382"/>
      <c r="P162" s="382"/>
      <c r="Q162" s="382"/>
      <c r="R162" s="383"/>
      <c r="S162" s="376" t="str">
        <f ca="1">Entity_Code</f>
        <v>I36</v>
      </c>
    </row>
    <row r="163" spans="14:19" ht="11.25" customHeight="1" x14ac:dyDescent="0.35">
      <c r="N163" s="372"/>
      <c r="O163" s="373"/>
      <c r="P163" s="373"/>
      <c r="Q163" s="373"/>
      <c r="R163" s="373"/>
      <c r="S163" s="374"/>
    </row>
    <row r="164" spans="14:19" ht="11.25" customHeight="1" x14ac:dyDescent="0.35">
      <c r="N164" s="384" t="s">
        <v>5458</v>
      </c>
      <c r="O164" s="385">
        <v>324661</v>
      </c>
      <c r="P164" s="385" t="str">
        <f t="shared" ref="P164:P174" si="2">Period</f>
        <v>2014Y</v>
      </c>
      <c r="Q164" s="386" t="str">
        <f>[1]!SNLLabel(287,324661,,"&lt;&gt;360","Options:Curr=Reported currency,Mag=MIstandard,ConvMethod=MIrecommended")</f>
        <v>AR: Analysis of Operations All Lines</v>
      </c>
      <c r="R164" s="365"/>
      <c r="S164" s="387" t="s">
        <v>29</v>
      </c>
    </row>
    <row r="165" spans="14:19" ht="11.25" customHeight="1" x14ac:dyDescent="0.35">
      <c r="N165" s="388" t="s">
        <v>5458</v>
      </c>
      <c r="O165" s="389">
        <v>324661</v>
      </c>
      <c r="P165" s="389" t="str">
        <f t="shared" si="2"/>
        <v>2014Y</v>
      </c>
      <c r="Q165" s="390" t="str">
        <f>[1]!SNLLabel(287,324661,,"&lt;&gt;361","Options:Curr=Reported currency,Mag=MIstandard,ConvMethod=MIrecommended")</f>
        <v>AR: Individual Life</v>
      </c>
      <c r="R165" s="366"/>
      <c r="S165" s="391" t="s">
        <v>29</v>
      </c>
    </row>
    <row r="166" spans="14:19" ht="11.25" customHeight="1" x14ac:dyDescent="0.35">
      <c r="N166" s="388" t="s">
        <v>5458</v>
      </c>
      <c r="O166" s="389">
        <v>324661</v>
      </c>
      <c r="P166" s="389" t="str">
        <f t="shared" si="2"/>
        <v>2014Y</v>
      </c>
      <c r="Q166" s="390" t="str">
        <f>[1]!SNLLabel(287,324661,,"&lt;&gt;362","Options:Curr=Reported currency,Mag=MIstandard,ConvMethod=MIrecommended")</f>
        <v>AR: Group Life</v>
      </c>
      <c r="R166" s="366"/>
      <c r="S166" s="391" t="s">
        <v>29</v>
      </c>
    </row>
    <row r="167" spans="14:19" ht="11.25" customHeight="1" x14ac:dyDescent="0.35">
      <c r="N167" s="388" t="s">
        <v>5458</v>
      </c>
      <c r="O167" s="389">
        <v>324661</v>
      </c>
      <c r="P167" s="389" t="str">
        <f t="shared" si="2"/>
        <v>2014Y</v>
      </c>
      <c r="Q167" s="390" t="str">
        <f>[1]!SNLLabel(287,324661,,"&lt;&gt;363","Options:Curr=Reported currency,Mag=MIstandard,ConvMethod=MIrecommended")</f>
        <v>AR: Individual Annuities</v>
      </c>
      <c r="R167" s="366"/>
      <c r="S167" s="391" t="s">
        <v>29</v>
      </c>
    </row>
    <row r="168" spans="14:19" ht="11.25" customHeight="1" x14ac:dyDescent="0.35">
      <c r="N168" s="388" t="s">
        <v>5458</v>
      </c>
      <c r="O168" s="389">
        <v>324661</v>
      </c>
      <c r="P168" s="389" t="str">
        <f t="shared" si="2"/>
        <v>2014Y</v>
      </c>
      <c r="Q168" s="390" t="str">
        <f>[1]!SNLLabel(287,324661,,"&lt;&gt;364","Options:Curr=Reported currency,Mag=MIstandard,ConvMethod=MIrecommended")</f>
        <v>AR: Group Annuities</v>
      </c>
      <c r="R168" s="366"/>
      <c r="S168" s="391" t="s">
        <v>29</v>
      </c>
    </row>
    <row r="169" spans="14:19" ht="11.25" customHeight="1" x14ac:dyDescent="0.35">
      <c r="N169" s="388" t="s">
        <v>5458</v>
      </c>
      <c r="O169" s="389">
        <v>324661</v>
      </c>
      <c r="P169" s="389" t="str">
        <f t="shared" si="2"/>
        <v>2014Y</v>
      </c>
      <c r="Q169" s="390" t="str">
        <f>[1]!SNLLabel(287,324661,,"&lt;&gt;365","Options:Curr=Reported currency,Mag=MIstandard,ConvMethod=MIrecommended")</f>
        <v>AR: Accident and Health</v>
      </c>
      <c r="R169" s="366"/>
      <c r="S169" s="391" t="s">
        <v>29</v>
      </c>
    </row>
    <row r="170" spans="14:19" ht="11.25" customHeight="1" x14ac:dyDescent="0.35">
      <c r="N170" s="388" t="s">
        <v>5458</v>
      </c>
      <c r="O170" s="389">
        <v>324661</v>
      </c>
      <c r="P170" s="389" t="str">
        <f t="shared" si="2"/>
        <v>2014Y</v>
      </c>
      <c r="Q170" s="390" t="str">
        <f>[1]!SNLLabel(287,324661,,"&lt;&gt;366","Options:Curr=Reported currency,Mag=MIstandard,ConvMethod=MIrecommended")</f>
        <v>AR: Fraternal</v>
      </c>
      <c r="R170" s="366"/>
      <c r="S170" s="391" t="s">
        <v>29</v>
      </c>
    </row>
    <row r="171" spans="14:19" ht="11.25" customHeight="1" x14ac:dyDescent="0.35">
      <c r="N171" s="388" t="s">
        <v>5458</v>
      </c>
      <c r="O171" s="389">
        <v>324661</v>
      </c>
      <c r="P171" s="389" t="str">
        <f t="shared" si="2"/>
        <v>2014Y</v>
      </c>
      <c r="Q171" s="390" t="str">
        <f>[1]!SNLLabel(287,324661,,"&lt;&gt;367","Options:Curr=Reported currency,Mag=MIstandard,ConvMethod=MIrecommended")</f>
        <v>AR: Other Lines of Business</v>
      </c>
      <c r="R171" s="366"/>
      <c r="S171" s="391" t="s">
        <v>29</v>
      </c>
    </row>
    <row r="172" spans="14:19" ht="11.25" customHeight="1" x14ac:dyDescent="0.35">
      <c r="N172" s="388" t="s">
        <v>5458</v>
      </c>
      <c r="O172" s="389">
        <v>324661</v>
      </c>
      <c r="P172" s="389" t="str">
        <f t="shared" si="2"/>
        <v>2014Y</v>
      </c>
      <c r="Q172" s="390" t="str">
        <f>[1]!SNLLabel(287,324661,,"&lt;&gt;368","Options:Curr=Reported currency,Mag=MIstandard,ConvMethod=MIrecommended")</f>
        <v>AR: YRT Mortality Risk Only</v>
      </c>
      <c r="R172" s="366"/>
      <c r="S172" s="391" t="s">
        <v>29</v>
      </c>
    </row>
    <row r="173" spans="14:19" ht="11.25" customHeight="1" x14ac:dyDescent="0.35">
      <c r="N173" s="388" t="s">
        <v>5458</v>
      </c>
      <c r="O173" s="389">
        <v>324661</v>
      </c>
      <c r="P173" s="389" t="str">
        <f t="shared" si="2"/>
        <v>2014Y</v>
      </c>
      <c r="Q173" s="390" t="str">
        <f>[1]!SNLLabel(287,324661,,"&lt;&gt;369","Options:Curr=Reported currency,Mag=MIstandard,ConvMethod=MIrecommended")</f>
        <v>AR: Individual and Group Life</v>
      </c>
      <c r="R173" s="366"/>
      <c r="S173" s="391" t="s">
        <v>29</v>
      </c>
    </row>
    <row r="174" spans="14:19" ht="11.25" customHeight="1" x14ac:dyDescent="0.35">
      <c r="N174" s="367" t="s">
        <v>5458</v>
      </c>
      <c r="O174" s="368">
        <v>324661</v>
      </c>
      <c r="P174" s="368" t="str">
        <f t="shared" si="2"/>
        <v>2014Y</v>
      </c>
      <c r="Q174" s="369" t="str">
        <f>[1]!SNLLabel(287,324661,,"&lt;&gt;370","Options:Curr=Reported currency,Mag=MIstandard,ConvMethod=MIrecommended")</f>
        <v>AR: Individual and Group Annuities</v>
      </c>
      <c r="R174" s="370"/>
      <c r="S174" s="371" t="s">
        <v>29</v>
      </c>
    </row>
    <row r="175" spans="14:19" ht="11.25" customHeight="1" x14ac:dyDescent="0.35">
      <c r="N175" s="384" t="s">
        <v>5458</v>
      </c>
      <c r="O175" s="385">
        <v>324661</v>
      </c>
      <c r="P175" s="385" t="str">
        <f t="shared" ref="P175:P185" si="3">LEFT(Period,4)-1&amp;"Y"</f>
        <v>2013Y</v>
      </c>
      <c r="Q175" s="386" t="str">
        <f>[1]!SNLLabel(287,324661,,"&lt;&gt;360","Options:Curr=Reported currency,Mag=MIstandard,ConvMethod=MIrecommended")</f>
        <v>AR: Analysis of Operations All Lines</v>
      </c>
      <c r="R175" s="365"/>
      <c r="S175" s="387" t="s">
        <v>29</v>
      </c>
    </row>
    <row r="176" spans="14:19" ht="11.25" customHeight="1" x14ac:dyDescent="0.35">
      <c r="N176" s="388" t="s">
        <v>5458</v>
      </c>
      <c r="O176" s="389">
        <v>324661</v>
      </c>
      <c r="P176" s="389" t="str">
        <f t="shared" si="3"/>
        <v>2013Y</v>
      </c>
      <c r="Q176" s="390" t="str">
        <f>[1]!SNLLabel(287,324661,,"&lt;&gt;361","Options:Curr=Reported currency,Mag=MIstandard,ConvMethod=MIrecommended")</f>
        <v>AR: Individual Life</v>
      </c>
      <c r="R176" s="366"/>
      <c r="S176" s="391" t="s">
        <v>29</v>
      </c>
    </row>
    <row r="177" spans="14:19" ht="11.25" customHeight="1" x14ac:dyDescent="0.35">
      <c r="N177" s="388" t="s">
        <v>5458</v>
      </c>
      <c r="O177" s="389">
        <v>324661</v>
      </c>
      <c r="P177" s="389" t="str">
        <f t="shared" si="3"/>
        <v>2013Y</v>
      </c>
      <c r="Q177" s="390" t="str">
        <f>[1]!SNLLabel(287,324661,,"&lt;&gt;362","Options:Curr=Reported currency,Mag=MIstandard,ConvMethod=MIrecommended")</f>
        <v>AR: Group Life</v>
      </c>
      <c r="R177" s="366"/>
      <c r="S177" s="391" t="s">
        <v>29</v>
      </c>
    </row>
    <row r="178" spans="14:19" ht="11.25" customHeight="1" x14ac:dyDescent="0.35">
      <c r="N178" s="388" t="s">
        <v>5458</v>
      </c>
      <c r="O178" s="389">
        <v>324661</v>
      </c>
      <c r="P178" s="389" t="str">
        <f t="shared" si="3"/>
        <v>2013Y</v>
      </c>
      <c r="Q178" s="390" t="str">
        <f>[1]!SNLLabel(287,324661,,"&lt;&gt;363","Options:Curr=Reported currency,Mag=MIstandard,ConvMethod=MIrecommended")</f>
        <v>AR: Individual Annuities</v>
      </c>
      <c r="R178" s="366"/>
      <c r="S178" s="391" t="s">
        <v>29</v>
      </c>
    </row>
    <row r="179" spans="14:19" ht="11.25" customHeight="1" x14ac:dyDescent="0.35">
      <c r="N179" s="388" t="s">
        <v>5458</v>
      </c>
      <c r="O179" s="389">
        <v>324661</v>
      </c>
      <c r="P179" s="389" t="str">
        <f t="shared" si="3"/>
        <v>2013Y</v>
      </c>
      <c r="Q179" s="390" t="str">
        <f>[1]!SNLLabel(287,324661,,"&lt;&gt;364","Options:Curr=Reported currency,Mag=MIstandard,ConvMethod=MIrecommended")</f>
        <v>AR: Group Annuities</v>
      </c>
      <c r="R179" s="366"/>
      <c r="S179" s="391" t="s">
        <v>29</v>
      </c>
    </row>
    <row r="180" spans="14:19" ht="11.25" customHeight="1" x14ac:dyDescent="0.35">
      <c r="N180" s="388" t="s">
        <v>5458</v>
      </c>
      <c r="O180" s="389">
        <v>324661</v>
      </c>
      <c r="P180" s="389" t="str">
        <f t="shared" si="3"/>
        <v>2013Y</v>
      </c>
      <c r="Q180" s="390" t="str">
        <f>[1]!SNLLabel(287,324661,,"&lt;&gt;365","Options:Curr=Reported currency,Mag=MIstandard,ConvMethod=MIrecommended")</f>
        <v>AR: Accident and Health</v>
      </c>
      <c r="R180" s="366"/>
      <c r="S180" s="391" t="s">
        <v>29</v>
      </c>
    </row>
    <row r="181" spans="14:19" ht="11.25" customHeight="1" x14ac:dyDescent="0.35">
      <c r="N181" s="388" t="s">
        <v>5458</v>
      </c>
      <c r="O181" s="389">
        <v>324661</v>
      </c>
      <c r="P181" s="389" t="str">
        <f t="shared" si="3"/>
        <v>2013Y</v>
      </c>
      <c r="Q181" s="390" t="str">
        <f>[1]!SNLLabel(287,324661,,"&lt;&gt;366","Options:Curr=Reported currency,Mag=MIstandard,ConvMethod=MIrecommended")</f>
        <v>AR: Fraternal</v>
      </c>
      <c r="R181" s="366"/>
      <c r="S181" s="391" t="s">
        <v>29</v>
      </c>
    </row>
    <row r="182" spans="14:19" ht="11.25" customHeight="1" x14ac:dyDescent="0.35">
      <c r="N182" s="388" t="s">
        <v>5458</v>
      </c>
      <c r="O182" s="389">
        <v>324661</v>
      </c>
      <c r="P182" s="389" t="str">
        <f t="shared" si="3"/>
        <v>2013Y</v>
      </c>
      <c r="Q182" s="390" t="str">
        <f>[1]!SNLLabel(287,324661,,"&lt;&gt;367","Options:Curr=Reported currency,Mag=MIstandard,ConvMethod=MIrecommended")</f>
        <v>AR: Other Lines of Business</v>
      </c>
      <c r="R182" s="366"/>
      <c r="S182" s="391" t="s">
        <v>29</v>
      </c>
    </row>
    <row r="183" spans="14:19" ht="11.25" customHeight="1" x14ac:dyDescent="0.35">
      <c r="N183" s="388" t="s">
        <v>5458</v>
      </c>
      <c r="O183" s="389">
        <v>324661</v>
      </c>
      <c r="P183" s="389" t="str">
        <f t="shared" si="3"/>
        <v>2013Y</v>
      </c>
      <c r="Q183" s="390" t="str">
        <f>[1]!SNLLabel(287,324661,,"&lt;&gt;368","Options:Curr=Reported currency,Mag=MIstandard,ConvMethod=MIrecommended")</f>
        <v>AR: YRT Mortality Risk Only</v>
      </c>
      <c r="R183" s="366"/>
      <c r="S183" s="391" t="s">
        <v>29</v>
      </c>
    </row>
    <row r="184" spans="14:19" ht="11.25" customHeight="1" x14ac:dyDescent="0.35">
      <c r="N184" s="388" t="s">
        <v>5458</v>
      </c>
      <c r="O184" s="389">
        <v>324661</v>
      </c>
      <c r="P184" s="389" t="str">
        <f t="shared" si="3"/>
        <v>2013Y</v>
      </c>
      <c r="Q184" s="390" t="str">
        <f>[1]!SNLLabel(287,324661,,"&lt;&gt;369","Options:Curr=Reported currency,Mag=MIstandard,ConvMethod=MIrecommended")</f>
        <v>AR: Individual and Group Life</v>
      </c>
      <c r="R184" s="366"/>
      <c r="S184" s="391" t="s">
        <v>29</v>
      </c>
    </row>
    <row r="185" spans="14:19" ht="11.25" customHeight="1" x14ac:dyDescent="0.35">
      <c r="N185" s="367" t="s">
        <v>5458</v>
      </c>
      <c r="O185" s="368">
        <v>324661</v>
      </c>
      <c r="P185" s="368" t="str">
        <f t="shared" si="3"/>
        <v>2013Y</v>
      </c>
      <c r="Q185" s="369" t="str">
        <f>[1]!SNLLabel(287,324661,,"&lt;&gt;370","Options:Curr=Reported currency,Mag=MIstandard,ConvMethod=MIrecommended")</f>
        <v>AR: Individual and Group Annuities</v>
      </c>
      <c r="R185" s="370"/>
      <c r="S185" s="371" t="s">
        <v>29</v>
      </c>
    </row>
    <row r="186" spans="14:19" ht="11.25" customHeight="1" x14ac:dyDescent="0.35">
      <c r="N186" s="384" t="s">
        <v>5458</v>
      </c>
      <c r="O186" s="385">
        <v>324661</v>
      </c>
      <c r="P186" s="385" t="str">
        <f t="shared" ref="P186:P196" si="4">LEFT(Period,4)-2&amp;"Y"</f>
        <v>2012Y</v>
      </c>
      <c r="Q186" s="386" t="str">
        <f>[1]!SNLLabel(287,324661,,"&lt;&gt;360","Options:Curr=Reported currency,Mag=MIstandard,ConvMethod=MIrecommended")</f>
        <v>AR: Analysis of Operations All Lines</v>
      </c>
      <c r="R186" s="365"/>
      <c r="S186" s="387" t="s">
        <v>29</v>
      </c>
    </row>
    <row r="187" spans="14:19" ht="11.25" customHeight="1" x14ac:dyDescent="0.35">
      <c r="N187" s="388" t="s">
        <v>5458</v>
      </c>
      <c r="O187" s="389">
        <v>324661</v>
      </c>
      <c r="P187" s="389" t="str">
        <f t="shared" si="4"/>
        <v>2012Y</v>
      </c>
      <c r="Q187" s="390" t="str">
        <f>[1]!SNLLabel(287,324661,,"&lt;&gt;361","Options:Curr=Reported currency,Mag=MIstandard,ConvMethod=MIrecommended")</f>
        <v>AR: Individual Life</v>
      </c>
      <c r="R187" s="366"/>
      <c r="S187" s="391" t="s">
        <v>29</v>
      </c>
    </row>
    <row r="188" spans="14:19" ht="11.25" customHeight="1" x14ac:dyDescent="0.35">
      <c r="N188" s="388" t="s">
        <v>5458</v>
      </c>
      <c r="O188" s="389">
        <v>324661</v>
      </c>
      <c r="P188" s="389" t="str">
        <f t="shared" si="4"/>
        <v>2012Y</v>
      </c>
      <c r="Q188" s="390" t="str">
        <f>[1]!SNLLabel(287,324661,,"&lt;&gt;362","Options:Curr=Reported currency,Mag=MIstandard,ConvMethod=MIrecommended")</f>
        <v>AR: Group Life</v>
      </c>
      <c r="R188" s="366"/>
      <c r="S188" s="391" t="s">
        <v>29</v>
      </c>
    </row>
    <row r="189" spans="14:19" ht="11.25" customHeight="1" x14ac:dyDescent="0.35">
      <c r="N189" s="388" t="s">
        <v>5458</v>
      </c>
      <c r="O189" s="389">
        <v>324661</v>
      </c>
      <c r="P189" s="389" t="str">
        <f t="shared" si="4"/>
        <v>2012Y</v>
      </c>
      <c r="Q189" s="390" t="str">
        <f>[1]!SNLLabel(287,324661,,"&lt;&gt;363","Options:Curr=Reported currency,Mag=MIstandard,ConvMethod=MIrecommended")</f>
        <v>AR: Individual Annuities</v>
      </c>
      <c r="R189" s="366"/>
      <c r="S189" s="391" t="s">
        <v>29</v>
      </c>
    </row>
    <row r="190" spans="14:19" ht="11.25" customHeight="1" x14ac:dyDescent="0.35">
      <c r="N190" s="388" t="s">
        <v>5458</v>
      </c>
      <c r="O190" s="389">
        <v>324661</v>
      </c>
      <c r="P190" s="389" t="str">
        <f t="shared" si="4"/>
        <v>2012Y</v>
      </c>
      <c r="Q190" s="390" t="str">
        <f>[1]!SNLLabel(287,324661,,"&lt;&gt;364","Options:Curr=Reported currency,Mag=MIstandard,ConvMethod=MIrecommended")</f>
        <v>AR: Group Annuities</v>
      </c>
      <c r="R190" s="366"/>
      <c r="S190" s="391" t="s">
        <v>29</v>
      </c>
    </row>
    <row r="191" spans="14:19" ht="11.25" customHeight="1" x14ac:dyDescent="0.35">
      <c r="N191" s="388" t="s">
        <v>5458</v>
      </c>
      <c r="O191" s="389">
        <v>324661</v>
      </c>
      <c r="P191" s="389" t="str">
        <f t="shared" si="4"/>
        <v>2012Y</v>
      </c>
      <c r="Q191" s="390" t="str">
        <f>[1]!SNLLabel(287,324661,,"&lt;&gt;365","Options:Curr=Reported currency,Mag=MIstandard,ConvMethod=MIrecommended")</f>
        <v>AR: Accident and Health</v>
      </c>
      <c r="R191" s="366"/>
      <c r="S191" s="391" t="s">
        <v>29</v>
      </c>
    </row>
    <row r="192" spans="14:19" ht="11.25" customHeight="1" x14ac:dyDescent="0.35">
      <c r="N192" s="388" t="s">
        <v>5458</v>
      </c>
      <c r="O192" s="389">
        <v>324661</v>
      </c>
      <c r="P192" s="389" t="str">
        <f t="shared" si="4"/>
        <v>2012Y</v>
      </c>
      <c r="Q192" s="390" t="str">
        <f>[1]!SNLLabel(287,324661,,"&lt;&gt;366","Options:Curr=Reported currency,Mag=MIstandard,ConvMethod=MIrecommended")</f>
        <v>AR: Fraternal</v>
      </c>
      <c r="R192" s="366"/>
      <c r="S192" s="391" t="s">
        <v>29</v>
      </c>
    </row>
    <row r="193" spans="14:19" ht="11.25" customHeight="1" x14ac:dyDescent="0.35">
      <c r="N193" s="388" t="s">
        <v>5458</v>
      </c>
      <c r="O193" s="389">
        <v>324661</v>
      </c>
      <c r="P193" s="389" t="str">
        <f t="shared" si="4"/>
        <v>2012Y</v>
      </c>
      <c r="Q193" s="390" t="str">
        <f>[1]!SNLLabel(287,324661,,"&lt;&gt;367","Options:Curr=Reported currency,Mag=MIstandard,ConvMethod=MIrecommended")</f>
        <v>AR: Other Lines of Business</v>
      </c>
      <c r="R193" s="366"/>
      <c r="S193" s="391" t="s">
        <v>29</v>
      </c>
    </row>
    <row r="194" spans="14:19" ht="11.25" customHeight="1" x14ac:dyDescent="0.35">
      <c r="N194" s="388" t="s">
        <v>5458</v>
      </c>
      <c r="O194" s="389">
        <v>324661</v>
      </c>
      <c r="P194" s="389" t="str">
        <f t="shared" si="4"/>
        <v>2012Y</v>
      </c>
      <c r="Q194" s="390" t="str">
        <f>[1]!SNLLabel(287,324661,,"&lt;&gt;368","Options:Curr=Reported currency,Mag=MIstandard,ConvMethod=MIrecommended")</f>
        <v>AR: YRT Mortality Risk Only</v>
      </c>
      <c r="R194" s="366"/>
      <c r="S194" s="391" t="s">
        <v>29</v>
      </c>
    </row>
    <row r="195" spans="14:19" ht="11.25" customHeight="1" x14ac:dyDescent="0.35">
      <c r="N195" s="388" t="s">
        <v>5458</v>
      </c>
      <c r="O195" s="389">
        <v>324661</v>
      </c>
      <c r="P195" s="389" t="str">
        <f t="shared" si="4"/>
        <v>2012Y</v>
      </c>
      <c r="Q195" s="390" t="str">
        <f>[1]!SNLLabel(287,324661,,"&lt;&gt;369","Options:Curr=Reported currency,Mag=MIstandard,ConvMethod=MIrecommended")</f>
        <v>AR: Individual and Group Life</v>
      </c>
      <c r="R195" s="366"/>
      <c r="S195" s="391" t="s">
        <v>29</v>
      </c>
    </row>
    <row r="196" spans="14:19" ht="11.25" customHeight="1" x14ac:dyDescent="0.35">
      <c r="N196" s="367" t="s">
        <v>5458</v>
      </c>
      <c r="O196" s="368">
        <v>324661</v>
      </c>
      <c r="P196" s="368" t="str">
        <f t="shared" si="4"/>
        <v>2012Y</v>
      </c>
      <c r="Q196" s="369" t="str">
        <f>[1]!SNLLabel(287,324661,,"&lt;&gt;370","Options:Curr=Reported currency,Mag=MIstandard,ConvMethod=MIrecommended")</f>
        <v>AR: Individual and Group Annuities</v>
      </c>
      <c r="R196" s="370"/>
      <c r="S196" s="371" t="s">
        <v>29</v>
      </c>
    </row>
    <row r="197" spans="14:19" ht="11.25" customHeight="1" x14ac:dyDescent="0.35">
      <c r="N197" s="384" t="s">
        <v>5458</v>
      </c>
      <c r="O197" s="385">
        <v>324661</v>
      </c>
      <c r="P197" s="385" t="str">
        <f t="shared" ref="P197:P207" si="5">LEFT(Period,4)-3&amp;"Y"</f>
        <v>2011Y</v>
      </c>
      <c r="Q197" s="386" t="str">
        <f>[1]!SNLLabel(287,324661,,"&lt;&gt;360","Options:Curr=Reported currency,Mag=MIstandard,ConvMethod=MIrecommended")</f>
        <v>AR: Analysis of Operations All Lines</v>
      </c>
      <c r="R197" s="365"/>
      <c r="S197" s="387" t="s">
        <v>29</v>
      </c>
    </row>
    <row r="198" spans="14:19" ht="11.25" customHeight="1" x14ac:dyDescent="0.35">
      <c r="N198" s="388" t="s">
        <v>5458</v>
      </c>
      <c r="O198" s="389">
        <v>324661</v>
      </c>
      <c r="P198" s="389" t="str">
        <f t="shared" si="5"/>
        <v>2011Y</v>
      </c>
      <c r="Q198" s="390" t="str">
        <f>[1]!SNLLabel(287,324661,,"&lt;&gt;361","Options:Curr=Reported currency,Mag=MIstandard,ConvMethod=MIrecommended")</f>
        <v>AR: Individual Life</v>
      </c>
      <c r="R198" s="366"/>
      <c r="S198" s="391" t="s">
        <v>29</v>
      </c>
    </row>
    <row r="199" spans="14:19" ht="11.25" customHeight="1" x14ac:dyDescent="0.35">
      <c r="N199" s="388" t="s">
        <v>5458</v>
      </c>
      <c r="O199" s="389">
        <v>324661</v>
      </c>
      <c r="P199" s="389" t="str">
        <f t="shared" si="5"/>
        <v>2011Y</v>
      </c>
      <c r="Q199" s="390" t="str">
        <f>[1]!SNLLabel(287,324661,,"&lt;&gt;362","Options:Curr=Reported currency,Mag=MIstandard,ConvMethod=MIrecommended")</f>
        <v>AR: Group Life</v>
      </c>
      <c r="R199" s="366"/>
      <c r="S199" s="391" t="s">
        <v>29</v>
      </c>
    </row>
    <row r="200" spans="14:19" ht="11.25" customHeight="1" x14ac:dyDescent="0.35">
      <c r="N200" s="388" t="s">
        <v>5458</v>
      </c>
      <c r="O200" s="389">
        <v>324661</v>
      </c>
      <c r="P200" s="389" t="str">
        <f t="shared" si="5"/>
        <v>2011Y</v>
      </c>
      <c r="Q200" s="390" t="str">
        <f>[1]!SNLLabel(287,324661,,"&lt;&gt;363","Options:Curr=Reported currency,Mag=MIstandard,ConvMethod=MIrecommended")</f>
        <v>AR: Individual Annuities</v>
      </c>
      <c r="R200" s="366"/>
      <c r="S200" s="391" t="s">
        <v>29</v>
      </c>
    </row>
    <row r="201" spans="14:19" ht="11.25" customHeight="1" x14ac:dyDescent="0.35">
      <c r="N201" s="388" t="s">
        <v>5458</v>
      </c>
      <c r="O201" s="389">
        <v>324661</v>
      </c>
      <c r="P201" s="389" t="str">
        <f t="shared" si="5"/>
        <v>2011Y</v>
      </c>
      <c r="Q201" s="390" t="str">
        <f>[1]!SNLLabel(287,324661,,"&lt;&gt;364","Options:Curr=Reported currency,Mag=MIstandard,ConvMethod=MIrecommended")</f>
        <v>AR: Group Annuities</v>
      </c>
      <c r="R201" s="366"/>
      <c r="S201" s="391" t="s">
        <v>29</v>
      </c>
    </row>
    <row r="202" spans="14:19" ht="11.25" customHeight="1" x14ac:dyDescent="0.35">
      <c r="N202" s="388" t="s">
        <v>5458</v>
      </c>
      <c r="O202" s="389">
        <v>324661</v>
      </c>
      <c r="P202" s="389" t="str">
        <f t="shared" si="5"/>
        <v>2011Y</v>
      </c>
      <c r="Q202" s="390" t="str">
        <f>[1]!SNLLabel(287,324661,,"&lt;&gt;365","Options:Curr=Reported currency,Mag=MIstandard,ConvMethod=MIrecommended")</f>
        <v>AR: Accident and Health</v>
      </c>
      <c r="R202" s="366"/>
      <c r="S202" s="391" t="s">
        <v>29</v>
      </c>
    </row>
    <row r="203" spans="14:19" ht="11.25" customHeight="1" x14ac:dyDescent="0.35">
      <c r="N203" s="388" t="s">
        <v>5458</v>
      </c>
      <c r="O203" s="389">
        <v>324661</v>
      </c>
      <c r="P203" s="389" t="str">
        <f t="shared" si="5"/>
        <v>2011Y</v>
      </c>
      <c r="Q203" s="390" t="str">
        <f>[1]!SNLLabel(287,324661,,"&lt;&gt;366","Options:Curr=Reported currency,Mag=MIstandard,ConvMethod=MIrecommended")</f>
        <v>AR: Fraternal</v>
      </c>
      <c r="R203" s="366"/>
      <c r="S203" s="391" t="s">
        <v>29</v>
      </c>
    </row>
    <row r="204" spans="14:19" ht="11.25" customHeight="1" x14ac:dyDescent="0.35">
      <c r="N204" s="388" t="s">
        <v>5458</v>
      </c>
      <c r="O204" s="389">
        <v>324661</v>
      </c>
      <c r="P204" s="389" t="str">
        <f t="shared" si="5"/>
        <v>2011Y</v>
      </c>
      <c r="Q204" s="390" t="str">
        <f>[1]!SNLLabel(287,324661,,"&lt;&gt;367","Options:Curr=Reported currency,Mag=MIstandard,ConvMethod=MIrecommended")</f>
        <v>AR: Other Lines of Business</v>
      </c>
      <c r="R204" s="366"/>
      <c r="S204" s="391" t="s">
        <v>29</v>
      </c>
    </row>
    <row r="205" spans="14:19" ht="11.25" customHeight="1" x14ac:dyDescent="0.35">
      <c r="N205" s="388" t="s">
        <v>5458</v>
      </c>
      <c r="O205" s="389">
        <v>324661</v>
      </c>
      <c r="P205" s="389" t="str">
        <f t="shared" si="5"/>
        <v>2011Y</v>
      </c>
      <c r="Q205" s="390" t="str">
        <f>[1]!SNLLabel(287,324661,,"&lt;&gt;368","Options:Curr=Reported currency,Mag=MIstandard,ConvMethod=MIrecommended")</f>
        <v>AR: YRT Mortality Risk Only</v>
      </c>
      <c r="R205" s="366"/>
      <c r="S205" s="391" t="s">
        <v>29</v>
      </c>
    </row>
    <row r="206" spans="14:19" ht="11.25" customHeight="1" x14ac:dyDescent="0.35">
      <c r="N206" s="388" t="s">
        <v>5458</v>
      </c>
      <c r="O206" s="389">
        <v>324661</v>
      </c>
      <c r="P206" s="389" t="str">
        <f t="shared" si="5"/>
        <v>2011Y</v>
      </c>
      <c r="Q206" s="390" t="str">
        <f>[1]!SNLLabel(287,324661,,"&lt;&gt;369","Options:Curr=Reported currency,Mag=MIstandard,ConvMethod=MIrecommended")</f>
        <v>AR: Individual and Group Life</v>
      </c>
      <c r="R206" s="366"/>
      <c r="S206" s="391" t="s">
        <v>29</v>
      </c>
    </row>
    <row r="207" spans="14:19" ht="11.25" customHeight="1" x14ac:dyDescent="0.35">
      <c r="N207" s="367" t="s">
        <v>5458</v>
      </c>
      <c r="O207" s="368">
        <v>324661</v>
      </c>
      <c r="P207" s="368" t="str">
        <f t="shared" si="5"/>
        <v>2011Y</v>
      </c>
      <c r="Q207" s="369" t="str">
        <f>[1]!SNLLabel(287,324661,,"&lt;&gt;370","Options:Curr=Reported currency,Mag=MIstandard,ConvMethod=MIrecommended")</f>
        <v>AR: Individual and Group Annuities</v>
      </c>
      <c r="R207" s="370"/>
      <c r="S207" s="371" t="s">
        <v>29</v>
      </c>
    </row>
    <row r="208" spans="14:19" ht="11.25" customHeight="1" x14ac:dyDescent="0.35">
      <c r="N208" s="384" t="s">
        <v>5458</v>
      </c>
      <c r="O208" s="385">
        <v>324661</v>
      </c>
      <c r="P208" s="385" t="str">
        <f t="shared" ref="P208:P218" si="6">LEFT(Period,4)-4&amp;"Y"</f>
        <v>2010Y</v>
      </c>
      <c r="Q208" s="386" t="str">
        <f>[1]!SNLLabel(287,324661,,"&lt;&gt;360","Options:Curr=Reported currency,Mag=MIstandard,ConvMethod=MIrecommended")</f>
        <v>AR: Analysis of Operations All Lines</v>
      </c>
      <c r="R208" s="365"/>
      <c r="S208" s="387" t="s">
        <v>29</v>
      </c>
    </row>
    <row r="209" spans="14:19" ht="11.25" customHeight="1" x14ac:dyDescent="0.35">
      <c r="N209" s="388" t="s">
        <v>5458</v>
      </c>
      <c r="O209" s="389">
        <v>324661</v>
      </c>
      <c r="P209" s="389" t="str">
        <f t="shared" si="6"/>
        <v>2010Y</v>
      </c>
      <c r="Q209" s="390" t="str">
        <f>[1]!SNLLabel(287,324661,,"&lt;&gt;361","Options:Curr=Reported currency,Mag=MIstandard,ConvMethod=MIrecommended")</f>
        <v>AR: Individual Life</v>
      </c>
      <c r="R209" s="366"/>
      <c r="S209" s="391" t="s">
        <v>29</v>
      </c>
    </row>
    <row r="210" spans="14:19" ht="11.25" customHeight="1" x14ac:dyDescent="0.35">
      <c r="N210" s="388" t="s">
        <v>5458</v>
      </c>
      <c r="O210" s="389">
        <v>324661</v>
      </c>
      <c r="P210" s="389" t="str">
        <f t="shared" si="6"/>
        <v>2010Y</v>
      </c>
      <c r="Q210" s="390" t="str">
        <f>[1]!SNLLabel(287,324661,,"&lt;&gt;362","Options:Curr=Reported currency,Mag=MIstandard,ConvMethod=MIrecommended")</f>
        <v>AR: Group Life</v>
      </c>
      <c r="R210" s="366"/>
      <c r="S210" s="391" t="s">
        <v>29</v>
      </c>
    </row>
    <row r="211" spans="14:19" ht="11.25" customHeight="1" x14ac:dyDescent="0.35">
      <c r="N211" s="388" t="s">
        <v>5458</v>
      </c>
      <c r="O211" s="389">
        <v>324661</v>
      </c>
      <c r="P211" s="389" t="str">
        <f t="shared" si="6"/>
        <v>2010Y</v>
      </c>
      <c r="Q211" s="390" t="str">
        <f>[1]!SNLLabel(287,324661,,"&lt;&gt;363","Options:Curr=Reported currency,Mag=MIstandard,ConvMethod=MIrecommended")</f>
        <v>AR: Individual Annuities</v>
      </c>
      <c r="R211" s="366"/>
      <c r="S211" s="391" t="s">
        <v>29</v>
      </c>
    </row>
    <row r="212" spans="14:19" ht="11.25" customHeight="1" x14ac:dyDescent="0.35">
      <c r="N212" s="388" t="s">
        <v>5458</v>
      </c>
      <c r="O212" s="389">
        <v>324661</v>
      </c>
      <c r="P212" s="389" t="str">
        <f t="shared" si="6"/>
        <v>2010Y</v>
      </c>
      <c r="Q212" s="390" t="str">
        <f>[1]!SNLLabel(287,324661,,"&lt;&gt;364","Options:Curr=Reported currency,Mag=MIstandard,ConvMethod=MIrecommended")</f>
        <v>AR: Group Annuities</v>
      </c>
      <c r="R212" s="366"/>
      <c r="S212" s="391" t="s">
        <v>29</v>
      </c>
    </row>
    <row r="213" spans="14:19" ht="11.25" customHeight="1" x14ac:dyDescent="0.35">
      <c r="N213" s="388" t="s">
        <v>5458</v>
      </c>
      <c r="O213" s="389">
        <v>324661</v>
      </c>
      <c r="P213" s="389" t="str">
        <f t="shared" si="6"/>
        <v>2010Y</v>
      </c>
      <c r="Q213" s="390" t="str">
        <f>[1]!SNLLabel(287,324661,,"&lt;&gt;365","Options:Curr=Reported currency,Mag=MIstandard,ConvMethod=MIrecommended")</f>
        <v>AR: Accident and Health</v>
      </c>
      <c r="R213" s="366"/>
      <c r="S213" s="391" t="s">
        <v>29</v>
      </c>
    </row>
    <row r="214" spans="14:19" ht="11.25" customHeight="1" x14ac:dyDescent="0.35">
      <c r="N214" s="388" t="s">
        <v>5458</v>
      </c>
      <c r="O214" s="389">
        <v>324661</v>
      </c>
      <c r="P214" s="389" t="str">
        <f t="shared" si="6"/>
        <v>2010Y</v>
      </c>
      <c r="Q214" s="390" t="str">
        <f>[1]!SNLLabel(287,324661,,"&lt;&gt;366","Options:Curr=Reported currency,Mag=MIstandard,ConvMethod=MIrecommended")</f>
        <v>AR: Fraternal</v>
      </c>
      <c r="R214" s="366"/>
      <c r="S214" s="391" t="s">
        <v>29</v>
      </c>
    </row>
    <row r="215" spans="14:19" ht="11.25" customHeight="1" x14ac:dyDescent="0.35">
      <c r="N215" s="388" t="s">
        <v>5458</v>
      </c>
      <c r="O215" s="389">
        <v>324661</v>
      </c>
      <c r="P215" s="389" t="str">
        <f t="shared" si="6"/>
        <v>2010Y</v>
      </c>
      <c r="Q215" s="390" t="str">
        <f>[1]!SNLLabel(287,324661,,"&lt;&gt;367","Options:Curr=Reported currency,Mag=MIstandard,ConvMethod=MIrecommended")</f>
        <v>AR: Other Lines of Business</v>
      </c>
      <c r="R215" s="366"/>
      <c r="S215" s="391" t="s">
        <v>29</v>
      </c>
    </row>
    <row r="216" spans="14:19" ht="11.25" customHeight="1" x14ac:dyDescent="0.35">
      <c r="N216" s="388" t="s">
        <v>5458</v>
      </c>
      <c r="O216" s="389">
        <v>324661</v>
      </c>
      <c r="P216" s="389" t="str">
        <f t="shared" si="6"/>
        <v>2010Y</v>
      </c>
      <c r="Q216" s="390" t="str">
        <f>[1]!SNLLabel(287,324661,,"&lt;&gt;368","Options:Curr=Reported currency,Mag=MIstandard,ConvMethod=MIrecommended")</f>
        <v>AR: YRT Mortality Risk Only</v>
      </c>
      <c r="R216" s="366"/>
      <c r="S216" s="391" t="s">
        <v>29</v>
      </c>
    </row>
    <row r="217" spans="14:19" ht="11.25" customHeight="1" x14ac:dyDescent="0.35">
      <c r="N217" s="388" t="s">
        <v>5458</v>
      </c>
      <c r="O217" s="389">
        <v>324661</v>
      </c>
      <c r="P217" s="389" t="str">
        <f t="shared" si="6"/>
        <v>2010Y</v>
      </c>
      <c r="Q217" s="390" t="str">
        <f>[1]!SNLLabel(287,324661,,"&lt;&gt;369","Options:Curr=Reported currency,Mag=MIstandard,ConvMethod=MIrecommended")</f>
        <v>AR: Individual and Group Life</v>
      </c>
      <c r="R217" s="366"/>
      <c r="S217" s="391" t="s">
        <v>29</v>
      </c>
    </row>
    <row r="218" spans="14:19" ht="11.25" customHeight="1" x14ac:dyDescent="0.35">
      <c r="N218" s="367" t="s">
        <v>5458</v>
      </c>
      <c r="O218" s="368">
        <v>324661</v>
      </c>
      <c r="P218" s="368" t="str">
        <f t="shared" si="6"/>
        <v>2010Y</v>
      </c>
      <c r="Q218" s="369" t="str">
        <f>[1]!SNLLabel(287,324661,,"&lt;&gt;370","Options:Curr=Reported currency,Mag=MIstandard,ConvMethod=MIrecommended")</f>
        <v>AR: Individual and Group Annuities</v>
      </c>
      <c r="R218" s="370"/>
      <c r="S218" s="371" t="s">
        <v>29</v>
      </c>
    </row>
    <row r="219" spans="14:19" ht="11.25" customHeight="1" x14ac:dyDescent="0.35">
      <c r="N219" s="377"/>
      <c r="O219" s="378"/>
      <c r="P219" s="378"/>
      <c r="Q219" s="379"/>
      <c r="R219" s="375"/>
      <c r="S219" s="380"/>
    </row>
    <row r="220" spans="14:19" ht="11.25" customHeight="1" x14ac:dyDescent="0.35">
      <c r="N220" s="384" t="s">
        <v>5459</v>
      </c>
      <c r="O220" s="385">
        <v>324662</v>
      </c>
      <c r="P220" s="385" t="str">
        <f t="shared" ref="P220:P230" si="7">Period</f>
        <v>2014Y</v>
      </c>
      <c r="Q220" s="386" t="str">
        <f>[1]!SNLLabel(287,324662,,"&lt;&gt;360","Options:Curr=Reported currency,Mag=MIstandard,ConvMethod=MIrecommended")</f>
        <v>AR: Analysis of Operations All Lines</v>
      </c>
      <c r="R220" s="365"/>
      <c r="S220" s="387" t="s">
        <v>29</v>
      </c>
    </row>
    <row r="221" spans="14:19" ht="11.25" customHeight="1" x14ac:dyDescent="0.35">
      <c r="N221" s="388" t="s">
        <v>5459</v>
      </c>
      <c r="O221" s="389">
        <v>324662</v>
      </c>
      <c r="P221" s="389" t="str">
        <f t="shared" si="7"/>
        <v>2014Y</v>
      </c>
      <c r="Q221" s="390" t="str">
        <f>[1]!SNLLabel(287,324662,,"&lt;&gt;361","Options:Curr=Reported currency,Mag=MIstandard,ConvMethod=MIrecommended")</f>
        <v>AR: Individual Life</v>
      </c>
      <c r="R221" s="366"/>
      <c r="S221" s="391" t="s">
        <v>29</v>
      </c>
    </row>
    <row r="222" spans="14:19" ht="11.25" customHeight="1" x14ac:dyDescent="0.35">
      <c r="N222" s="388" t="s">
        <v>5459</v>
      </c>
      <c r="O222" s="389">
        <v>324662</v>
      </c>
      <c r="P222" s="389" t="str">
        <f t="shared" si="7"/>
        <v>2014Y</v>
      </c>
      <c r="Q222" s="390" t="str">
        <f>[1]!SNLLabel(287,324662,,"&lt;&gt;362","Options:Curr=Reported currency,Mag=MIstandard,ConvMethod=MIrecommended")</f>
        <v>AR: Group Life</v>
      </c>
      <c r="R222" s="366"/>
      <c r="S222" s="391" t="s">
        <v>29</v>
      </c>
    </row>
    <row r="223" spans="14:19" ht="11.25" customHeight="1" x14ac:dyDescent="0.35">
      <c r="N223" s="388" t="s">
        <v>5459</v>
      </c>
      <c r="O223" s="389">
        <v>324662</v>
      </c>
      <c r="P223" s="389" t="str">
        <f t="shared" si="7"/>
        <v>2014Y</v>
      </c>
      <c r="Q223" s="390" t="str">
        <f>[1]!SNLLabel(287,324662,,"&lt;&gt;363","Options:Curr=Reported currency,Mag=MIstandard,ConvMethod=MIrecommended")</f>
        <v>AR: Individual Annuities</v>
      </c>
      <c r="R223" s="366"/>
      <c r="S223" s="391" t="s">
        <v>29</v>
      </c>
    </row>
    <row r="224" spans="14:19" ht="11.25" customHeight="1" x14ac:dyDescent="0.35">
      <c r="N224" s="388" t="s">
        <v>5459</v>
      </c>
      <c r="O224" s="389">
        <v>324662</v>
      </c>
      <c r="P224" s="389" t="str">
        <f t="shared" si="7"/>
        <v>2014Y</v>
      </c>
      <c r="Q224" s="390" t="str">
        <f>[1]!SNLLabel(287,324662,,"&lt;&gt;364","Options:Curr=Reported currency,Mag=MIstandard,ConvMethod=MIrecommended")</f>
        <v>AR: Group Annuities</v>
      </c>
      <c r="R224" s="366"/>
      <c r="S224" s="391" t="s">
        <v>29</v>
      </c>
    </row>
    <row r="225" spans="14:19" ht="11.25" customHeight="1" x14ac:dyDescent="0.35">
      <c r="N225" s="388" t="s">
        <v>5459</v>
      </c>
      <c r="O225" s="389">
        <v>324662</v>
      </c>
      <c r="P225" s="389" t="str">
        <f t="shared" si="7"/>
        <v>2014Y</v>
      </c>
      <c r="Q225" s="390" t="str">
        <f>[1]!SNLLabel(287,324662,,"&lt;&gt;365","Options:Curr=Reported currency,Mag=MIstandard,ConvMethod=MIrecommended")</f>
        <v>AR: Accident and Health</v>
      </c>
      <c r="R225" s="366"/>
      <c r="S225" s="391" t="s">
        <v>29</v>
      </c>
    </row>
    <row r="226" spans="14:19" ht="11.25" customHeight="1" x14ac:dyDescent="0.35">
      <c r="N226" s="388" t="s">
        <v>5459</v>
      </c>
      <c r="O226" s="389">
        <v>324662</v>
      </c>
      <c r="P226" s="389" t="str">
        <f t="shared" si="7"/>
        <v>2014Y</v>
      </c>
      <c r="Q226" s="390" t="str">
        <f>[1]!SNLLabel(287,324662,,"&lt;&gt;366","Options:Curr=Reported currency,Mag=MIstandard,ConvMethod=MIrecommended")</f>
        <v>AR: Fraternal</v>
      </c>
      <c r="R226" s="366"/>
      <c r="S226" s="391" t="s">
        <v>29</v>
      </c>
    </row>
    <row r="227" spans="14:19" ht="11.25" customHeight="1" x14ac:dyDescent="0.35">
      <c r="N227" s="388" t="s">
        <v>5459</v>
      </c>
      <c r="O227" s="389">
        <v>324662</v>
      </c>
      <c r="P227" s="389" t="str">
        <f t="shared" si="7"/>
        <v>2014Y</v>
      </c>
      <c r="Q227" s="390" t="str">
        <f>[1]!SNLLabel(287,324662,,"&lt;&gt;367","Options:Curr=Reported currency,Mag=MIstandard,ConvMethod=MIrecommended")</f>
        <v>AR: Other Lines of Business</v>
      </c>
      <c r="R227" s="366"/>
      <c r="S227" s="391" t="s">
        <v>29</v>
      </c>
    </row>
    <row r="228" spans="14:19" ht="11.25" customHeight="1" x14ac:dyDescent="0.35">
      <c r="N228" s="388" t="s">
        <v>5459</v>
      </c>
      <c r="O228" s="389">
        <v>324662</v>
      </c>
      <c r="P228" s="389" t="str">
        <f t="shared" si="7"/>
        <v>2014Y</v>
      </c>
      <c r="Q228" s="390" t="str">
        <f>[1]!SNLLabel(287,324662,,"&lt;&gt;368","Options:Curr=Reported currency,Mag=MIstandard,ConvMethod=MIrecommended")</f>
        <v>AR: YRT Mortality Risk Only</v>
      </c>
      <c r="R228" s="366"/>
      <c r="S228" s="391" t="s">
        <v>29</v>
      </c>
    </row>
    <row r="229" spans="14:19" ht="11.25" customHeight="1" x14ac:dyDescent="0.35">
      <c r="N229" s="388" t="s">
        <v>5459</v>
      </c>
      <c r="O229" s="389">
        <v>324662</v>
      </c>
      <c r="P229" s="389" t="str">
        <f t="shared" si="7"/>
        <v>2014Y</v>
      </c>
      <c r="Q229" s="390" t="str">
        <f>[1]!SNLLabel(287,324662,,"&lt;&gt;369","Options:Curr=Reported currency,Mag=MIstandard,ConvMethod=MIrecommended")</f>
        <v>AR: Individual and Group Life</v>
      </c>
      <c r="R229" s="366"/>
      <c r="S229" s="391" t="s">
        <v>29</v>
      </c>
    </row>
    <row r="230" spans="14:19" ht="11.25" customHeight="1" x14ac:dyDescent="0.35">
      <c r="N230" s="367" t="s">
        <v>5459</v>
      </c>
      <c r="O230" s="368">
        <v>324662</v>
      </c>
      <c r="P230" s="368" t="str">
        <f t="shared" si="7"/>
        <v>2014Y</v>
      </c>
      <c r="Q230" s="369" t="str">
        <f>[1]!SNLLabel(287,324662,,"&lt;&gt;370","Options:Curr=Reported currency,Mag=MIstandard,ConvMethod=MIrecommended")</f>
        <v>AR: Individual and Group Annuities</v>
      </c>
      <c r="R230" s="370"/>
      <c r="S230" s="371" t="s">
        <v>29</v>
      </c>
    </row>
    <row r="231" spans="14:19" ht="11.25" customHeight="1" x14ac:dyDescent="0.35">
      <c r="N231" s="384" t="s">
        <v>5459</v>
      </c>
      <c r="O231" s="385">
        <v>324662</v>
      </c>
      <c r="P231" s="385" t="str">
        <f t="shared" ref="P231:P241" si="8">LEFT(Period,4)-1&amp;"Y"</f>
        <v>2013Y</v>
      </c>
      <c r="Q231" s="386" t="str">
        <f>[1]!SNLLabel(287,324662,,"&lt;&gt;360","Options:Curr=Reported currency,Mag=MIstandard,ConvMethod=MIrecommended")</f>
        <v>AR: Analysis of Operations All Lines</v>
      </c>
      <c r="R231" s="365"/>
      <c r="S231" s="387" t="s">
        <v>29</v>
      </c>
    </row>
    <row r="232" spans="14:19" ht="11.25" customHeight="1" x14ac:dyDescent="0.35">
      <c r="N232" s="388" t="s">
        <v>5459</v>
      </c>
      <c r="O232" s="389">
        <v>324662</v>
      </c>
      <c r="P232" s="389" t="str">
        <f t="shared" si="8"/>
        <v>2013Y</v>
      </c>
      <c r="Q232" s="390" t="str">
        <f>[1]!SNLLabel(287,324662,,"&lt;&gt;361","Options:Curr=Reported currency,Mag=MIstandard,ConvMethod=MIrecommended")</f>
        <v>AR: Individual Life</v>
      </c>
      <c r="R232" s="366"/>
      <c r="S232" s="391" t="s">
        <v>29</v>
      </c>
    </row>
    <row r="233" spans="14:19" ht="11.25" customHeight="1" x14ac:dyDescent="0.35">
      <c r="N233" s="388" t="s">
        <v>5459</v>
      </c>
      <c r="O233" s="389">
        <v>324662</v>
      </c>
      <c r="P233" s="389" t="str">
        <f t="shared" si="8"/>
        <v>2013Y</v>
      </c>
      <c r="Q233" s="390" t="str">
        <f>[1]!SNLLabel(287,324662,,"&lt;&gt;362","Options:Curr=Reported currency,Mag=MIstandard,ConvMethod=MIrecommended")</f>
        <v>AR: Group Life</v>
      </c>
      <c r="R233" s="366"/>
      <c r="S233" s="391" t="s">
        <v>29</v>
      </c>
    </row>
    <row r="234" spans="14:19" ht="11.25" customHeight="1" x14ac:dyDescent="0.35">
      <c r="N234" s="388" t="s">
        <v>5459</v>
      </c>
      <c r="O234" s="389">
        <v>324662</v>
      </c>
      <c r="P234" s="389" t="str">
        <f t="shared" si="8"/>
        <v>2013Y</v>
      </c>
      <c r="Q234" s="390" t="str">
        <f>[1]!SNLLabel(287,324662,,"&lt;&gt;363","Options:Curr=Reported currency,Mag=MIstandard,ConvMethod=MIrecommended")</f>
        <v>AR: Individual Annuities</v>
      </c>
      <c r="R234" s="366"/>
      <c r="S234" s="391" t="s">
        <v>29</v>
      </c>
    </row>
    <row r="235" spans="14:19" ht="11.25" customHeight="1" x14ac:dyDescent="0.35">
      <c r="N235" s="388" t="s">
        <v>5459</v>
      </c>
      <c r="O235" s="389">
        <v>324662</v>
      </c>
      <c r="P235" s="389" t="str">
        <f t="shared" si="8"/>
        <v>2013Y</v>
      </c>
      <c r="Q235" s="390" t="str">
        <f>[1]!SNLLabel(287,324662,,"&lt;&gt;364","Options:Curr=Reported currency,Mag=MIstandard,ConvMethod=MIrecommended")</f>
        <v>AR: Group Annuities</v>
      </c>
      <c r="R235" s="366"/>
      <c r="S235" s="391" t="s">
        <v>29</v>
      </c>
    </row>
    <row r="236" spans="14:19" ht="11.25" customHeight="1" x14ac:dyDescent="0.35">
      <c r="N236" s="388" t="s">
        <v>5459</v>
      </c>
      <c r="O236" s="389">
        <v>324662</v>
      </c>
      <c r="P236" s="389" t="str">
        <f t="shared" si="8"/>
        <v>2013Y</v>
      </c>
      <c r="Q236" s="390" t="str">
        <f>[1]!SNLLabel(287,324662,,"&lt;&gt;365","Options:Curr=Reported currency,Mag=MIstandard,ConvMethod=MIrecommended")</f>
        <v>AR: Accident and Health</v>
      </c>
      <c r="R236" s="366"/>
      <c r="S236" s="391" t="s">
        <v>29</v>
      </c>
    </row>
    <row r="237" spans="14:19" ht="11.25" customHeight="1" x14ac:dyDescent="0.35">
      <c r="N237" s="388" t="s">
        <v>5459</v>
      </c>
      <c r="O237" s="389">
        <v>324662</v>
      </c>
      <c r="P237" s="389" t="str">
        <f t="shared" si="8"/>
        <v>2013Y</v>
      </c>
      <c r="Q237" s="390" t="str">
        <f>[1]!SNLLabel(287,324662,,"&lt;&gt;366","Options:Curr=Reported currency,Mag=MIstandard,ConvMethod=MIrecommended")</f>
        <v>AR: Fraternal</v>
      </c>
      <c r="R237" s="366"/>
      <c r="S237" s="391" t="s">
        <v>29</v>
      </c>
    </row>
    <row r="238" spans="14:19" ht="11.25" customHeight="1" x14ac:dyDescent="0.35">
      <c r="N238" s="388" t="s">
        <v>5459</v>
      </c>
      <c r="O238" s="389">
        <v>324662</v>
      </c>
      <c r="P238" s="389" t="str">
        <f t="shared" si="8"/>
        <v>2013Y</v>
      </c>
      <c r="Q238" s="390" t="str">
        <f>[1]!SNLLabel(287,324662,,"&lt;&gt;367","Options:Curr=Reported currency,Mag=MIstandard,ConvMethod=MIrecommended")</f>
        <v>AR: Other Lines of Business</v>
      </c>
      <c r="R238" s="366"/>
      <c r="S238" s="391" t="s">
        <v>29</v>
      </c>
    </row>
    <row r="239" spans="14:19" ht="11.25" customHeight="1" x14ac:dyDescent="0.35">
      <c r="N239" s="388" t="s">
        <v>5459</v>
      </c>
      <c r="O239" s="389">
        <v>324662</v>
      </c>
      <c r="P239" s="389" t="str">
        <f t="shared" si="8"/>
        <v>2013Y</v>
      </c>
      <c r="Q239" s="390" t="str">
        <f>[1]!SNLLabel(287,324662,,"&lt;&gt;368","Options:Curr=Reported currency,Mag=MIstandard,ConvMethod=MIrecommended")</f>
        <v>AR: YRT Mortality Risk Only</v>
      </c>
      <c r="R239" s="366"/>
      <c r="S239" s="391" t="s">
        <v>29</v>
      </c>
    </row>
    <row r="240" spans="14:19" ht="11.25" customHeight="1" x14ac:dyDescent="0.35">
      <c r="N240" s="388" t="s">
        <v>5459</v>
      </c>
      <c r="O240" s="389">
        <v>324662</v>
      </c>
      <c r="P240" s="389" t="str">
        <f t="shared" si="8"/>
        <v>2013Y</v>
      </c>
      <c r="Q240" s="390" t="str">
        <f>[1]!SNLLabel(287,324662,,"&lt;&gt;369","Options:Curr=Reported currency,Mag=MIstandard,ConvMethod=MIrecommended")</f>
        <v>AR: Individual and Group Life</v>
      </c>
      <c r="R240" s="366"/>
      <c r="S240" s="391" t="s">
        <v>29</v>
      </c>
    </row>
    <row r="241" spans="14:19" ht="11.25" customHeight="1" x14ac:dyDescent="0.35">
      <c r="N241" s="367" t="s">
        <v>5459</v>
      </c>
      <c r="O241" s="368">
        <v>324662</v>
      </c>
      <c r="P241" s="368" t="str">
        <f t="shared" si="8"/>
        <v>2013Y</v>
      </c>
      <c r="Q241" s="369" t="str">
        <f>[1]!SNLLabel(287,324662,,"&lt;&gt;370","Options:Curr=Reported currency,Mag=MIstandard,ConvMethod=MIrecommended")</f>
        <v>AR: Individual and Group Annuities</v>
      </c>
      <c r="R241" s="370"/>
      <c r="S241" s="371" t="s">
        <v>29</v>
      </c>
    </row>
    <row r="242" spans="14:19" ht="11.25" customHeight="1" x14ac:dyDescent="0.35">
      <c r="N242" s="384" t="s">
        <v>5459</v>
      </c>
      <c r="O242" s="385">
        <v>324662</v>
      </c>
      <c r="P242" s="385" t="str">
        <f t="shared" ref="P242:P252" si="9">LEFT(Period,4)-2&amp;"Y"</f>
        <v>2012Y</v>
      </c>
      <c r="Q242" s="386" t="str">
        <f>[1]!SNLLabel(287,324662,,"&lt;&gt;360","Options:Curr=Reported currency,Mag=MIstandard,ConvMethod=MIrecommended")</f>
        <v>AR: Analysis of Operations All Lines</v>
      </c>
      <c r="R242" s="365"/>
      <c r="S242" s="387" t="s">
        <v>29</v>
      </c>
    </row>
    <row r="243" spans="14:19" ht="11.25" customHeight="1" x14ac:dyDescent="0.35">
      <c r="N243" s="388" t="s">
        <v>5459</v>
      </c>
      <c r="O243" s="389">
        <v>324662</v>
      </c>
      <c r="P243" s="389" t="str">
        <f t="shared" si="9"/>
        <v>2012Y</v>
      </c>
      <c r="Q243" s="390" t="str">
        <f>[1]!SNLLabel(287,324662,,"&lt;&gt;361","Options:Curr=Reported currency,Mag=MIstandard,ConvMethod=MIrecommended")</f>
        <v>AR: Individual Life</v>
      </c>
      <c r="R243" s="366"/>
      <c r="S243" s="391" t="s">
        <v>29</v>
      </c>
    </row>
    <row r="244" spans="14:19" ht="11.25" customHeight="1" x14ac:dyDescent="0.35">
      <c r="N244" s="388" t="s">
        <v>5459</v>
      </c>
      <c r="O244" s="389">
        <v>324662</v>
      </c>
      <c r="P244" s="389" t="str">
        <f t="shared" si="9"/>
        <v>2012Y</v>
      </c>
      <c r="Q244" s="390" t="str">
        <f>[1]!SNLLabel(287,324662,,"&lt;&gt;362","Options:Curr=Reported currency,Mag=MIstandard,ConvMethod=MIrecommended")</f>
        <v>AR: Group Life</v>
      </c>
      <c r="R244" s="366"/>
      <c r="S244" s="391" t="s">
        <v>29</v>
      </c>
    </row>
    <row r="245" spans="14:19" ht="11.25" customHeight="1" x14ac:dyDescent="0.35">
      <c r="N245" s="388" t="s">
        <v>5459</v>
      </c>
      <c r="O245" s="389">
        <v>324662</v>
      </c>
      <c r="P245" s="389" t="str">
        <f t="shared" si="9"/>
        <v>2012Y</v>
      </c>
      <c r="Q245" s="390" t="str">
        <f>[1]!SNLLabel(287,324662,,"&lt;&gt;363","Options:Curr=Reported currency,Mag=MIstandard,ConvMethod=MIrecommended")</f>
        <v>AR: Individual Annuities</v>
      </c>
      <c r="R245" s="366"/>
      <c r="S245" s="391" t="s">
        <v>29</v>
      </c>
    </row>
    <row r="246" spans="14:19" ht="11.25" customHeight="1" x14ac:dyDescent="0.35">
      <c r="N246" s="388" t="s">
        <v>5459</v>
      </c>
      <c r="O246" s="389">
        <v>324662</v>
      </c>
      <c r="P246" s="389" t="str">
        <f t="shared" si="9"/>
        <v>2012Y</v>
      </c>
      <c r="Q246" s="390" t="str">
        <f>[1]!SNLLabel(287,324662,,"&lt;&gt;364","Options:Curr=Reported currency,Mag=MIstandard,ConvMethod=MIrecommended")</f>
        <v>AR: Group Annuities</v>
      </c>
      <c r="R246" s="366"/>
      <c r="S246" s="391" t="s">
        <v>29</v>
      </c>
    </row>
    <row r="247" spans="14:19" ht="11.25" customHeight="1" x14ac:dyDescent="0.35">
      <c r="N247" s="388" t="s">
        <v>5459</v>
      </c>
      <c r="O247" s="389">
        <v>324662</v>
      </c>
      <c r="P247" s="389" t="str">
        <f t="shared" si="9"/>
        <v>2012Y</v>
      </c>
      <c r="Q247" s="390" t="str">
        <f>[1]!SNLLabel(287,324662,,"&lt;&gt;365","Options:Curr=Reported currency,Mag=MIstandard,ConvMethod=MIrecommended")</f>
        <v>AR: Accident and Health</v>
      </c>
      <c r="R247" s="366"/>
      <c r="S247" s="391" t="s">
        <v>29</v>
      </c>
    </row>
    <row r="248" spans="14:19" ht="11.25" customHeight="1" x14ac:dyDescent="0.35">
      <c r="N248" s="388" t="s">
        <v>5459</v>
      </c>
      <c r="O248" s="389">
        <v>324662</v>
      </c>
      <c r="P248" s="389" t="str">
        <f t="shared" si="9"/>
        <v>2012Y</v>
      </c>
      <c r="Q248" s="390" t="str">
        <f>[1]!SNLLabel(287,324662,,"&lt;&gt;366","Options:Curr=Reported currency,Mag=MIstandard,ConvMethod=MIrecommended")</f>
        <v>AR: Fraternal</v>
      </c>
      <c r="R248" s="366"/>
      <c r="S248" s="391" t="s">
        <v>29</v>
      </c>
    </row>
    <row r="249" spans="14:19" ht="11.25" customHeight="1" x14ac:dyDescent="0.35">
      <c r="N249" s="388" t="s">
        <v>5459</v>
      </c>
      <c r="O249" s="389">
        <v>324662</v>
      </c>
      <c r="P249" s="389" t="str">
        <f t="shared" si="9"/>
        <v>2012Y</v>
      </c>
      <c r="Q249" s="390" t="str">
        <f>[1]!SNLLabel(287,324662,,"&lt;&gt;367","Options:Curr=Reported currency,Mag=MIstandard,ConvMethod=MIrecommended")</f>
        <v>AR: Other Lines of Business</v>
      </c>
      <c r="R249" s="366"/>
      <c r="S249" s="391" t="s">
        <v>29</v>
      </c>
    </row>
    <row r="250" spans="14:19" ht="11.25" customHeight="1" x14ac:dyDescent="0.35">
      <c r="N250" s="388" t="s">
        <v>5459</v>
      </c>
      <c r="O250" s="389">
        <v>324662</v>
      </c>
      <c r="P250" s="389" t="str">
        <f t="shared" si="9"/>
        <v>2012Y</v>
      </c>
      <c r="Q250" s="390" t="str">
        <f>[1]!SNLLabel(287,324662,,"&lt;&gt;368","Options:Curr=Reported currency,Mag=MIstandard,ConvMethod=MIrecommended")</f>
        <v>AR: YRT Mortality Risk Only</v>
      </c>
      <c r="R250" s="366"/>
      <c r="S250" s="391" t="s">
        <v>29</v>
      </c>
    </row>
    <row r="251" spans="14:19" ht="11.25" customHeight="1" x14ac:dyDescent="0.35">
      <c r="N251" s="388" t="s">
        <v>5459</v>
      </c>
      <c r="O251" s="389">
        <v>324662</v>
      </c>
      <c r="P251" s="389" t="str">
        <f t="shared" si="9"/>
        <v>2012Y</v>
      </c>
      <c r="Q251" s="390" t="str">
        <f>[1]!SNLLabel(287,324662,,"&lt;&gt;369","Options:Curr=Reported currency,Mag=MIstandard,ConvMethod=MIrecommended")</f>
        <v>AR: Individual and Group Life</v>
      </c>
      <c r="R251" s="366"/>
      <c r="S251" s="391" t="s">
        <v>29</v>
      </c>
    </row>
    <row r="252" spans="14:19" ht="11.25" customHeight="1" x14ac:dyDescent="0.35">
      <c r="N252" s="367" t="s">
        <v>5459</v>
      </c>
      <c r="O252" s="368">
        <v>324662</v>
      </c>
      <c r="P252" s="368" t="str">
        <f t="shared" si="9"/>
        <v>2012Y</v>
      </c>
      <c r="Q252" s="369" t="str">
        <f>[1]!SNLLabel(287,324662,,"&lt;&gt;370","Options:Curr=Reported currency,Mag=MIstandard,ConvMethod=MIrecommended")</f>
        <v>AR: Individual and Group Annuities</v>
      </c>
      <c r="R252" s="370"/>
      <c r="S252" s="371" t="s">
        <v>29</v>
      </c>
    </row>
    <row r="253" spans="14:19" ht="11.25" customHeight="1" x14ac:dyDescent="0.35">
      <c r="N253" s="384" t="s">
        <v>5459</v>
      </c>
      <c r="O253" s="385">
        <v>324662</v>
      </c>
      <c r="P253" s="385" t="str">
        <f t="shared" ref="P253:P263" si="10">LEFT(Period,4)-3&amp;"Y"</f>
        <v>2011Y</v>
      </c>
      <c r="Q253" s="386" t="str">
        <f>[1]!SNLLabel(287,324662,,"&lt;&gt;360","Options:Curr=Reported currency,Mag=MIstandard,ConvMethod=MIrecommended")</f>
        <v>AR: Analysis of Operations All Lines</v>
      </c>
      <c r="R253" s="365"/>
      <c r="S253" s="387" t="s">
        <v>29</v>
      </c>
    </row>
    <row r="254" spans="14:19" ht="11.25" customHeight="1" x14ac:dyDescent="0.35">
      <c r="N254" s="388" t="s">
        <v>5459</v>
      </c>
      <c r="O254" s="389">
        <v>324662</v>
      </c>
      <c r="P254" s="389" t="str">
        <f t="shared" si="10"/>
        <v>2011Y</v>
      </c>
      <c r="Q254" s="390" t="str">
        <f>[1]!SNLLabel(287,324662,,"&lt;&gt;361","Options:Curr=Reported currency,Mag=MIstandard,ConvMethod=MIrecommended")</f>
        <v>AR: Individual Life</v>
      </c>
      <c r="R254" s="366"/>
      <c r="S254" s="391" t="s">
        <v>29</v>
      </c>
    </row>
    <row r="255" spans="14:19" ht="11.25" customHeight="1" x14ac:dyDescent="0.35">
      <c r="N255" s="388" t="s">
        <v>5459</v>
      </c>
      <c r="O255" s="389">
        <v>324662</v>
      </c>
      <c r="P255" s="389" t="str">
        <f t="shared" si="10"/>
        <v>2011Y</v>
      </c>
      <c r="Q255" s="390" t="str">
        <f>[1]!SNLLabel(287,324662,,"&lt;&gt;362","Options:Curr=Reported currency,Mag=MIstandard,ConvMethod=MIrecommended")</f>
        <v>AR: Group Life</v>
      </c>
      <c r="R255" s="366"/>
      <c r="S255" s="391" t="s">
        <v>29</v>
      </c>
    </row>
    <row r="256" spans="14:19" ht="11.25" customHeight="1" x14ac:dyDescent="0.35">
      <c r="N256" s="388" t="s">
        <v>5459</v>
      </c>
      <c r="O256" s="389">
        <v>324662</v>
      </c>
      <c r="P256" s="389" t="str">
        <f t="shared" si="10"/>
        <v>2011Y</v>
      </c>
      <c r="Q256" s="390" t="str">
        <f>[1]!SNLLabel(287,324662,,"&lt;&gt;363","Options:Curr=Reported currency,Mag=MIstandard,ConvMethod=MIrecommended")</f>
        <v>AR: Individual Annuities</v>
      </c>
      <c r="R256" s="366"/>
      <c r="S256" s="391" t="s">
        <v>29</v>
      </c>
    </row>
    <row r="257" spans="14:19" ht="11.25" customHeight="1" x14ac:dyDescent="0.35">
      <c r="N257" s="388" t="s">
        <v>5459</v>
      </c>
      <c r="O257" s="389">
        <v>324662</v>
      </c>
      <c r="P257" s="389" t="str">
        <f t="shared" si="10"/>
        <v>2011Y</v>
      </c>
      <c r="Q257" s="390" t="str">
        <f>[1]!SNLLabel(287,324662,,"&lt;&gt;364","Options:Curr=Reported currency,Mag=MIstandard,ConvMethod=MIrecommended")</f>
        <v>AR: Group Annuities</v>
      </c>
      <c r="R257" s="366"/>
      <c r="S257" s="391" t="s">
        <v>29</v>
      </c>
    </row>
    <row r="258" spans="14:19" ht="11.25" customHeight="1" x14ac:dyDescent="0.35">
      <c r="N258" s="388" t="s">
        <v>5459</v>
      </c>
      <c r="O258" s="389">
        <v>324662</v>
      </c>
      <c r="P258" s="389" t="str">
        <f t="shared" si="10"/>
        <v>2011Y</v>
      </c>
      <c r="Q258" s="390" t="str">
        <f>[1]!SNLLabel(287,324662,,"&lt;&gt;365","Options:Curr=Reported currency,Mag=MIstandard,ConvMethod=MIrecommended")</f>
        <v>AR: Accident and Health</v>
      </c>
      <c r="R258" s="366"/>
      <c r="S258" s="391" t="s">
        <v>29</v>
      </c>
    </row>
    <row r="259" spans="14:19" ht="11.25" customHeight="1" x14ac:dyDescent="0.35">
      <c r="N259" s="388" t="s">
        <v>5459</v>
      </c>
      <c r="O259" s="389">
        <v>324662</v>
      </c>
      <c r="P259" s="389" t="str">
        <f t="shared" si="10"/>
        <v>2011Y</v>
      </c>
      <c r="Q259" s="390" t="str">
        <f>[1]!SNLLabel(287,324662,,"&lt;&gt;366","Options:Curr=Reported currency,Mag=MIstandard,ConvMethod=MIrecommended")</f>
        <v>AR: Fraternal</v>
      </c>
      <c r="R259" s="366"/>
      <c r="S259" s="391" t="s">
        <v>29</v>
      </c>
    </row>
    <row r="260" spans="14:19" ht="11.25" customHeight="1" x14ac:dyDescent="0.35">
      <c r="N260" s="388" t="s">
        <v>5459</v>
      </c>
      <c r="O260" s="389">
        <v>324662</v>
      </c>
      <c r="P260" s="389" t="str">
        <f t="shared" si="10"/>
        <v>2011Y</v>
      </c>
      <c r="Q260" s="390" t="str">
        <f>[1]!SNLLabel(287,324662,,"&lt;&gt;367","Options:Curr=Reported currency,Mag=MIstandard,ConvMethod=MIrecommended")</f>
        <v>AR: Other Lines of Business</v>
      </c>
      <c r="R260" s="366"/>
      <c r="S260" s="391" t="s">
        <v>29</v>
      </c>
    </row>
    <row r="261" spans="14:19" ht="11.25" customHeight="1" x14ac:dyDescent="0.35">
      <c r="N261" s="388" t="s">
        <v>5459</v>
      </c>
      <c r="O261" s="389">
        <v>324662</v>
      </c>
      <c r="P261" s="389" t="str">
        <f t="shared" si="10"/>
        <v>2011Y</v>
      </c>
      <c r="Q261" s="390" t="str">
        <f>[1]!SNLLabel(287,324662,,"&lt;&gt;368","Options:Curr=Reported currency,Mag=MIstandard,ConvMethod=MIrecommended")</f>
        <v>AR: YRT Mortality Risk Only</v>
      </c>
      <c r="R261" s="366"/>
      <c r="S261" s="391" t="s">
        <v>29</v>
      </c>
    </row>
    <row r="262" spans="14:19" ht="11.25" customHeight="1" x14ac:dyDescent="0.35">
      <c r="N262" s="388" t="s">
        <v>5459</v>
      </c>
      <c r="O262" s="389">
        <v>324662</v>
      </c>
      <c r="P262" s="389" t="str">
        <f t="shared" si="10"/>
        <v>2011Y</v>
      </c>
      <c r="Q262" s="390" t="str">
        <f>[1]!SNLLabel(287,324662,,"&lt;&gt;369","Options:Curr=Reported currency,Mag=MIstandard,ConvMethod=MIrecommended")</f>
        <v>AR: Individual and Group Life</v>
      </c>
      <c r="R262" s="366"/>
      <c r="S262" s="391" t="s">
        <v>29</v>
      </c>
    </row>
    <row r="263" spans="14:19" ht="11.25" customHeight="1" x14ac:dyDescent="0.35">
      <c r="N263" s="367" t="s">
        <v>5459</v>
      </c>
      <c r="O263" s="368">
        <v>324662</v>
      </c>
      <c r="P263" s="368" t="str">
        <f t="shared" si="10"/>
        <v>2011Y</v>
      </c>
      <c r="Q263" s="369" t="str">
        <f>[1]!SNLLabel(287,324662,,"&lt;&gt;370","Options:Curr=Reported currency,Mag=MIstandard,ConvMethod=MIrecommended")</f>
        <v>AR: Individual and Group Annuities</v>
      </c>
      <c r="R263" s="370"/>
      <c r="S263" s="371" t="s">
        <v>29</v>
      </c>
    </row>
    <row r="264" spans="14:19" ht="11.25" customHeight="1" x14ac:dyDescent="0.35">
      <c r="N264" s="384" t="s">
        <v>5459</v>
      </c>
      <c r="O264" s="385">
        <v>324662</v>
      </c>
      <c r="P264" s="385" t="str">
        <f t="shared" ref="P264:P274" si="11">LEFT(Period,4)-4&amp;"Y"</f>
        <v>2010Y</v>
      </c>
      <c r="Q264" s="386" t="str">
        <f>[1]!SNLLabel(287,324662,,"&lt;&gt;360","Options:Curr=Reported currency,Mag=MIstandard,ConvMethod=MIrecommended")</f>
        <v>AR: Analysis of Operations All Lines</v>
      </c>
      <c r="R264" s="365"/>
      <c r="S264" s="387" t="s">
        <v>29</v>
      </c>
    </row>
    <row r="265" spans="14:19" ht="11.25" customHeight="1" x14ac:dyDescent="0.35">
      <c r="N265" s="388" t="s">
        <v>5459</v>
      </c>
      <c r="O265" s="389">
        <v>324662</v>
      </c>
      <c r="P265" s="389" t="str">
        <f t="shared" si="11"/>
        <v>2010Y</v>
      </c>
      <c r="Q265" s="390" t="str">
        <f>[1]!SNLLabel(287,324662,,"&lt;&gt;361","Options:Curr=Reported currency,Mag=MIstandard,ConvMethod=MIrecommended")</f>
        <v>AR: Individual Life</v>
      </c>
      <c r="R265" s="366"/>
      <c r="S265" s="391" t="s">
        <v>29</v>
      </c>
    </row>
    <row r="266" spans="14:19" ht="11.25" customHeight="1" x14ac:dyDescent="0.35">
      <c r="N266" s="388" t="s">
        <v>5459</v>
      </c>
      <c r="O266" s="389">
        <v>324662</v>
      </c>
      <c r="P266" s="389" t="str">
        <f t="shared" si="11"/>
        <v>2010Y</v>
      </c>
      <c r="Q266" s="390" t="str">
        <f>[1]!SNLLabel(287,324662,,"&lt;&gt;362","Options:Curr=Reported currency,Mag=MIstandard,ConvMethod=MIrecommended")</f>
        <v>AR: Group Life</v>
      </c>
      <c r="R266" s="366"/>
      <c r="S266" s="391" t="s">
        <v>29</v>
      </c>
    </row>
    <row r="267" spans="14:19" ht="11.25" customHeight="1" x14ac:dyDescent="0.35">
      <c r="N267" s="388" t="s">
        <v>5459</v>
      </c>
      <c r="O267" s="389">
        <v>324662</v>
      </c>
      <c r="P267" s="389" t="str">
        <f t="shared" si="11"/>
        <v>2010Y</v>
      </c>
      <c r="Q267" s="390" t="str">
        <f>[1]!SNLLabel(287,324662,,"&lt;&gt;363","Options:Curr=Reported currency,Mag=MIstandard,ConvMethod=MIrecommended")</f>
        <v>AR: Individual Annuities</v>
      </c>
      <c r="R267" s="366"/>
      <c r="S267" s="391" t="s">
        <v>29</v>
      </c>
    </row>
    <row r="268" spans="14:19" ht="11.25" customHeight="1" x14ac:dyDescent="0.35">
      <c r="N268" s="388" t="s">
        <v>5459</v>
      </c>
      <c r="O268" s="389">
        <v>324662</v>
      </c>
      <c r="P268" s="389" t="str">
        <f t="shared" si="11"/>
        <v>2010Y</v>
      </c>
      <c r="Q268" s="390" t="str">
        <f>[1]!SNLLabel(287,324662,,"&lt;&gt;364","Options:Curr=Reported currency,Mag=MIstandard,ConvMethod=MIrecommended")</f>
        <v>AR: Group Annuities</v>
      </c>
      <c r="R268" s="366"/>
      <c r="S268" s="391" t="s">
        <v>29</v>
      </c>
    </row>
    <row r="269" spans="14:19" ht="11.25" customHeight="1" x14ac:dyDescent="0.35">
      <c r="N269" s="388" t="s">
        <v>5459</v>
      </c>
      <c r="O269" s="389">
        <v>324662</v>
      </c>
      <c r="P269" s="389" t="str">
        <f t="shared" si="11"/>
        <v>2010Y</v>
      </c>
      <c r="Q269" s="390" t="str">
        <f>[1]!SNLLabel(287,324662,,"&lt;&gt;365","Options:Curr=Reported currency,Mag=MIstandard,ConvMethod=MIrecommended")</f>
        <v>AR: Accident and Health</v>
      </c>
      <c r="R269" s="366"/>
      <c r="S269" s="391" t="s">
        <v>29</v>
      </c>
    </row>
    <row r="270" spans="14:19" ht="11.25" customHeight="1" x14ac:dyDescent="0.35">
      <c r="N270" s="388" t="s">
        <v>5459</v>
      </c>
      <c r="O270" s="389">
        <v>324662</v>
      </c>
      <c r="P270" s="389" t="str">
        <f t="shared" si="11"/>
        <v>2010Y</v>
      </c>
      <c r="Q270" s="390" t="str">
        <f>[1]!SNLLabel(287,324662,,"&lt;&gt;366","Options:Curr=Reported currency,Mag=MIstandard,ConvMethod=MIrecommended")</f>
        <v>AR: Fraternal</v>
      </c>
      <c r="R270" s="366"/>
      <c r="S270" s="391" t="s">
        <v>29</v>
      </c>
    </row>
    <row r="271" spans="14:19" ht="11.25" customHeight="1" x14ac:dyDescent="0.35">
      <c r="N271" s="388" t="s">
        <v>5459</v>
      </c>
      <c r="O271" s="389">
        <v>324662</v>
      </c>
      <c r="P271" s="389" t="str">
        <f t="shared" si="11"/>
        <v>2010Y</v>
      </c>
      <c r="Q271" s="390" t="str">
        <f>[1]!SNLLabel(287,324662,,"&lt;&gt;367","Options:Curr=Reported currency,Mag=MIstandard,ConvMethod=MIrecommended")</f>
        <v>AR: Other Lines of Business</v>
      </c>
      <c r="R271" s="366"/>
      <c r="S271" s="391" t="s">
        <v>29</v>
      </c>
    </row>
    <row r="272" spans="14:19" ht="11.25" customHeight="1" x14ac:dyDescent="0.35">
      <c r="N272" s="388" t="s">
        <v>5459</v>
      </c>
      <c r="O272" s="389">
        <v>324662</v>
      </c>
      <c r="P272" s="389" t="str">
        <f t="shared" si="11"/>
        <v>2010Y</v>
      </c>
      <c r="Q272" s="390" t="str">
        <f>[1]!SNLLabel(287,324662,,"&lt;&gt;368","Options:Curr=Reported currency,Mag=MIstandard,ConvMethod=MIrecommended")</f>
        <v>AR: YRT Mortality Risk Only</v>
      </c>
      <c r="R272" s="366"/>
      <c r="S272" s="391" t="s">
        <v>29</v>
      </c>
    </row>
    <row r="273" spans="14:19" ht="11.25" customHeight="1" x14ac:dyDescent="0.35">
      <c r="N273" s="388" t="s">
        <v>5459</v>
      </c>
      <c r="O273" s="389">
        <v>324662</v>
      </c>
      <c r="P273" s="389" t="str">
        <f t="shared" si="11"/>
        <v>2010Y</v>
      </c>
      <c r="Q273" s="390" t="str">
        <f>[1]!SNLLabel(287,324662,,"&lt;&gt;369","Options:Curr=Reported currency,Mag=MIstandard,ConvMethod=MIrecommended")</f>
        <v>AR: Individual and Group Life</v>
      </c>
      <c r="R273" s="366"/>
      <c r="S273" s="391" t="s">
        <v>29</v>
      </c>
    </row>
    <row r="274" spans="14:19" ht="11.25" customHeight="1" x14ac:dyDescent="0.35">
      <c r="N274" s="367" t="s">
        <v>5459</v>
      </c>
      <c r="O274" s="368">
        <v>324662</v>
      </c>
      <c r="P274" s="368" t="str">
        <f t="shared" si="11"/>
        <v>2010Y</v>
      </c>
      <c r="Q274" s="369" t="str">
        <f>[1]!SNLLabel(287,324662,,"&lt;&gt;370","Options:Curr=Reported currency,Mag=MIstandard,ConvMethod=MIrecommended")</f>
        <v>AR: Individual and Group Annuities</v>
      </c>
      <c r="R274" s="370"/>
      <c r="S274" s="371" t="s">
        <v>29</v>
      </c>
    </row>
  </sheetData>
  <mergeCells count="1">
    <mergeCell ref="I1:J1"/>
  </mergeCells>
  <hyperlinks>
    <hyperlink ref="I1" location="Instructions!A1" display="Instructions" xr:uid="{00000000-0004-0000-0300-000000000000}"/>
    <hyperlink ref="I1:J1" location="Instructions!A1" tooltip="Go back to Instructions tab." display="Instructions" xr:uid="{00000000-0004-0000-0300-000001000000}"/>
  </hyperlinks>
  <pageMargins left="0.5" right="0.5" top="0.5" bottom="0.5" header="0.5" footer="0.5"/>
  <pageSetup scale="80" orientation="portrait" horizontalDpi="90" verticalDpi="90" r:id="rId1"/>
  <headerFooter alignWithMargins="0"/>
  <rowBreaks count="1" manualBreakCount="1">
    <brk id="116"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1:J71"/>
  <sheetViews>
    <sheetView showGridLines="0" topLeftCell="A5"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4947</v>
      </c>
      <c r="C3" s="241"/>
      <c r="D3" s="241"/>
      <c r="E3" s="241"/>
      <c r="F3" s="241"/>
      <c r="G3" s="241"/>
      <c r="H3" s="241"/>
    </row>
    <row r="4" spans="2:10" ht="11.25" customHeight="1" x14ac:dyDescent="0.35">
      <c r="B4" s="277" t="s">
        <v>5363</v>
      </c>
      <c r="C4" s="264"/>
      <c r="D4" s="264"/>
      <c r="E4" s="264"/>
      <c r="F4" s="264"/>
      <c r="G4" s="264"/>
      <c r="H4" s="264"/>
    </row>
    <row r="5" spans="2:10" ht="11.25" customHeight="1" x14ac:dyDescent="0.35">
      <c r="B5" s="236"/>
      <c r="C5" s="237"/>
    </row>
    <row r="6" spans="2:10" ht="11.25" hidden="1" customHeight="1" outlineLevel="1" x14ac:dyDescent="0.35">
      <c r="B6" s="254" t="str">
        <f ca="1">[1]!snltable(287,$D$6:$H$6,$C$10:$C$70,$D$7:$H$7,"NA","Options:Curr=USD,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x14ac:dyDescent="0.35">
      <c r="B8" s="261"/>
      <c r="C8" s="262"/>
      <c r="D8" s="241"/>
      <c r="E8" s="241"/>
      <c r="F8" s="241"/>
      <c r="G8" s="241"/>
      <c r="H8" s="263"/>
    </row>
    <row r="9" spans="2:10" ht="11.25" customHeight="1" collapsed="1" x14ac:dyDescent="0.35">
      <c r="B9" s="273" t="s">
        <v>5353</v>
      </c>
      <c r="C9" s="274"/>
      <c r="D9" s="275" t="str">
        <f>D7</f>
        <v>2010Y</v>
      </c>
      <c r="E9" s="275" t="str">
        <f t="shared" ref="E9:H9" si="1">E7</f>
        <v>2011Y</v>
      </c>
      <c r="F9" s="275" t="str">
        <f t="shared" si="1"/>
        <v>2012Y</v>
      </c>
      <c r="G9" s="275" t="str">
        <f t="shared" si="1"/>
        <v>2013Y</v>
      </c>
      <c r="H9" s="275" t="str">
        <f t="shared" si="1"/>
        <v>2014Y</v>
      </c>
    </row>
    <row r="10" spans="2:10" ht="11.25" customHeight="1" x14ac:dyDescent="0.4">
      <c r="B10" s="246" t="s">
        <v>4945</v>
      </c>
      <c r="C10" s="308">
        <v>202219</v>
      </c>
      <c r="D10" s="309">
        <v>40543</v>
      </c>
      <c r="E10" s="309">
        <v>40908</v>
      </c>
      <c r="F10" s="309">
        <v>41274</v>
      </c>
      <c r="G10" s="309">
        <v>41639</v>
      </c>
      <c r="H10" s="309">
        <v>42004</v>
      </c>
      <c r="I10" s="310"/>
    </row>
    <row r="11" spans="2:10" ht="11.25" customHeight="1" x14ac:dyDescent="0.35">
      <c r="B11" s="244" t="s">
        <v>4946</v>
      </c>
      <c r="C11" s="247"/>
      <c r="D11" s="248"/>
      <c r="E11" s="248"/>
      <c r="F11" s="248"/>
      <c r="G11" s="248"/>
      <c r="H11" s="248"/>
    </row>
    <row r="12" spans="2:10" ht="11.25" customHeight="1" x14ac:dyDescent="0.35">
      <c r="B12" s="246" t="s">
        <v>5058</v>
      </c>
      <c r="C12" s="247"/>
      <c r="D12" s="248"/>
      <c r="E12" s="248"/>
      <c r="F12" s="248"/>
      <c r="G12" s="248"/>
      <c r="H12" s="248"/>
    </row>
    <row r="13" spans="2:10" ht="11.25" customHeight="1" x14ac:dyDescent="0.35">
      <c r="B13" s="246" t="s">
        <v>5057</v>
      </c>
      <c r="C13" s="247"/>
      <c r="D13" s="248"/>
      <c r="E13" s="248"/>
      <c r="F13" s="248"/>
      <c r="G13" s="248"/>
      <c r="H13" s="248"/>
    </row>
    <row r="14" spans="2:10" ht="11.25" customHeight="1" x14ac:dyDescent="0.35">
      <c r="B14" s="244" t="s">
        <v>5027</v>
      </c>
      <c r="C14" s="245">
        <v>122983</v>
      </c>
      <c r="D14" s="279">
        <v>2422318326.8309999</v>
      </c>
      <c r="E14" s="279">
        <v>2531868839.881</v>
      </c>
      <c r="F14" s="279">
        <v>2543198495.881</v>
      </c>
      <c r="G14" s="279">
        <v>2601090384.8990002</v>
      </c>
      <c r="H14" s="279">
        <v>2684875689.744</v>
      </c>
    </row>
    <row r="15" spans="2:10" ht="11.25" customHeight="1" x14ac:dyDescent="0.35">
      <c r="B15" s="244" t="s">
        <v>5026</v>
      </c>
      <c r="C15" s="245">
        <v>122984</v>
      </c>
      <c r="D15" s="279">
        <v>9116405.938000001</v>
      </c>
      <c r="E15" s="279">
        <v>8082048.7480000006</v>
      </c>
      <c r="F15" s="279">
        <v>7781707.7209999999</v>
      </c>
      <c r="G15" s="279">
        <v>8259459.3440000005</v>
      </c>
      <c r="H15" s="279">
        <v>9140252.2609999999</v>
      </c>
    </row>
    <row r="16" spans="2:10" ht="11.25" customHeight="1" x14ac:dyDescent="0.35">
      <c r="B16" s="244" t="s">
        <v>5025</v>
      </c>
      <c r="C16" s="245">
        <v>122985</v>
      </c>
      <c r="D16" s="279">
        <v>68737146.656871006</v>
      </c>
      <c r="E16" s="279">
        <v>70349507.490456</v>
      </c>
      <c r="F16" s="279">
        <v>70327976.037127703</v>
      </c>
      <c r="G16" s="279">
        <v>72363507.580659002</v>
      </c>
      <c r="H16" s="279">
        <v>76868066.723674998</v>
      </c>
    </row>
    <row r="17" spans="2:8" ht="11.25" customHeight="1" x14ac:dyDescent="0.35">
      <c r="B17" s="244" t="s">
        <v>5024</v>
      </c>
      <c r="C17" s="245">
        <v>122986</v>
      </c>
      <c r="D17" s="279">
        <v>307367978.33200002</v>
      </c>
      <c r="E17" s="279">
        <v>323074554.05199999</v>
      </c>
      <c r="F17" s="279">
        <v>335592214.53000003</v>
      </c>
      <c r="G17" s="279">
        <v>353149725.051</v>
      </c>
      <c r="H17" s="279">
        <v>373011956.37800002</v>
      </c>
    </row>
    <row r="18" spans="2:8" ht="11.25" customHeight="1" x14ac:dyDescent="0.35">
      <c r="B18" s="244" t="s">
        <v>5056</v>
      </c>
      <c r="C18" s="245">
        <v>122987</v>
      </c>
      <c r="D18" s="279">
        <v>19673625.877</v>
      </c>
      <c r="E18" s="279">
        <v>20575707.423999999</v>
      </c>
      <c r="F18" s="279">
        <v>21368672.026000001</v>
      </c>
      <c r="G18" s="279">
        <v>22352316.039000001</v>
      </c>
      <c r="H18" s="279">
        <v>21885036.905000001</v>
      </c>
    </row>
    <row r="19" spans="2:8" ht="11.25" customHeight="1" x14ac:dyDescent="0.35">
      <c r="B19" s="244" t="s">
        <v>5055</v>
      </c>
      <c r="C19" s="245">
        <v>122988</v>
      </c>
      <c r="D19" s="279">
        <v>123487534.96000001</v>
      </c>
      <c r="E19" s="279">
        <v>125975878.285</v>
      </c>
      <c r="F19" s="279">
        <v>127479839.596</v>
      </c>
      <c r="G19" s="279">
        <v>128437795.83</v>
      </c>
      <c r="H19" s="279">
        <v>130133920.627</v>
      </c>
    </row>
    <row r="20" spans="2:8" ht="11.25" customHeight="1" x14ac:dyDescent="0.35">
      <c r="B20" s="244" t="s">
        <v>5054</v>
      </c>
      <c r="C20" s="245">
        <v>226070</v>
      </c>
      <c r="D20" s="279">
        <v>21575962.694000002</v>
      </c>
      <c r="E20" s="279">
        <v>44356615.747000001</v>
      </c>
      <c r="F20" s="279">
        <v>41576587.825999998</v>
      </c>
      <c r="G20" s="279">
        <v>37806863.725000001</v>
      </c>
      <c r="H20" s="279">
        <v>56487931.876000002</v>
      </c>
    </row>
    <row r="21" spans="2:8" ht="11.25" customHeight="1" x14ac:dyDescent="0.35">
      <c r="B21" s="244" t="s">
        <v>5023</v>
      </c>
      <c r="C21" s="245">
        <v>122989</v>
      </c>
      <c r="D21" s="279">
        <v>94975185.855000004</v>
      </c>
      <c r="E21" s="279">
        <v>96437548.504000008</v>
      </c>
      <c r="F21" s="279">
        <v>106682537.77</v>
      </c>
      <c r="G21" s="279">
        <v>94765000.976999998</v>
      </c>
      <c r="H21" s="279">
        <v>99992962.348000005</v>
      </c>
    </row>
    <row r="22" spans="2:8" ht="11.25" customHeight="1" x14ac:dyDescent="0.35">
      <c r="B22" s="244" t="s">
        <v>5053</v>
      </c>
      <c r="C22" s="245">
        <v>122990</v>
      </c>
      <c r="D22" s="279">
        <v>128942958.317</v>
      </c>
      <c r="E22" s="279">
        <v>139814493.90000001</v>
      </c>
      <c r="F22" s="279">
        <v>149284625.61399999</v>
      </c>
      <c r="G22" s="279">
        <v>164113414.62400001</v>
      </c>
      <c r="H22" s="279">
        <v>179173219.71400002</v>
      </c>
    </row>
    <row r="23" spans="2:8" ht="11.25" customHeight="1" x14ac:dyDescent="0.35">
      <c r="B23" s="246" t="s">
        <v>5052</v>
      </c>
      <c r="C23" s="245">
        <v>122991</v>
      </c>
      <c r="D23" s="279">
        <v>3196195125.4608703</v>
      </c>
      <c r="E23" s="279">
        <v>3360535194.0314598</v>
      </c>
      <c r="F23" s="279">
        <v>3403292657.0011301</v>
      </c>
      <c r="G23" s="279">
        <v>3482338468.0696602</v>
      </c>
      <c r="H23" s="279">
        <v>3631569036.5766702</v>
      </c>
    </row>
    <row r="24" spans="2:8" ht="11.25" customHeight="1" x14ac:dyDescent="0.35">
      <c r="B24" s="244" t="s">
        <v>5051</v>
      </c>
      <c r="C24" s="245">
        <v>122992</v>
      </c>
      <c r="D24" s="279">
        <v>24559063.351</v>
      </c>
      <c r="E24" s="279">
        <v>24320683.213</v>
      </c>
      <c r="F24" s="279">
        <v>24501960.175999999</v>
      </c>
      <c r="G24" s="279">
        <v>27507962.354000002</v>
      </c>
      <c r="H24" s="279">
        <v>29070086.674000002</v>
      </c>
    </row>
    <row r="25" spans="2:8" ht="11.25" customHeight="1" x14ac:dyDescent="0.35">
      <c r="B25" s="244" t="s">
        <v>5050</v>
      </c>
      <c r="C25" s="245">
        <v>122993</v>
      </c>
      <c r="D25" s="279">
        <v>30287036.243000001</v>
      </c>
      <c r="E25" s="279">
        <v>38930118.160999998</v>
      </c>
      <c r="F25" s="279">
        <v>49274883.137000002</v>
      </c>
      <c r="G25" s="279">
        <v>50126213.524000004</v>
      </c>
      <c r="H25" s="279">
        <v>52716174.605999999</v>
      </c>
    </row>
    <row r="26" spans="2:8" ht="11.25" customHeight="1" x14ac:dyDescent="0.35">
      <c r="B26" s="244" t="s">
        <v>5049</v>
      </c>
      <c r="C26" s="245">
        <v>122994</v>
      </c>
      <c r="D26" s="279">
        <v>6102377.9220000003</v>
      </c>
      <c r="E26" s="279">
        <v>6904147.7209999999</v>
      </c>
      <c r="F26" s="279">
        <v>7155833.0660000006</v>
      </c>
      <c r="G26" s="279">
        <v>6433722.7690000003</v>
      </c>
      <c r="H26" s="279">
        <v>9110979.8550000004</v>
      </c>
    </row>
    <row r="27" spans="2:8" ht="11.25" customHeight="1" x14ac:dyDescent="0.35">
      <c r="B27" s="244" t="s">
        <v>5048</v>
      </c>
      <c r="C27" s="245">
        <v>123510</v>
      </c>
      <c r="D27" s="279">
        <v>99357877.164000005</v>
      </c>
      <c r="E27" s="279">
        <v>103680465.59100001</v>
      </c>
      <c r="F27" s="279">
        <v>103527959.59328</v>
      </c>
      <c r="G27" s="279">
        <v>109509488.89072001</v>
      </c>
      <c r="H27" s="279">
        <v>113512624.573</v>
      </c>
    </row>
    <row r="28" spans="2:8" ht="11.25" customHeight="1" x14ac:dyDescent="0.35">
      <c r="B28" s="244" t="s">
        <v>5047</v>
      </c>
      <c r="C28" s="245">
        <v>123511</v>
      </c>
      <c r="D28" s="279">
        <v>3356501480.1408701</v>
      </c>
      <c r="E28" s="279">
        <v>3534370608.7174602</v>
      </c>
      <c r="F28" s="279">
        <v>3587753292.9734101</v>
      </c>
      <c r="G28" s="279">
        <v>3675915855.6073799</v>
      </c>
      <c r="H28" s="279">
        <v>3835978902.2846699</v>
      </c>
    </row>
    <row r="29" spans="2:8" ht="11.25" customHeight="1" x14ac:dyDescent="0.35">
      <c r="B29" s="244" t="s">
        <v>4949</v>
      </c>
      <c r="C29" s="245">
        <v>123512</v>
      </c>
      <c r="D29" s="279">
        <v>1840184325.3770001</v>
      </c>
      <c r="E29" s="279">
        <v>1835601856.931</v>
      </c>
      <c r="F29" s="279">
        <v>2053198272.325</v>
      </c>
      <c r="G29" s="279">
        <v>2328903142.9200001</v>
      </c>
      <c r="H29" s="279">
        <v>2423541834.993</v>
      </c>
    </row>
    <row r="30" spans="2:8" ht="11.25" customHeight="1" x14ac:dyDescent="0.35">
      <c r="B30" s="246" t="s">
        <v>4935</v>
      </c>
      <c r="C30" s="245">
        <v>122996</v>
      </c>
      <c r="D30" s="279">
        <v>5196688720.1468706</v>
      </c>
      <c r="E30" s="279">
        <v>5369975369.6004601</v>
      </c>
      <c r="F30" s="279">
        <v>5640951565.2958298</v>
      </c>
      <c r="G30" s="279">
        <v>6004818998.5240402</v>
      </c>
      <c r="H30" s="279">
        <v>6259520737.28267</v>
      </c>
    </row>
    <row r="31" spans="2:8" ht="11.25" customHeight="1" x14ac:dyDescent="0.35">
      <c r="B31" s="244" t="s">
        <v>4946</v>
      </c>
      <c r="C31" s="247"/>
      <c r="D31" s="248"/>
      <c r="E31" s="248"/>
      <c r="F31" s="248"/>
      <c r="G31" s="248"/>
      <c r="H31" s="248"/>
    </row>
    <row r="32" spans="2:8" ht="11.25" customHeight="1" x14ac:dyDescent="0.35">
      <c r="B32" s="246" t="s">
        <v>5046</v>
      </c>
      <c r="C32" s="247"/>
      <c r="D32" s="248"/>
      <c r="E32" s="248"/>
      <c r="F32" s="248"/>
      <c r="G32" s="248"/>
      <c r="H32" s="248"/>
    </row>
    <row r="33" spans="2:8" ht="11.25" customHeight="1" x14ac:dyDescent="0.35">
      <c r="B33" s="244" t="s">
        <v>4951</v>
      </c>
      <c r="C33" s="245">
        <v>123514</v>
      </c>
      <c r="D33" s="279">
        <v>2191699559.237</v>
      </c>
      <c r="E33" s="279">
        <v>2313636450.4640002</v>
      </c>
      <c r="F33" s="279">
        <v>2305692178.4510002</v>
      </c>
      <c r="G33" s="279">
        <v>2375623947.0174599</v>
      </c>
      <c r="H33" s="279">
        <v>2467613614.0929999</v>
      </c>
    </row>
    <row r="34" spans="2:8" ht="11.25" customHeight="1" x14ac:dyDescent="0.35">
      <c r="B34" s="244" t="s">
        <v>4952</v>
      </c>
      <c r="C34" s="245">
        <v>123515</v>
      </c>
      <c r="D34" s="279">
        <v>206860187.17700002</v>
      </c>
      <c r="E34" s="279">
        <v>222224539.92300001</v>
      </c>
      <c r="F34" s="279">
        <v>219108146.34694001</v>
      </c>
      <c r="G34" s="279">
        <v>218819908.98232999</v>
      </c>
      <c r="H34" s="279">
        <v>223486028.88100001</v>
      </c>
    </row>
    <row r="35" spans="2:8" ht="11.25" customHeight="1" x14ac:dyDescent="0.35">
      <c r="B35" s="244" t="s">
        <v>5045</v>
      </c>
      <c r="C35" s="245">
        <v>123516</v>
      </c>
      <c r="D35" s="279">
        <v>273171732.94800001</v>
      </c>
      <c r="E35" s="279">
        <v>266873753.898</v>
      </c>
      <c r="F35" s="279">
        <v>270573876.63499999</v>
      </c>
      <c r="G35" s="279">
        <v>264312909.009</v>
      </c>
      <c r="H35" s="279">
        <v>267690525.46599999</v>
      </c>
    </row>
    <row r="36" spans="2:8" ht="11.25" customHeight="1" x14ac:dyDescent="0.35">
      <c r="B36" s="244" t="s">
        <v>5044</v>
      </c>
      <c r="C36" s="245">
        <v>123517</v>
      </c>
      <c r="D36" s="279">
        <v>2671731479.362</v>
      </c>
      <c r="E36" s="279">
        <v>2802734744.2849998</v>
      </c>
      <c r="F36" s="279">
        <v>2795374201.43294</v>
      </c>
      <c r="G36" s="279">
        <v>2858756765.00879</v>
      </c>
      <c r="H36" s="279">
        <v>2958790168.4400001</v>
      </c>
    </row>
    <row r="37" spans="2:8" ht="11.25" customHeight="1" x14ac:dyDescent="0.35">
      <c r="B37" s="244" t="s">
        <v>4946</v>
      </c>
      <c r="C37" s="247"/>
      <c r="D37" s="279"/>
      <c r="E37" s="279"/>
      <c r="F37" s="279"/>
      <c r="G37" s="279"/>
      <c r="H37" s="279"/>
    </row>
    <row r="38" spans="2:8" ht="11.25" customHeight="1" x14ac:dyDescent="0.35">
      <c r="B38" s="244" t="s">
        <v>5043</v>
      </c>
      <c r="C38" s="245">
        <v>123518</v>
      </c>
      <c r="D38" s="279">
        <v>40141485.783</v>
      </c>
      <c r="E38" s="279">
        <v>41576550.838</v>
      </c>
      <c r="F38" s="279">
        <v>41109442.662</v>
      </c>
      <c r="G38" s="279">
        <v>41207383.998999998</v>
      </c>
      <c r="H38" s="279">
        <v>42881226.583999999</v>
      </c>
    </row>
    <row r="39" spans="2:8" ht="11.25" customHeight="1" x14ac:dyDescent="0.35">
      <c r="B39" s="244" t="s">
        <v>4954</v>
      </c>
      <c r="C39" s="245">
        <v>123519</v>
      </c>
      <c r="D39" s="279">
        <v>15441834.192</v>
      </c>
      <c r="E39" s="279">
        <v>20329454.120999999</v>
      </c>
      <c r="F39" s="279">
        <v>25174986.833000001</v>
      </c>
      <c r="G39" s="279">
        <v>25967411.989</v>
      </c>
      <c r="H39" s="279">
        <v>26474272.517999999</v>
      </c>
    </row>
    <row r="40" spans="2:8" ht="11.25" customHeight="1" x14ac:dyDescent="0.35">
      <c r="B40" s="244" t="s">
        <v>4955</v>
      </c>
      <c r="C40" s="245">
        <v>123520</v>
      </c>
      <c r="D40" s="279">
        <v>29913275.205000002</v>
      </c>
      <c r="E40" s="279">
        <v>37872751.976000004</v>
      </c>
      <c r="F40" s="279">
        <v>43074503.685819998</v>
      </c>
      <c r="G40" s="279">
        <v>46547970.941555999</v>
      </c>
      <c r="H40" s="279">
        <v>51038494.180600002</v>
      </c>
    </row>
    <row r="41" spans="2:8" ht="11.25" customHeight="1" x14ac:dyDescent="0.35">
      <c r="B41" s="244" t="s">
        <v>5042</v>
      </c>
      <c r="C41" s="245">
        <v>123521</v>
      </c>
      <c r="D41" s="279">
        <v>117880774.705</v>
      </c>
      <c r="E41" s="279">
        <v>123433094.412</v>
      </c>
      <c r="F41" s="279">
        <v>140095666.86300001</v>
      </c>
      <c r="G41" s="279">
        <v>143033463.523</v>
      </c>
      <c r="H41" s="279">
        <v>153894194.81200001</v>
      </c>
    </row>
    <row r="42" spans="2:8" ht="11.25" customHeight="1" x14ac:dyDescent="0.35">
      <c r="B42" s="244" t="s">
        <v>5041</v>
      </c>
      <c r="C42" s="245">
        <v>123522</v>
      </c>
      <c r="D42" s="279">
        <v>19558718.443</v>
      </c>
      <c r="E42" s="279">
        <v>21084804.105</v>
      </c>
      <c r="F42" s="279">
        <v>21344329.427999999</v>
      </c>
      <c r="G42" s="279">
        <v>21934441.379000001</v>
      </c>
      <c r="H42" s="279">
        <v>23363523.521000002</v>
      </c>
    </row>
    <row r="43" spans="2:8" ht="11.25" customHeight="1" x14ac:dyDescent="0.35">
      <c r="B43" s="244" t="s">
        <v>5040</v>
      </c>
      <c r="C43" s="245">
        <v>123003</v>
      </c>
      <c r="D43" s="279">
        <v>7434062.449</v>
      </c>
      <c r="E43" s="279">
        <v>7543401.2800000003</v>
      </c>
      <c r="F43" s="279">
        <v>6794839.0460000001</v>
      </c>
      <c r="G43" s="279">
        <v>7978077.4790000003</v>
      </c>
      <c r="H43" s="279">
        <v>8458207.3120000008</v>
      </c>
    </row>
    <row r="44" spans="2:8" ht="11.25" customHeight="1" x14ac:dyDescent="0.35">
      <c r="B44" s="244" t="s">
        <v>5039</v>
      </c>
      <c r="C44" s="245">
        <v>226071</v>
      </c>
      <c r="D44" s="279">
        <v>12487655.936000001</v>
      </c>
      <c r="E44" s="279">
        <v>16711306.181</v>
      </c>
      <c r="F44" s="279">
        <v>19127252.265999999</v>
      </c>
      <c r="G44" s="279">
        <v>32075145.482000001</v>
      </c>
      <c r="H44" s="279">
        <v>32559452.976</v>
      </c>
    </row>
    <row r="45" spans="2:8" ht="11.25" customHeight="1" x14ac:dyDescent="0.35">
      <c r="B45" s="244" t="s">
        <v>5038</v>
      </c>
      <c r="C45" s="245">
        <v>123524</v>
      </c>
      <c r="D45" s="279">
        <v>2807757423.7189999</v>
      </c>
      <c r="E45" s="279">
        <v>2957320184.1620002</v>
      </c>
      <c r="F45" s="279">
        <v>2966734486.3417201</v>
      </c>
      <c r="G45" s="279">
        <v>3027118560.5087004</v>
      </c>
      <c r="H45" s="279">
        <v>3145510897.9322004</v>
      </c>
    </row>
    <row r="46" spans="2:8" ht="11.25" customHeight="1" x14ac:dyDescent="0.35">
      <c r="B46" s="246" t="s">
        <v>5037</v>
      </c>
      <c r="C46" s="245">
        <v>123525</v>
      </c>
      <c r="D46" s="279">
        <v>3050615230.4320002</v>
      </c>
      <c r="E46" s="279">
        <v>3225871547.0750003</v>
      </c>
      <c r="F46" s="279">
        <v>3263455507.1255403</v>
      </c>
      <c r="G46" s="279">
        <v>3345862455.30126</v>
      </c>
      <c r="H46" s="279">
        <v>3484180269.8357997</v>
      </c>
    </row>
    <row r="47" spans="2:8" ht="11.25" customHeight="1" x14ac:dyDescent="0.35">
      <c r="B47" s="246" t="s">
        <v>5036</v>
      </c>
      <c r="C47" s="245">
        <v>123526</v>
      </c>
      <c r="D47" s="279">
        <v>1836623651.434</v>
      </c>
      <c r="E47" s="279">
        <v>1831857620.849</v>
      </c>
      <c r="F47" s="279">
        <v>2050753862.701</v>
      </c>
      <c r="G47" s="279">
        <v>2326966275.1989999</v>
      </c>
      <c r="H47" s="279">
        <v>2421310268.3930001</v>
      </c>
    </row>
    <row r="48" spans="2:8" ht="11.25" customHeight="1" x14ac:dyDescent="0.35">
      <c r="B48" s="246" t="s">
        <v>5035</v>
      </c>
      <c r="C48" s="245">
        <v>123005</v>
      </c>
      <c r="D48" s="279">
        <v>4887363197.2670002</v>
      </c>
      <c r="E48" s="279">
        <v>5057832964.4219999</v>
      </c>
      <c r="F48" s="279">
        <v>5314351080.4709997</v>
      </c>
      <c r="G48" s="279">
        <v>5672901069.3150005</v>
      </c>
      <c r="H48" s="279">
        <v>5905552181.6070004</v>
      </c>
    </row>
    <row r="49" spans="2:8" ht="11.25" customHeight="1" x14ac:dyDescent="0.35">
      <c r="B49" s="244" t="s">
        <v>4946</v>
      </c>
      <c r="C49" s="247"/>
      <c r="D49" s="248"/>
      <c r="E49" s="248"/>
      <c r="F49" s="248"/>
      <c r="G49" s="248"/>
      <c r="H49" s="248"/>
    </row>
    <row r="50" spans="2:8" ht="11.25" customHeight="1" x14ac:dyDescent="0.35">
      <c r="B50" s="246" t="s">
        <v>4958</v>
      </c>
      <c r="C50" s="247"/>
      <c r="D50" s="248"/>
      <c r="E50" s="248"/>
      <c r="F50" s="248"/>
      <c r="G50" s="248"/>
      <c r="H50" s="248"/>
    </row>
    <row r="51" spans="2:8" ht="11.25" customHeight="1" x14ac:dyDescent="0.35">
      <c r="B51" s="244" t="s">
        <v>5034</v>
      </c>
      <c r="C51" s="245">
        <v>123006</v>
      </c>
      <c r="D51" s="279">
        <v>2545249.2373449998</v>
      </c>
      <c r="E51" s="279">
        <v>2523151.8033449999</v>
      </c>
      <c r="F51" s="279">
        <v>2495130.9753449997</v>
      </c>
      <c r="G51" s="279">
        <v>2517237.5003450001</v>
      </c>
      <c r="H51" s="279">
        <v>2486155.5420949999</v>
      </c>
    </row>
    <row r="52" spans="2:8" ht="11.25" customHeight="1" x14ac:dyDescent="0.35">
      <c r="B52" s="244" t="s">
        <v>5033</v>
      </c>
      <c r="C52" s="245">
        <v>123007</v>
      </c>
      <c r="D52" s="279">
        <v>182762.65100000001</v>
      </c>
      <c r="E52" s="279">
        <v>185093.742</v>
      </c>
      <c r="F52" s="279">
        <v>184733.71100000001</v>
      </c>
      <c r="G52" s="279">
        <v>184116.91</v>
      </c>
      <c r="H52" s="279">
        <v>184100.11000000002</v>
      </c>
    </row>
    <row r="53" spans="2:8" ht="11.25" customHeight="1" x14ac:dyDescent="0.35">
      <c r="B53" s="244" t="s">
        <v>4957</v>
      </c>
      <c r="C53" s="245">
        <v>123008</v>
      </c>
      <c r="D53" s="279">
        <v>32051187.810000002</v>
      </c>
      <c r="E53" s="279">
        <v>31281382.943</v>
      </c>
      <c r="F53" s="279">
        <v>28814999.603</v>
      </c>
      <c r="G53" s="279">
        <v>28694618.332000002</v>
      </c>
      <c r="H53" s="279">
        <v>30678880.892999999</v>
      </c>
    </row>
    <row r="54" spans="2:8" ht="11.25" customHeight="1" x14ac:dyDescent="0.35">
      <c r="B54" s="244" t="s">
        <v>5032</v>
      </c>
      <c r="C54" s="245">
        <v>123009</v>
      </c>
      <c r="D54" s="279">
        <v>102634612.949746</v>
      </c>
      <c r="E54" s="279">
        <v>102668094.398128</v>
      </c>
      <c r="F54" s="279">
        <v>125632992.94392599</v>
      </c>
      <c r="G54" s="279">
        <v>139742029.66659799</v>
      </c>
      <c r="H54" s="279">
        <v>161314501.20962501</v>
      </c>
    </row>
    <row r="55" spans="2:8" ht="11.25" customHeight="1" x14ac:dyDescent="0.35">
      <c r="B55" s="244" t="s">
        <v>5031</v>
      </c>
      <c r="C55" s="245">
        <v>123961</v>
      </c>
      <c r="D55" s="279">
        <v>169016425.40178001</v>
      </c>
      <c r="E55" s="279">
        <v>173715274.109983</v>
      </c>
      <c r="F55" s="279">
        <v>169519416.05785701</v>
      </c>
      <c r="G55" s="279">
        <v>160844053.315716</v>
      </c>
      <c r="H55" s="279">
        <v>159304958.89695498</v>
      </c>
    </row>
    <row r="56" spans="2:8" ht="11.25" customHeight="1" x14ac:dyDescent="0.35">
      <c r="B56" s="244" t="s">
        <v>5030</v>
      </c>
      <c r="C56" s="245">
        <v>123011</v>
      </c>
      <c r="D56" s="279">
        <v>306430238.04987097</v>
      </c>
      <c r="E56" s="279">
        <v>310372996.99645603</v>
      </c>
      <c r="F56" s="279">
        <v>326647273.29112798</v>
      </c>
      <c r="G56" s="279">
        <v>331982055.72465903</v>
      </c>
      <c r="H56" s="279">
        <v>353968596.65167499</v>
      </c>
    </row>
    <row r="57" spans="2:8" ht="11.25" customHeight="1" x14ac:dyDescent="0.35">
      <c r="B57" s="244" t="s">
        <v>4946</v>
      </c>
      <c r="C57" s="247"/>
      <c r="D57" s="279"/>
      <c r="E57" s="279"/>
      <c r="F57" s="279"/>
      <c r="G57" s="279"/>
      <c r="H57" s="279"/>
    </row>
    <row r="58" spans="2:8" ht="11.25" customHeight="1" x14ac:dyDescent="0.35">
      <c r="B58" s="246" t="s">
        <v>5029</v>
      </c>
      <c r="C58" s="245">
        <v>123012</v>
      </c>
      <c r="D58" s="279">
        <v>5196688719.3468704</v>
      </c>
      <c r="E58" s="279">
        <v>5369975369.4464598</v>
      </c>
      <c r="F58" s="279">
        <v>5640951564.9771299</v>
      </c>
      <c r="G58" s="279">
        <v>6004818998.5516605</v>
      </c>
      <c r="H58" s="279">
        <v>6259520738.0636702</v>
      </c>
    </row>
    <row r="59" spans="2:8" ht="11.25" customHeight="1" x14ac:dyDescent="0.35">
      <c r="B59" s="244" t="s">
        <v>4946</v>
      </c>
      <c r="C59" s="247"/>
      <c r="D59" s="248"/>
      <c r="E59" s="248"/>
      <c r="F59" s="248"/>
      <c r="G59" s="248"/>
      <c r="H59" s="248"/>
    </row>
    <row r="60" spans="2:8" ht="11.25" customHeight="1" x14ac:dyDescent="0.35">
      <c r="B60" s="246" t="s">
        <v>5028</v>
      </c>
      <c r="C60" s="247"/>
      <c r="D60" s="248"/>
      <c r="E60" s="248"/>
      <c r="F60" s="248"/>
      <c r="G60" s="248"/>
      <c r="H60" s="248"/>
    </row>
    <row r="61" spans="2:8" ht="11.25" customHeight="1" x14ac:dyDescent="0.35">
      <c r="B61" s="244" t="s">
        <v>5027</v>
      </c>
      <c r="C61" s="245">
        <v>123013</v>
      </c>
      <c r="D61" s="279">
        <v>18459658.54905</v>
      </c>
      <c r="E61" s="279">
        <v>19186057.233689997</v>
      </c>
      <c r="F61" s="279">
        <v>22315171.516210001</v>
      </c>
      <c r="G61" s="279">
        <v>32028533.704</v>
      </c>
      <c r="H61" s="279">
        <v>32162492.707000002</v>
      </c>
    </row>
    <row r="62" spans="2:8" ht="11.25" customHeight="1" x14ac:dyDescent="0.35">
      <c r="B62" s="244" t="s">
        <v>5026</v>
      </c>
      <c r="C62" s="245">
        <v>123014</v>
      </c>
      <c r="D62" s="279">
        <v>1013990.11103</v>
      </c>
      <c r="E62" s="279">
        <v>1022189.956</v>
      </c>
      <c r="F62" s="279">
        <v>1018803.54761</v>
      </c>
      <c r="G62" s="279">
        <v>982061.81799999997</v>
      </c>
      <c r="H62" s="279">
        <v>572555.54300000006</v>
      </c>
    </row>
    <row r="63" spans="2:8" ht="11.25" customHeight="1" x14ac:dyDescent="0.35">
      <c r="B63" s="244" t="s">
        <v>5025</v>
      </c>
      <c r="C63" s="245">
        <v>123015</v>
      </c>
      <c r="D63" s="279">
        <v>40772776.005521007</v>
      </c>
      <c r="E63" s="279">
        <v>42877726.146406002</v>
      </c>
      <c r="F63" s="279">
        <v>43547189.555745699</v>
      </c>
      <c r="G63" s="279">
        <v>42370594.101158999</v>
      </c>
      <c r="H63" s="279">
        <v>44006962.532214999</v>
      </c>
    </row>
    <row r="64" spans="2:8" ht="11.25" customHeight="1" x14ac:dyDescent="0.35">
      <c r="B64" s="244" t="s">
        <v>5024</v>
      </c>
      <c r="C64" s="245">
        <v>123017</v>
      </c>
      <c r="D64" s="279">
        <v>2950960.7106900001</v>
      </c>
      <c r="E64" s="279">
        <v>2626718.6825700002</v>
      </c>
      <c r="F64" s="279">
        <v>2976885.3558299998</v>
      </c>
      <c r="G64" s="279">
        <v>2050286.34558</v>
      </c>
      <c r="H64" s="279">
        <v>2007398.5</v>
      </c>
    </row>
    <row r="65" spans="2:8" ht="11.25" customHeight="1" x14ac:dyDescent="0.35">
      <c r="B65" s="244" t="s">
        <v>5023</v>
      </c>
      <c r="C65" s="245">
        <v>123016</v>
      </c>
      <c r="D65" s="279">
        <v>2631390.4782100003</v>
      </c>
      <c r="E65" s="279">
        <v>3801579.9853400001</v>
      </c>
      <c r="F65" s="279">
        <v>2873197.3109899997</v>
      </c>
      <c r="G65" s="279">
        <v>4372386.0022</v>
      </c>
      <c r="H65" s="279">
        <v>4074247.3810000001</v>
      </c>
    </row>
    <row r="66" spans="2:8" ht="11.25" customHeight="1" x14ac:dyDescent="0.35">
      <c r="B66" s="244" t="s">
        <v>5022</v>
      </c>
      <c r="C66" s="245">
        <v>123018</v>
      </c>
      <c r="D66" s="279">
        <v>42652398.074699998</v>
      </c>
      <c r="E66" s="279">
        <v>48806890.429059997</v>
      </c>
      <c r="F66" s="279">
        <v>55849380.665370002</v>
      </c>
      <c r="G66" s="279">
        <v>62543411.438000001</v>
      </c>
      <c r="H66" s="279">
        <v>72391400.57536</v>
      </c>
    </row>
    <row r="67" spans="2:8" ht="11.25" customHeight="1" x14ac:dyDescent="0.35">
      <c r="B67" s="244" t="s">
        <v>4946</v>
      </c>
      <c r="C67" s="247"/>
      <c r="D67" s="279"/>
      <c r="E67" s="279"/>
      <c r="F67" s="279"/>
      <c r="G67" s="279"/>
      <c r="H67" s="279"/>
    </row>
    <row r="68" spans="2:8" ht="11.25" customHeight="1" x14ac:dyDescent="0.35">
      <c r="B68" s="244" t="s">
        <v>5021</v>
      </c>
      <c r="C68" s="245">
        <v>123019</v>
      </c>
      <c r="D68" s="279">
        <v>108481173.92920101</v>
      </c>
      <c r="E68" s="279">
        <v>118039218.606066</v>
      </c>
      <c r="F68" s="279">
        <v>128580627.950756</v>
      </c>
      <c r="G68" s="279">
        <v>144347273.40793899</v>
      </c>
      <c r="H68" s="279">
        <v>155215057.23957503</v>
      </c>
    </row>
    <row r="69" spans="2:8" ht="11.25" customHeight="1" x14ac:dyDescent="0.35">
      <c r="B69" s="244" t="s">
        <v>4946</v>
      </c>
      <c r="C69" s="247"/>
      <c r="D69" s="279"/>
      <c r="E69" s="279"/>
      <c r="F69" s="279"/>
      <c r="G69" s="279"/>
      <c r="H69" s="279"/>
    </row>
    <row r="70" spans="2:8" ht="11.25" customHeight="1" thickBot="1" x14ac:dyDescent="0.4">
      <c r="B70" s="272" t="s">
        <v>5020</v>
      </c>
      <c r="C70" s="250">
        <v>123020</v>
      </c>
      <c r="D70" s="280">
        <v>3092243811.9196701</v>
      </c>
      <c r="E70" s="280">
        <v>3246985330.7123904</v>
      </c>
      <c r="F70" s="280">
        <v>3278458567.34937</v>
      </c>
      <c r="G70" s="280">
        <v>3342338670.1557202</v>
      </c>
      <c r="H70" s="280">
        <v>3480866806.2100897</v>
      </c>
    </row>
    <row r="71" spans="2:8" ht="11.25" customHeight="1" x14ac:dyDescent="0.35">
      <c r="B71" s="237"/>
      <c r="C71" s="242"/>
    </row>
  </sheetData>
  <mergeCells count="1">
    <mergeCell ref="I1:J1"/>
  </mergeCells>
  <hyperlinks>
    <hyperlink ref="I1" location="Instructions!A1" display="Instructions" xr:uid="{00000000-0004-0000-0400-000000000000}"/>
    <hyperlink ref="I1:J1" location="Instructions!A1" tooltip="Go back to Instructions tab." display="Instructions" xr:uid="{00000000-0004-0000-0400-000001000000}"/>
  </hyperlinks>
  <pageMargins left="0.75" right="0.75" top="1" bottom="1" header="0.5" footer="0.5"/>
  <pageSetup scale="81"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B1:U1028"/>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customWidth="1" outlineLevel="1"/>
    <col min="4" max="8" width="12.68359375" style="235" customWidth="1"/>
    <col min="9" max="14" width="8.83984375" style="235"/>
    <col min="15" max="15" width="36.26171875" style="235" hidden="1" customWidth="1" outlineLevel="1"/>
    <col min="16" max="17" width="8.83984375" style="235" hidden="1" customWidth="1" outlineLevel="1"/>
    <col min="18" max="18" width="24.578125" style="235" hidden="1" customWidth="1" outlineLevel="1"/>
    <col min="19" max="19" width="8.83984375" style="235" hidden="1" customWidth="1" outlineLevel="1"/>
    <col min="20" max="20" width="8.68359375" style="235" hidden="1" customWidth="1" outlineLevel="1"/>
    <col min="21" max="21" width="8.83984375" style="235" collapsed="1"/>
    <col min="22"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5355</v>
      </c>
      <c r="C3" s="241"/>
      <c r="D3" s="241"/>
      <c r="E3" s="241"/>
      <c r="F3" s="241"/>
      <c r="G3" s="241"/>
      <c r="H3" s="241"/>
    </row>
    <row r="4" spans="2:10" ht="11.25" customHeight="1" x14ac:dyDescent="0.35">
      <c r="B4" s="277" t="s">
        <v>5363</v>
      </c>
      <c r="C4" s="264"/>
      <c r="D4" s="264"/>
      <c r="E4" s="264"/>
      <c r="F4" s="264"/>
      <c r="G4" s="264"/>
      <c r="H4" s="264"/>
    </row>
    <row r="5" spans="2:10" ht="11.25" customHeight="1" x14ac:dyDescent="0.35">
      <c r="B5" s="236"/>
      <c r="C5" s="237"/>
    </row>
    <row r="6" spans="2:10" ht="11.25" hidden="1" customHeight="1" outlineLevel="1" x14ac:dyDescent="0.35">
      <c r="B6" s="254" t="str">
        <f ca="1">[1]!snltable(287,$D$6:$H$6,$C$10:$C$293,$D$7:$H$7,"NA","Options:Curr=USD,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x14ac:dyDescent="0.35">
      <c r="B8" s="261"/>
      <c r="C8" s="262"/>
      <c r="D8" s="241"/>
      <c r="E8" s="241"/>
      <c r="F8" s="241"/>
      <c r="G8" s="241"/>
      <c r="H8" s="263"/>
    </row>
    <row r="9" spans="2:10" ht="11.25" customHeight="1" collapsed="1" thickBot="1" x14ac:dyDescent="0.4">
      <c r="B9" s="265" t="s">
        <v>5353</v>
      </c>
      <c r="C9" s="266"/>
      <c r="D9" s="267" t="str">
        <f>D7</f>
        <v>2010Y</v>
      </c>
      <c r="E9" s="267" t="str">
        <f t="shared" ref="E9:G9" si="1">E7</f>
        <v>2011Y</v>
      </c>
      <c r="F9" s="267" t="str">
        <f t="shared" si="1"/>
        <v>2012Y</v>
      </c>
      <c r="G9" s="267" t="str">
        <f t="shared" si="1"/>
        <v>2013Y</v>
      </c>
      <c r="H9" s="267" t="str">
        <f>H7</f>
        <v>2014Y</v>
      </c>
    </row>
    <row r="10" spans="2:10" ht="11.25" customHeight="1" x14ac:dyDescent="0.35">
      <c r="B10" s="246" t="s">
        <v>4945</v>
      </c>
      <c r="C10" s="308">
        <v>202219</v>
      </c>
      <c r="D10" s="309">
        <v>40543</v>
      </c>
      <c r="E10" s="309">
        <v>40908</v>
      </c>
      <c r="F10" s="309">
        <v>41274</v>
      </c>
      <c r="G10" s="309">
        <v>41639</v>
      </c>
      <c r="H10" s="309">
        <v>42004</v>
      </c>
    </row>
    <row r="11" spans="2:10" ht="11.25" customHeight="1" x14ac:dyDescent="0.35">
      <c r="B11" s="244" t="s">
        <v>4946</v>
      </c>
      <c r="C11" s="247"/>
      <c r="D11" s="248"/>
      <c r="E11" s="248"/>
      <c r="F11" s="248"/>
      <c r="G11" s="248"/>
      <c r="H11" s="248"/>
    </row>
    <row r="12" spans="2:10" ht="11.25" customHeight="1" x14ac:dyDescent="0.35">
      <c r="B12" s="246" t="s">
        <v>4939</v>
      </c>
      <c r="C12" s="247"/>
      <c r="D12" s="248"/>
      <c r="E12" s="248"/>
      <c r="F12" s="248"/>
      <c r="G12" s="248"/>
      <c r="H12" s="248"/>
    </row>
    <row r="13" spans="2:10" ht="11.25" customHeight="1" x14ac:dyDescent="0.35">
      <c r="B13" s="244" t="s">
        <v>5106</v>
      </c>
      <c r="C13" s="245"/>
      <c r="D13" s="279">
        <f>IF(LEFT(D$7,4)&gt;"2018",D30,D33)</f>
        <v>100263021.765</v>
      </c>
      <c r="E13" s="279">
        <f>IF(LEFT(E$7,4)&gt;"2018",E30,E33)</f>
        <v>122810068.41117001</v>
      </c>
      <c r="F13" s="279">
        <f>IF(LEFT(F$7,4)&gt;"2018",F30,F33)</f>
        <v>130544297.28400001</v>
      </c>
      <c r="G13" s="279">
        <f>IF(LEFT(G$7,4)&gt;"2018",G30,G33)</f>
        <v>125957650.03208999</v>
      </c>
      <c r="H13" s="279">
        <f>IF(LEFT(H$7,4)&gt;"2018",H30,H33)</f>
        <v>133901045.88659</v>
      </c>
    </row>
    <row r="14" spans="2:10" ht="11.25" customHeight="1" x14ac:dyDescent="0.35">
      <c r="B14" s="244" t="s">
        <v>5105</v>
      </c>
      <c r="C14" s="245"/>
      <c r="D14" s="279">
        <f>IF(LEFT(D$7,4)&gt;"2018",D31,D34)</f>
        <v>286318381.23400003</v>
      </c>
      <c r="E14" s="279">
        <f>IF(LEFT(E$7,4)&gt;"2018",E31,E34)</f>
        <v>326992568.74311</v>
      </c>
      <c r="F14" s="279">
        <f>IF(LEFT(F$7,4)&gt;"2018",F31,F34)</f>
        <v>339914845.59600002</v>
      </c>
      <c r="G14" s="279">
        <f>IF(LEFT(G$7,4)&gt;"2018",G31,G34)</f>
        <v>279434359.54100001</v>
      </c>
      <c r="H14" s="279">
        <f>IF(LEFT(H$7,4)&gt;"2018",H31,H34)</f>
        <v>352823672.24592</v>
      </c>
    </row>
    <row r="15" spans="2:10" ht="11.25" customHeight="1" x14ac:dyDescent="0.35">
      <c r="B15" s="244" t="s">
        <v>5104</v>
      </c>
      <c r="C15" s="245"/>
      <c r="D15" s="279">
        <f>IF(LEFT(D$7,4)&gt;"2018",D26,D35)</f>
        <v>150636316.38</v>
      </c>
      <c r="E15" s="279">
        <f>IF(LEFT(E$7,4)&gt;"2018",E26,E35)</f>
        <v>151049598.67433</v>
      </c>
      <c r="F15" s="279">
        <f>IF(LEFT(F$7,4)&gt;"2018",F26,F35)</f>
        <v>151376719.359</v>
      </c>
      <c r="G15" s="279">
        <f>IF(LEFT(G$7,4)&gt;"2018",G26,G35)</f>
        <v>153284525.23754001</v>
      </c>
      <c r="H15" s="279">
        <f>IF(LEFT(H$7,4)&gt;"2018",H26,H35)</f>
        <v>156605802.38138002</v>
      </c>
    </row>
    <row r="16" spans="2:10" ht="11.25" customHeight="1" x14ac:dyDescent="0.35">
      <c r="B16" s="292" t="s">
        <v>5386</v>
      </c>
      <c r="C16" s="245"/>
      <c r="D16" s="279">
        <f>IF(LEFT(D$7,4)&gt;"2018","NA",D36)</f>
        <v>1564553.5730000001</v>
      </c>
      <c r="E16" s="279">
        <f>IF(LEFT(E$7,4)&gt;"2018","NA",E36)</f>
        <v>1583449.8430000001</v>
      </c>
      <c r="F16" s="279">
        <f>IF(LEFT(F$7,4)&gt;"2018","NA",F36)</f>
        <v>1556674.2920000001</v>
      </c>
      <c r="G16" s="279">
        <f>IF(LEFT(G$7,4)&gt;"2018","NA",G36)</f>
        <v>1445213.6436099999</v>
      </c>
      <c r="H16" s="279">
        <f>IF(LEFT(H$7,4)&gt;"2018","NA",H36)</f>
        <v>1388591.4040000001</v>
      </c>
    </row>
    <row r="17" spans="2:8" ht="11.25" customHeight="1" x14ac:dyDescent="0.35">
      <c r="B17" s="244" t="s">
        <v>5102</v>
      </c>
      <c r="C17" s="245"/>
      <c r="D17" s="279">
        <f>IF(LEFT(D$7,4)&gt;"2018",IF(COUNT(D27:D29)=0,"NA",SUM(D27:D29)),D37)</f>
        <v>23116618.501000002</v>
      </c>
      <c r="E17" s="279">
        <f>IF(LEFT(E$7,4)&gt;"2018",IF(COUNT(E27:E29)=0,"NA",SUM(E27:E29)),E37)</f>
        <v>2069078.192</v>
      </c>
      <c r="F17" s="279">
        <f>IF(LEFT(F$7,4)&gt;"2018",IF(COUNT(F27:F29)=0,"NA",SUM(F27:F29)),F37)</f>
        <v>2247325.2990000001</v>
      </c>
      <c r="G17" s="279">
        <f>IF(LEFT(G$7,4)&gt;"2018",IF(COUNT(G27:G29)=0,"NA",SUM(G27:G29)),G37)</f>
        <v>2345600.1540000001</v>
      </c>
      <c r="H17" s="279">
        <f>IF(LEFT(H$7,4)&gt;"2018",IF(COUNT(H27:H29)=0,"NA",SUM(H27:H29)),H37)</f>
        <v>2554797.327</v>
      </c>
    </row>
    <row r="18" spans="2:8" ht="11.25" customHeight="1" x14ac:dyDescent="0.35">
      <c r="B18" s="244" t="s">
        <v>5101</v>
      </c>
      <c r="C18" s="245">
        <v>123548</v>
      </c>
      <c r="D18" s="279">
        <v>561897905.02600002</v>
      </c>
      <c r="E18" s="279">
        <v>604491337.15799999</v>
      </c>
      <c r="F18" s="279">
        <v>625643181.80430007</v>
      </c>
      <c r="G18" s="279">
        <v>562564031.47389197</v>
      </c>
      <c r="H18" s="279">
        <v>647273909.29062998</v>
      </c>
    </row>
    <row r="19" spans="2:8" ht="11.25" customHeight="1" x14ac:dyDescent="0.35">
      <c r="B19" s="244" t="s">
        <v>4946</v>
      </c>
      <c r="C19" s="247"/>
      <c r="D19" s="279"/>
      <c r="E19" s="279"/>
      <c r="F19" s="279"/>
      <c r="G19" s="279"/>
      <c r="H19" s="279"/>
    </row>
    <row r="20" spans="2:8" ht="11.25" customHeight="1" x14ac:dyDescent="0.35">
      <c r="B20" s="347" t="s">
        <v>5373</v>
      </c>
      <c r="C20" s="247"/>
      <c r="D20" s="279"/>
      <c r="E20" s="279"/>
      <c r="F20" s="279"/>
      <c r="G20" s="279"/>
      <c r="H20" s="279"/>
    </row>
    <row r="21" spans="2:8" ht="11.25" customHeight="1" x14ac:dyDescent="0.35">
      <c r="B21" s="244" t="s">
        <v>5365</v>
      </c>
      <c r="C21" s="247"/>
      <c r="D21" s="344" t="str">
        <f>IF(COUNT(D40,D53)=0,"NA",SUM(D40,D53))</f>
        <v>NA</v>
      </c>
      <c r="E21" s="344" t="str">
        <f>IF(COUNT(E40,E53)=0,"NA",SUM(E40,E53))</f>
        <v>NA</v>
      </c>
      <c r="F21" s="344" t="str">
        <f>IF(COUNT(F40,F53)=0,"NA",SUM(F40,F53))</f>
        <v>NA</v>
      </c>
      <c r="G21" s="344" t="str">
        <f>IF(COUNT(G40,G53)=0,"NA",SUM(G40,G53))</f>
        <v>NA</v>
      </c>
      <c r="H21" s="344" t="str">
        <f>IF(COUNT(H40,H53)=0,"NA",SUM(H40,H53))</f>
        <v>NA</v>
      </c>
    </row>
    <row r="22" spans="2:8" ht="11.25" customHeight="1" x14ac:dyDescent="0.35">
      <c r="B22" s="292" t="s">
        <v>5366</v>
      </c>
      <c r="C22" s="345"/>
      <c r="D22" s="344" t="str">
        <f>IF(COUNT(D41,D54)=0,"NA",SUM(D41,D54))</f>
        <v>NA</v>
      </c>
      <c r="E22" s="344" t="str">
        <f>IF(COUNT(E41,E54)=0,"NA",SUM(E41,E54))</f>
        <v>NA</v>
      </c>
      <c r="F22" s="344" t="str">
        <f>IF(COUNT(F41,F54)=0,"NA",SUM(F41,F54))</f>
        <v>NA</v>
      </c>
      <c r="G22" s="344" t="str">
        <f>IF(COUNT(G41,G54)=0,"NA",SUM(G41,G54))</f>
        <v>NA</v>
      </c>
      <c r="H22" s="344" t="str">
        <f>IF(COUNT(H41,H54)=0,"NA",SUM(H41,H54))</f>
        <v>NA</v>
      </c>
    </row>
    <row r="23" spans="2:8" ht="11.25" customHeight="1" x14ac:dyDescent="0.35">
      <c r="B23" s="292" t="s">
        <v>5122</v>
      </c>
      <c r="C23" s="345"/>
      <c r="D23" s="344" t="str">
        <f>IF(COUNT(D42,D55)=0,"NA",SUM(D42,D55))</f>
        <v>NA</v>
      </c>
      <c r="E23" s="344" t="str">
        <f>IF(COUNT(E42,E55)=0,"NA",SUM(E42,E55))</f>
        <v>NA</v>
      </c>
      <c r="F23" s="344" t="str">
        <f>IF(COUNT(F42,F55)=0,"NA",SUM(F42,F55))</f>
        <v>NA</v>
      </c>
      <c r="G23" s="344" t="str">
        <f>IF(COUNT(G42,G55)=0,"NA",SUM(G42,G55))</f>
        <v>NA</v>
      </c>
      <c r="H23" s="344" t="str">
        <f>IF(COUNT(H42,H55)=0,"NA",SUM(H42,H55))</f>
        <v>NA</v>
      </c>
    </row>
    <row r="24" spans="2:8" ht="11.25" customHeight="1" x14ac:dyDescent="0.35">
      <c r="B24" s="292" t="s">
        <v>5124</v>
      </c>
      <c r="C24" s="345"/>
      <c r="D24" s="344" t="str">
        <f>IF(COUNT(D43,D56)=0,"NA",SUM(D43,D56))</f>
        <v>NA</v>
      </c>
      <c r="E24" s="344" t="str">
        <f>IF(COUNT(E43,E56)=0,"NA",SUM(E43,E56))</f>
        <v>NA</v>
      </c>
      <c r="F24" s="344" t="str">
        <f>IF(COUNT(F43,F56)=0,"NA",SUM(F43,F56))</f>
        <v>NA</v>
      </c>
      <c r="G24" s="344" t="str">
        <f>IF(COUNT(G43,G56)=0,"NA",SUM(G43,G56))</f>
        <v>NA</v>
      </c>
      <c r="H24" s="344" t="str">
        <f>IF(COUNT(H43,H56)=0,"NA",SUM(H43,H56))</f>
        <v>NA</v>
      </c>
    </row>
    <row r="25" spans="2:8" ht="11.25" customHeight="1" x14ac:dyDescent="0.35">
      <c r="B25" s="292" t="s">
        <v>5121</v>
      </c>
      <c r="C25" s="345"/>
      <c r="D25" s="344" t="str">
        <f>IF(COUNT(D44,D57)=0,"NA",SUM(D44,D57))</f>
        <v>NA</v>
      </c>
      <c r="E25" s="344" t="str">
        <f>IF(COUNT(E44,E57)=0,"NA",SUM(E44,E57))</f>
        <v>NA</v>
      </c>
      <c r="F25" s="344" t="str">
        <f>IF(COUNT(F44,F57)=0,"NA",SUM(F44,F57))</f>
        <v>NA</v>
      </c>
      <c r="G25" s="344" t="str">
        <f>IF(COUNT(G44,G57)=0,"NA",SUM(G44,G57))</f>
        <v>NA</v>
      </c>
      <c r="H25" s="344" t="str">
        <f>IF(COUNT(H44,H57)=0,"NA",SUM(H44,H57))</f>
        <v>NA</v>
      </c>
    </row>
    <row r="26" spans="2:8" ht="11.25" customHeight="1" x14ac:dyDescent="0.35">
      <c r="B26" s="292" t="s">
        <v>5367</v>
      </c>
      <c r="C26" s="345"/>
      <c r="D26" s="344" t="str">
        <f>IF(COUNT(D45,D58)=0,"NA",SUM(D45,D58))</f>
        <v>NA</v>
      </c>
      <c r="E26" s="344" t="str">
        <f>IF(COUNT(E45,E58)=0,"NA",SUM(E45,E58))</f>
        <v>NA</v>
      </c>
      <c r="F26" s="344" t="str">
        <f>IF(COUNT(F45,F58)=0,"NA",SUM(F45,F58))</f>
        <v>NA</v>
      </c>
      <c r="G26" s="344" t="str">
        <f>IF(COUNT(G45,G58)=0,"NA",SUM(G45,G58))</f>
        <v>NA</v>
      </c>
      <c r="H26" s="344" t="str">
        <f>IF(COUNT(H45,H58)=0,"NA",SUM(H45,H58))</f>
        <v>NA</v>
      </c>
    </row>
    <row r="27" spans="2:8" ht="11.25" customHeight="1" x14ac:dyDescent="0.35">
      <c r="B27" s="292" t="s">
        <v>5368</v>
      </c>
      <c r="C27" s="345"/>
      <c r="D27" s="344" t="str">
        <f>IF(COUNT(D46,D59)=0,"NA",SUM(D46,D59))</f>
        <v>NA</v>
      </c>
      <c r="E27" s="344" t="str">
        <f>IF(COUNT(E46,E59)=0,"NA",SUM(E46,E59))</f>
        <v>NA</v>
      </c>
      <c r="F27" s="344" t="str">
        <f>IF(COUNT(F46,F59)=0,"NA",SUM(F46,F59))</f>
        <v>NA</v>
      </c>
      <c r="G27" s="344" t="str">
        <f>IF(COUNT(G46,G59)=0,"NA",SUM(G46,G59))</f>
        <v>NA</v>
      </c>
      <c r="H27" s="344" t="str">
        <f>IF(COUNT(H46,H59)=0,"NA",SUM(H46,H59))</f>
        <v>NA</v>
      </c>
    </row>
    <row r="28" spans="2:8" ht="11.25" customHeight="1" x14ac:dyDescent="0.35">
      <c r="B28" s="292" t="s">
        <v>5369</v>
      </c>
      <c r="C28" s="345"/>
      <c r="D28" s="344" t="str">
        <f>IF(COUNT(D47,D60)=0,"NA",SUM(D47,D60))</f>
        <v>NA</v>
      </c>
      <c r="E28" s="344" t="str">
        <f>IF(COUNT(E47,E60)=0,"NA",SUM(E47,E60))</f>
        <v>NA</v>
      </c>
      <c r="F28" s="344" t="str">
        <f>IF(COUNT(F47,F60)=0,"NA",SUM(F47,F60))</f>
        <v>NA</v>
      </c>
      <c r="G28" s="344" t="str">
        <f>IF(COUNT(G47,G60)=0,"NA",SUM(G47,G60))</f>
        <v>NA</v>
      </c>
      <c r="H28" s="344" t="str">
        <f>IF(COUNT(H47,H60)=0,"NA",SUM(H47,H60))</f>
        <v>NA</v>
      </c>
    </row>
    <row r="29" spans="2:8" ht="11.25" customHeight="1" x14ac:dyDescent="0.35">
      <c r="B29" s="292" t="s">
        <v>5370</v>
      </c>
      <c r="C29" s="345"/>
      <c r="D29" s="344" t="str">
        <f>IF(COUNT(D48,D61)=0,"NA",SUM(D48,D61))</f>
        <v>NA</v>
      </c>
      <c r="E29" s="344" t="str">
        <f>IF(COUNT(E48,E61)=0,"NA",SUM(E48,E61))</f>
        <v>NA</v>
      </c>
      <c r="F29" s="344" t="str">
        <f>IF(COUNT(F48,F61)=0,"NA",SUM(F48,F61))</f>
        <v>NA</v>
      </c>
      <c r="G29" s="344" t="str">
        <f>IF(COUNT(G48,G61)=0,"NA",SUM(G48,G61))</f>
        <v>NA</v>
      </c>
      <c r="H29" s="344" t="str">
        <f>IF(COUNT(H48,H61)=0,"NA",SUM(H48,H61))</f>
        <v>NA</v>
      </c>
    </row>
    <row r="30" spans="2:8" ht="11.25" customHeight="1" x14ac:dyDescent="0.35">
      <c r="B30" s="292" t="s">
        <v>5371</v>
      </c>
      <c r="C30" s="345"/>
      <c r="D30" s="344" t="str">
        <f>IF(COUNT(D49,D62)=0,"NA",SUM(D49,D62))</f>
        <v>NA</v>
      </c>
      <c r="E30" s="344" t="str">
        <f>IF(COUNT(E49,E62)=0,"NA",SUM(E49,E62))</f>
        <v>NA</v>
      </c>
      <c r="F30" s="344" t="str">
        <f>IF(COUNT(F49,F62)=0,"NA",SUM(F49,F62))</f>
        <v>NA</v>
      </c>
      <c r="G30" s="344" t="str">
        <f>IF(COUNT(G49,G62)=0,"NA",SUM(G49,G62))</f>
        <v>NA</v>
      </c>
      <c r="H30" s="344" t="str">
        <f>IF(COUNT(H49,H62)=0,"NA",SUM(H49,H62))</f>
        <v>NA</v>
      </c>
    </row>
    <row r="31" spans="2:8" ht="11.25" customHeight="1" x14ac:dyDescent="0.35">
      <c r="B31" s="292" t="s">
        <v>5372</v>
      </c>
      <c r="C31" s="345"/>
      <c r="D31" s="344" t="str">
        <f>IF(COUNT(D50,D63)=0,"NA",SUM(D50,D63))</f>
        <v>NA</v>
      </c>
      <c r="E31" s="344" t="str">
        <f>IF(COUNT(E50,E63)=0,"NA",SUM(E50,E63))</f>
        <v>NA</v>
      </c>
      <c r="F31" s="344" t="str">
        <f>IF(COUNT(F50,F63)=0,"NA",SUM(F50,F63))</f>
        <v>NA</v>
      </c>
      <c r="G31" s="344" t="str">
        <f>IF(COUNT(G50,G63)=0,"NA",SUM(G50,G63))</f>
        <v>NA</v>
      </c>
      <c r="H31" s="344" t="str">
        <f>IF(COUNT(H50,H63)=0,"NA",SUM(H50,H63))</f>
        <v>NA</v>
      </c>
    </row>
    <row r="32" spans="2:8" ht="11.25" customHeight="1" x14ac:dyDescent="0.35">
      <c r="B32" s="244"/>
      <c r="C32" s="345"/>
      <c r="D32" s="344"/>
      <c r="E32" s="279"/>
      <c r="F32" s="279"/>
      <c r="G32" s="279"/>
      <c r="H32" s="279"/>
    </row>
    <row r="33" spans="2:8" ht="11.25" hidden="1" customHeight="1" outlineLevel="1" x14ac:dyDescent="0.35">
      <c r="B33" s="290" t="s">
        <v>5106</v>
      </c>
      <c r="C33" s="346">
        <v>123543</v>
      </c>
      <c r="D33" s="344">
        <v>100263021.765</v>
      </c>
      <c r="E33" s="279">
        <v>122810068.41117001</v>
      </c>
      <c r="F33" s="279">
        <v>130544297.28400001</v>
      </c>
      <c r="G33" s="279">
        <v>125957650.03208999</v>
      </c>
      <c r="H33" s="279">
        <v>133901045.88659</v>
      </c>
    </row>
    <row r="34" spans="2:8" ht="11.25" hidden="1" customHeight="1" outlineLevel="1" x14ac:dyDescent="0.35">
      <c r="B34" s="290" t="s">
        <v>5105</v>
      </c>
      <c r="C34" s="245">
        <v>123544</v>
      </c>
      <c r="D34" s="279">
        <v>286318381.23400003</v>
      </c>
      <c r="E34" s="279">
        <v>326992568.74311</v>
      </c>
      <c r="F34" s="279">
        <v>339914845.59600002</v>
      </c>
      <c r="G34" s="279">
        <v>279434359.54100001</v>
      </c>
      <c r="H34" s="279">
        <v>352823672.24592</v>
      </c>
    </row>
    <row r="35" spans="2:8" ht="11.25" hidden="1" customHeight="1" outlineLevel="1" x14ac:dyDescent="0.35">
      <c r="B35" s="290" t="s">
        <v>5104</v>
      </c>
      <c r="C35" s="245">
        <v>123545</v>
      </c>
      <c r="D35" s="279">
        <v>150636316.38</v>
      </c>
      <c r="E35" s="279">
        <v>151049598.67433</v>
      </c>
      <c r="F35" s="279">
        <v>151376719.359</v>
      </c>
      <c r="G35" s="279">
        <v>153284525.23754001</v>
      </c>
      <c r="H35" s="279">
        <v>156605802.38138002</v>
      </c>
    </row>
    <row r="36" spans="2:8" ht="11.25" hidden="1" customHeight="1" outlineLevel="1" x14ac:dyDescent="0.35">
      <c r="B36" s="290" t="s">
        <v>5103</v>
      </c>
      <c r="C36" s="245">
        <v>123546</v>
      </c>
      <c r="D36" s="279">
        <v>1564553.5730000001</v>
      </c>
      <c r="E36" s="279">
        <v>1583449.8430000001</v>
      </c>
      <c r="F36" s="279">
        <v>1556674.2920000001</v>
      </c>
      <c r="G36" s="279">
        <v>1445213.6436099999</v>
      </c>
      <c r="H36" s="279">
        <v>1388591.4040000001</v>
      </c>
    </row>
    <row r="37" spans="2:8" ht="11.25" hidden="1" customHeight="1" outlineLevel="1" x14ac:dyDescent="0.35">
      <c r="B37" s="290" t="s">
        <v>5102</v>
      </c>
      <c r="C37" s="245">
        <v>123547</v>
      </c>
      <c r="D37" s="279">
        <v>23116618.501000002</v>
      </c>
      <c r="E37" s="279">
        <v>2069078.192</v>
      </c>
      <c r="F37" s="279">
        <v>2247325.2990000001</v>
      </c>
      <c r="G37" s="279">
        <v>2345600.1540000001</v>
      </c>
      <c r="H37" s="279">
        <v>2554797.327</v>
      </c>
    </row>
    <row r="38" spans="2:8" ht="11.25" hidden="1" customHeight="1" outlineLevel="1" x14ac:dyDescent="0.35">
      <c r="B38" s="244"/>
      <c r="C38" s="247"/>
      <c r="D38" s="279"/>
      <c r="E38" s="279"/>
      <c r="F38" s="279"/>
      <c r="G38" s="279"/>
      <c r="H38" s="279"/>
    </row>
    <row r="39" spans="2:8" s="302" customFormat="1" ht="11.25" hidden="1" customHeight="1" outlineLevel="1" x14ac:dyDescent="0.35">
      <c r="B39" s="246" t="s">
        <v>5458</v>
      </c>
      <c r="C39" s="247"/>
      <c r="D39" s="335"/>
      <c r="E39" s="335"/>
      <c r="F39" s="335"/>
      <c r="G39" s="335"/>
      <c r="H39" s="335"/>
    </row>
    <row r="40" spans="2:8" s="302" customFormat="1" ht="11.25" hidden="1" customHeight="1" outlineLevel="1" x14ac:dyDescent="0.35">
      <c r="B40" s="292" t="s">
        <v>5365</v>
      </c>
      <c r="C40" s="247"/>
      <c r="D40" s="279" t="str">
        <f>IF(T346="","",T346)</f>
        <v>NA</v>
      </c>
      <c r="E40" s="279" t="str">
        <f>IF(T335="","",T335)</f>
        <v>NA</v>
      </c>
      <c r="F40" s="279" t="str">
        <f>IF(T324="","",T324)</f>
        <v>NA</v>
      </c>
      <c r="G40" s="279" t="str">
        <f>IF(T313="","",T313)</f>
        <v>NA</v>
      </c>
      <c r="H40" s="279" t="str">
        <f>IF(T302="","",T302)</f>
        <v>NA</v>
      </c>
    </row>
    <row r="41" spans="2:8" ht="11.25" hidden="1" customHeight="1" outlineLevel="1" x14ac:dyDescent="0.35">
      <c r="B41" s="244" t="s">
        <v>5366</v>
      </c>
      <c r="C41" s="245"/>
      <c r="D41" s="279" t="str">
        <f>IF(T347="","",T347)</f>
        <v>NA</v>
      </c>
      <c r="E41" s="279" t="str">
        <f>IF(T336="","",T336)</f>
        <v>NA</v>
      </c>
      <c r="F41" s="279" t="str">
        <f>IF(T325="","",T325)</f>
        <v>NA</v>
      </c>
      <c r="G41" s="279" t="str">
        <f>IF(T314="","",T314)</f>
        <v>NA</v>
      </c>
      <c r="H41" s="279" t="str">
        <f>IF(T303="","",T303)</f>
        <v>NA</v>
      </c>
    </row>
    <row r="42" spans="2:8" ht="11.25" hidden="1" customHeight="1" outlineLevel="1" x14ac:dyDescent="0.35">
      <c r="B42" s="244" t="s">
        <v>5122</v>
      </c>
      <c r="C42" s="245"/>
      <c r="D42" s="279" t="str">
        <f>IF(T348="","",T348)</f>
        <v>NA</v>
      </c>
      <c r="E42" s="279" t="str">
        <f>IF(T337="","",T337)</f>
        <v>NA</v>
      </c>
      <c r="F42" s="279" t="str">
        <f>IF(T326="","",T326)</f>
        <v>NA</v>
      </c>
      <c r="G42" s="279" t="str">
        <f>IF(T315="","",T315)</f>
        <v>NA</v>
      </c>
      <c r="H42" s="279" t="str">
        <f>IF(T304="","",T304)</f>
        <v>NA</v>
      </c>
    </row>
    <row r="43" spans="2:8" ht="11.25" hidden="1" customHeight="1" outlineLevel="1" x14ac:dyDescent="0.35">
      <c r="B43" s="244" t="s">
        <v>5124</v>
      </c>
      <c r="C43" s="245"/>
      <c r="D43" s="279" t="str">
        <f>IF(T349="","",T349)</f>
        <v>NA</v>
      </c>
      <c r="E43" s="279" t="str">
        <f>IF(T338="","",T338)</f>
        <v>NA</v>
      </c>
      <c r="F43" s="279" t="str">
        <f>IF(T327="","",T327)</f>
        <v>NA</v>
      </c>
      <c r="G43" s="279" t="str">
        <f>IF(T316="","",T316)</f>
        <v>NA</v>
      </c>
      <c r="H43" s="279" t="str">
        <f>IF(T305="","",T305)</f>
        <v>NA</v>
      </c>
    </row>
    <row r="44" spans="2:8" ht="11.25" hidden="1" customHeight="1" outlineLevel="1" x14ac:dyDescent="0.35">
      <c r="B44" s="244" t="s">
        <v>5121</v>
      </c>
      <c r="C44" s="245"/>
      <c r="D44" s="279" t="str">
        <f>IF(T350="","",T350)</f>
        <v>NA</v>
      </c>
      <c r="E44" s="279" t="str">
        <f>IF(T339="","",T339)</f>
        <v>NA</v>
      </c>
      <c r="F44" s="279" t="str">
        <f>IF(T328="","",T328)</f>
        <v>NA</v>
      </c>
      <c r="G44" s="279" t="str">
        <f>IF(T317="","",T317)</f>
        <v>NA</v>
      </c>
      <c r="H44" s="279" t="str">
        <f>IF(T306="","",T306)</f>
        <v>NA</v>
      </c>
    </row>
    <row r="45" spans="2:8" ht="11.25" hidden="1" customHeight="1" outlineLevel="1" x14ac:dyDescent="0.35">
      <c r="B45" s="244" t="s">
        <v>5367</v>
      </c>
      <c r="C45" s="245"/>
      <c r="D45" s="279" t="str">
        <f>IF(T351="","",T351)</f>
        <v>NA</v>
      </c>
      <c r="E45" s="279" t="str">
        <f>IF(T340="","",T340)</f>
        <v>NA</v>
      </c>
      <c r="F45" s="279" t="str">
        <f>IF(T329="","",T329)</f>
        <v>NA</v>
      </c>
      <c r="G45" s="279" t="str">
        <f>IF(T318="","",T318)</f>
        <v>NA</v>
      </c>
      <c r="H45" s="279" t="str">
        <f>IF(T307="","",T307)</f>
        <v>NA</v>
      </c>
    </row>
    <row r="46" spans="2:8" ht="11.25" hidden="1" customHeight="1" outlineLevel="1" x14ac:dyDescent="0.35">
      <c r="B46" s="244" t="s">
        <v>5368</v>
      </c>
      <c r="C46" s="245"/>
      <c r="D46" s="279" t="str">
        <f>IF(T352="","",T352)</f>
        <v>NA</v>
      </c>
      <c r="E46" s="279" t="str">
        <f>IF(T341="","",T341)</f>
        <v>NA</v>
      </c>
      <c r="F46" s="279" t="str">
        <f>IF(T330="","",T330)</f>
        <v>NA</v>
      </c>
      <c r="G46" s="279" t="str">
        <f>IF(T319="","",T319)</f>
        <v>NA</v>
      </c>
      <c r="H46" s="279" t="str">
        <f>IF(T308="","",T308)</f>
        <v>NA</v>
      </c>
    </row>
    <row r="47" spans="2:8" ht="11.25" hidden="1" customHeight="1" outlineLevel="1" x14ac:dyDescent="0.35">
      <c r="B47" s="244" t="s">
        <v>5369</v>
      </c>
      <c r="C47" s="245"/>
      <c r="D47" s="279" t="str">
        <f>IF(T353="","",T353)</f>
        <v>NA</v>
      </c>
      <c r="E47" s="279" t="str">
        <f>IF(T342="","",T342)</f>
        <v>NA</v>
      </c>
      <c r="F47" s="279" t="str">
        <f>IF(T331="","",T331)</f>
        <v>NA</v>
      </c>
      <c r="G47" s="279" t="str">
        <f>IF(T320="","",T320)</f>
        <v>NA</v>
      </c>
      <c r="H47" s="279" t="str">
        <f>IF(T309="","",T309)</f>
        <v>NA</v>
      </c>
    </row>
    <row r="48" spans="2:8" ht="11.25" hidden="1" customHeight="1" outlineLevel="1" x14ac:dyDescent="0.35">
      <c r="B48" s="244" t="s">
        <v>5370</v>
      </c>
      <c r="C48" s="245"/>
      <c r="D48" s="279" t="str">
        <f>IF(T354="","",T354)</f>
        <v>NA</v>
      </c>
      <c r="E48" s="279" t="str">
        <f>IF(T343="","",T343)</f>
        <v>NA</v>
      </c>
      <c r="F48" s="279" t="str">
        <f>IF(T332="","",T332)</f>
        <v>NA</v>
      </c>
      <c r="G48" s="279" t="str">
        <f>IF(T321="","",T321)</f>
        <v>NA</v>
      </c>
      <c r="H48" s="279" t="str">
        <f>IF(T310="","",T310)</f>
        <v>NA</v>
      </c>
    </row>
    <row r="49" spans="2:8" ht="11.25" hidden="1" customHeight="1" outlineLevel="1" x14ac:dyDescent="0.35">
      <c r="B49" s="244" t="s">
        <v>5371</v>
      </c>
      <c r="C49" s="245"/>
      <c r="D49" s="279" t="str">
        <f>IF(T355="","",T355)</f>
        <v>NA</v>
      </c>
      <c r="E49" s="279" t="str">
        <f>IF(T344="","",T344)</f>
        <v>NA</v>
      </c>
      <c r="F49" s="279" t="str">
        <f>IF(T333="","",T333)</f>
        <v>NA</v>
      </c>
      <c r="G49" s="279" t="str">
        <f>IF(T322="","",T322)</f>
        <v>NA</v>
      </c>
      <c r="H49" s="279" t="str">
        <f>IF(T311="","",T311)</f>
        <v>NA</v>
      </c>
    </row>
    <row r="50" spans="2:8" ht="11.25" hidden="1" customHeight="1" outlineLevel="1" x14ac:dyDescent="0.35">
      <c r="B50" s="244" t="s">
        <v>5372</v>
      </c>
      <c r="C50" s="245"/>
      <c r="D50" s="279" t="str">
        <f>IF(T356="","",T356)</f>
        <v>NA</v>
      </c>
      <c r="E50" s="279" t="str">
        <f>IF(T345="","",T345)</f>
        <v>NA</v>
      </c>
      <c r="F50" s="279" t="str">
        <f>IF(T334="","",T334)</f>
        <v>NA</v>
      </c>
      <c r="G50" s="279" t="str">
        <f>IF(T323="","",T323)</f>
        <v>NA</v>
      </c>
      <c r="H50" s="279" t="str">
        <f>IF(T312="","",T312)</f>
        <v>NA</v>
      </c>
    </row>
    <row r="51" spans="2:8" ht="11.25" hidden="1" customHeight="1" outlineLevel="1" x14ac:dyDescent="0.35">
      <c r="B51" s="244"/>
      <c r="C51" s="245"/>
      <c r="D51" s="301"/>
      <c r="E51" s="301"/>
      <c r="F51" s="301"/>
      <c r="G51" s="301"/>
      <c r="H51" s="301"/>
    </row>
    <row r="52" spans="2:8" ht="11.25" hidden="1" customHeight="1" outlineLevel="1" x14ac:dyDescent="0.35">
      <c r="B52" s="246" t="s">
        <v>5461</v>
      </c>
      <c r="C52" s="245"/>
      <c r="D52" s="279"/>
      <c r="E52" s="279"/>
      <c r="F52" s="279"/>
      <c r="G52" s="279"/>
      <c r="H52" s="279"/>
    </row>
    <row r="53" spans="2:8" ht="11.25" hidden="1" customHeight="1" outlineLevel="1" x14ac:dyDescent="0.35">
      <c r="B53" s="292" t="s">
        <v>5365</v>
      </c>
      <c r="C53" s="245"/>
      <c r="D53" s="279" t="str">
        <f>IF(T402="","",T402)</f>
        <v>NA</v>
      </c>
      <c r="E53" s="279" t="str">
        <f>IF(T391="","",T391)</f>
        <v>NA</v>
      </c>
      <c r="F53" s="279" t="str">
        <f>IF(T380="","",T380)</f>
        <v>NA</v>
      </c>
      <c r="G53" s="279" t="str">
        <f>IF(T369="","",T369)</f>
        <v>NA</v>
      </c>
      <c r="H53" s="279" t="str">
        <f>IF(T358="","",T358)</f>
        <v>NA</v>
      </c>
    </row>
    <row r="54" spans="2:8" ht="11.25" hidden="1" customHeight="1" outlineLevel="1" x14ac:dyDescent="0.35">
      <c r="B54" s="244" t="s">
        <v>5366</v>
      </c>
      <c r="C54" s="245"/>
      <c r="D54" s="279" t="str">
        <f>IF(T403="","",T403)</f>
        <v>NA</v>
      </c>
      <c r="E54" s="279" t="str">
        <f>IF(T392="","",T392)</f>
        <v>NA</v>
      </c>
      <c r="F54" s="279" t="str">
        <f>IF(T381="","",T381)</f>
        <v>NA</v>
      </c>
      <c r="G54" s="279" t="str">
        <f>IF(T370="","",T370)</f>
        <v>NA</v>
      </c>
      <c r="H54" s="279" t="str">
        <f>IF(T359="","",T359)</f>
        <v>NA</v>
      </c>
    </row>
    <row r="55" spans="2:8" ht="11.25" hidden="1" customHeight="1" outlineLevel="1" x14ac:dyDescent="0.35">
      <c r="B55" s="244" t="s">
        <v>5122</v>
      </c>
      <c r="C55" s="245"/>
      <c r="D55" s="279" t="str">
        <f>IF(T404="","",T404)</f>
        <v>NA</v>
      </c>
      <c r="E55" s="279" t="str">
        <f>IF(T393="","",T393)</f>
        <v>NA</v>
      </c>
      <c r="F55" s="279" t="str">
        <f>IF(T382="","",T382)</f>
        <v>NA</v>
      </c>
      <c r="G55" s="279" t="str">
        <f>IF(T371="","",T371)</f>
        <v>NA</v>
      </c>
      <c r="H55" s="279" t="str">
        <f>IF(T360="","",T360)</f>
        <v>NA</v>
      </c>
    </row>
    <row r="56" spans="2:8" ht="11.25" hidden="1" customHeight="1" outlineLevel="1" x14ac:dyDescent="0.35">
      <c r="B56" s="244" t="s">
        <v>5124</v>
      </c>
      <c r="C56" s="245"/>
      <c r="D56" s="279" t="str">
        <f>IF(T405="","",T405)</f>
        <v>NA</v>
      </c>
      <c r="E56" s="279" t="str">
        <f>IF(T394="","",T394)</f>
        <v>NA</v>
      </c>
      <c r="F56" s="279" t="str">
        <f>IF(T383="","",T383)</f>
        <v>NA</v>
      </c>
      <c r="G56" s="279" t="str">
        <f>IF(T372="","",T372)</f>
        <v>NA</v>
      </c>
      <c r="H56" s="279" t="str">
        <f>IF(T361="","",T361)</f>
        <v>NA</v>
      </c>
    </row>
    <row r="57" spans="2:8" ht="11.25" hidden="1" customHeight="1" outlineLevel="1" x14ac:dyDescent="0.35">
      <c r="B57" s="244" t="s">
        <v>5121</v>
      </c>
      <c r="C57" s="245"/>
      <c r="D57" s="279" t="str">
        <f>IF(T406="","",T406)</f>
        <v>NA</v>
      </c>
      <c r="E57" s="279" t="str">
        <f>IF(T395="","",T395)</f>
        <v>NA</v>
      </c>
      <c r="F57" s="279" t="str">
        <f>IF(T384="","",T384)</f>
        <v>NA</v>
      </c>
      <c r="G57" s="279" t="str">
        <f>IF(T373="","",T373)</f>
        <v>NA</v>
      </c>
      <c r="H57" s="279" t="str">
        <f>IF(T362="","",T362)</f>
        <v>NA</v>
      </c>
    </row>
    <row r="58" spans="2:8" ht="11.25" hidden="1" customHeight="1" outlineLevel="1" x14ac:dyDescent="0.35">
      <c r="B58" s="244" t="s">
        <v>5367</v>
      </c>
      <c r="C58" s="245"/>
      <c r="D58" s="279" t="str">
        <f>IF(T407="","",T407)</f>
        <v>NA</v>
      </c>
      <c r="E58" s="279" t="str">
        <f>IF(T396="","",T396)</f>
        <v>NA</v>
      </c>
      <c r="F58" s="279" t="str">
        <f>IF(T385="","",T385)</f>
        <v>NA</v>
      </c>
      <c r="G58" s="279" t="str">
        <f>IF(T374="","",T374)</f>
        <v>NA</v>
      </c>
      <c r="H58" s="279" t="str">
        <f>IF(T363="","",T363)</f>
        <v>NA</v>
      </c>
    </row>
    <row r="59" spans="2:8" ht="11.25" hidden="1" customHeight="1" outlineLevel="1" x14ac:dyDescent="0.35">
      <c r="B59" s="244" t="s">
        <v>5368</v>
      </c>
      <c r="C59" s="245"/>
      <c r="D59" s="279" t="str">
        <f>IF(T408="","",T408)</f>
        <v>NA</v>
      </c>
      <c r="E59" s="279" t="str">
        <f>IF(T397="","",T397)</f>
        <v>NA</v>
      </c>
      <c r="F59" s="279" t="str">
        <f>IF(T386="","",T386)</f>
        <v>NA</v>
      </c>
      <c r="G59" s="279" t="str">
        <f>IF(T375="","",T375)</f>
        <v>NA</v>
      </c>
      <c r="H59" s="279" t="str">
        <f>IF(T364="","",T364)</f>
        <v>NA</v>
      </c>
    </row>
    <row r="60" spans="2:8" ht="11.25" hidden="1" customHeight="1" outlineLevel="1" x14ac:dyDescent="0.35">
      <c r="B60" s="244" t="s">
        <v>5369</v>
      </c>
      <c r="C60" s="245"/>
      <c r="D60" s="279" t="str">
        <f>IF(T409="","",T409)</f>
        <v>NA</v>
      </c>
      <c r="E60" s="279" t="str">
        <f>IF(T398="","",T398)</f>
        <v>NA</v>
      </c>
      <c r="F60" s="279" t="str">
        <f>IF(T387="","",T387)</f>
        <v>NA</v>
      </c>
      <c r="G60" s="279" t="str">
        <f>IF(T376="","",T376)</f>
        <v>NA</v>
      </c>
      <c r="H60" s="279" t="str">
        <f>IF(T365="","",T365)</f>
        <v>NA</v>
      </c>
    </row>
    <row r="61" spans="2:8" ht="11.25" hidden="1" customHeight="1" outlineLevel="1" x14ac:dyDescent="0.35">
      <c r="B61" s="244" t="s">
        <v>5370</v>
      </c>
      <c r="C61" s="245"/>
      <c r="D61" s="279" t="str">
        <f>IF(T410="","",T410)</f>
        <v>NA</v>
      </c>
      <c r="E61" s="279" t="str">
        <f>IF(T399="","",T399)</f>
        <v>NA</v>
      </c>
      <c r="F61" s="279" t="str">
        <f>IF(T388="","",T388)</f>
        <v>NA</v>
      </c>
      <c r="G61" s="279" t="str">
        <f>IF(T377="","",T377)</f>
        <v>NA</v>
      </c>
      <c r="H61" s="279" t="str">
        <f>IF(T366="","",T366)</f>
        <v>NA</v>
      </c>
    </row>
    <row r="62" spans="2:8" ht="11.25" hidden="1" customHeight="1" outlineLevel="1" x14ac:dyDescent="0.35">
      <c r="B62" s="244" t="s">
        <v>5371</v>
      </c>
      <c r="C62" s="245"/>
      <c r="D62" s="279" t="str">
        <f>IF(T411="","",T411)</f>
        <v>NA</v>
      </c>
      <c r="E62" s="279" t="str">
        <f>IF(T400="","",T400)</f>
        <v>NA</v>
      </c>
      <c r="F62" s="279" t="str">
        <f>IF(T389="","",T389)</f>
        <v>NA</v>
      </c>
      <c r="G62" s="279" t="str">
        <f>IF(T378="","",T378)</f>
        <v>NA</v>
      </c>
      <c r="H62" s="279" t="str">
        <f>IF(T367="","",T367)</f>
        <v>NA</v>
      </c>
    </row>
    <row r="63" spans="2:8" ht="11.25" hidden="1" customHeight="1" outlineLevel="1" x14ac:dyDescent="0.35">
      <c r="B63" s="244" t="s">
        <v>5372</v>
      </c>
      <c r="C63" s="245"/>
      <c r="D63" s="279" t="str">
        <f>IF(T412="","",T412)</f>
        <v>NA</v>
      </c>
      <c r="E63" s="279" t="str">
        <f>IF(T401="","",T401)</f>
        <v>NA</v>
      </c>
      <c r="F63" s="279" t="str">
        <f>IF(T390="","",T390)</f>
        <v>NA</v>
      </c>
      <c r="G63" s="279" t="str">
        <f>IF(T379="","",T379)</f>
        <v>NA</v>
      </c>
      <c r="H63" s="279" t="str">
        <f>IF(T368="","",T368)</f>
        <v>NA</v>
      </c>
    </row>
    <row r="64" spans="2:8" ht="11.25" hidden="1" customHeight="1" outlineLevel="1" x14ac:dyDescent="0.35">
      <c r="B64" s="244"/>
      <c r="C64" s="247"/>
      <c r="D64" s="279"/>
      <c r="E64" s="279"/>
      <c r="F64" s="279"/>
      <c r="G64" s="279"/>
      <c r="H64" s="279"/>
    </row>
    <row r="65" spans="2:8" ht="11.25" customHeight="1" collapsed="1" x14ac:dyDescent="0.35">
      <c r="B65" s="244" t="s">
        <v>4962</v>
      </c>
      <c r="C65" s="245">
        <v>123043</v>
      </c>
      <c r="D65" s="279">
        <v>164137870.45031202</v>
      </c>
      <c r="E65" s="279">
        <v>167322080.87812001</v>
      </c>
      <c r="F65" s="279">
        <v>166522937.91613001</v>
      </c>
      <c r="G65" s="279">
        <v>167085527.53747001</v>
      </c>
      <c r="H65" s="279">
        <v>171733049.15720999</v>
      </c>
    </row>
    <row r="66" spans="2:8" ht="11.25" customHeight="1" x14ac:dyDescent="0.35">
      <c r="B66" s="244" t="s">
        <v>5100</v>
      </c>
      <c r="C66" s="245">
        <v>123549</v>
      </c>
      <c r="D66" s="279">
        <v>-29286963.690000001</v>
      </c>
      <c r="E66" s="279">
        <v>-16268042.120000001</v>
      </c>
      <c r="F66" s="279">
        <v>-30779710.504000001</v>
      </c>
      <c r="G66" s="279">
        <v>-21247567.897</v>
      </c>
      <c r="H66" s="279">
        <v>-14987927.450000001</v>
      </c>
    </row>
    <row r="67" spans="2:8" ht="11.25" customHeight="1" x14ac:dyDescent="0.35">
      <c r="B67" s="244" t="s">
        <v>4963</v>
      </c>
      <c r="C67" s="245">
        <v>123550</v>
      </c>
      <c r="D67" s="279">
        <v>23360655.035</v>
      </c>
      <c r="E67" s="279">
        <v>26085975.147</v>
      </c>
      <c r="F67" s="279">
        <v>29516587.243000001</v>
      </c>
      <c r="G67" s="279">
        <v>31425592.789999999</v>
      </c>
      <c r="H67" s="279">
        <v>34270975.314999998</v>
      </c>
    </row>
    <row r="68" spans="2:8" ht="11.25" customHeight="1" x14ac:dyDescent="0.35">
      <c r="B68" s="244" t="s">
        <v>5099</v>
      </c>
      <c r="C68" s="245">
        <v>123551</v>
      </c>
      <c r="D68" s="279">
        <v>53213037.777000003</v>
      </c>
      <c r="E68" s="279">
        <v>53339866.542970002</v>
      </c>
      <c r="F68" s="279">
        <v>41568745.298069999</v>
      </c>
      <c r="G68" s="279">
        <v>42836070.726138003</v>
      </c>
      <c r="H68" s="279">
        <v>39701638.667160004</v>
      </c>
    </row>
    <row r="69" spans="2:8" ht="11.25" customHeight="1" x14ac:dyDescent="0.35">
      <c r="B69" s="244" t="s">
        <v>4933</v>
      </c>
      <c r="C69" s="245">
        <v>123552</v>
      </c>
      <c r="D69" s="279">
        <v>773322504.59831202</v>
      </c>
      <c r="E69" s="279">
        <v>834971217.60608995</v>
      </c>
      <c r="F69" s="279">
        <v>832471741.75750005</v>
      </c>
      <c r="G69" s="279">
        <v>782663654.63049996</v>
      </c>
      <c r="H69" s="279">
        <v>877991644.98000002</v>
      </c>
    </row>
    <row r="70" spans="2:8" ht="11.25" customHeight="1" x14ac:dyDescent="0.35">
      <c r="B70" s="244" t="s">
        <v>4946</v>
      </c>
      <c r="C70" s="247"/>
      <c r="D70" s="279"/>
      <c r="E70" s="279"/>
      <c r="F70" s="279"/>
      <c r="G70" s="279"/>
      <c r="H70" s="279"/>
    </row>
    <row r="71" spans="2:8" ht="11.25" customHeight="1" x14ac:dyDescent="0.35">
      <c r="B71" s="246" t="s">
        <v>5098</v>
      </c>
      <c r="C71" s="247"/>
      <c r="D71" s="279"/>
      <c r="E71" s="279"/>
      <c r="F71" s="279"/>
      <c r="G71" s="279"/>
      <c r="H71" s="279"/>
    </row>
    <row r="72" spans="2:8" ht="11.25" customHeight="1" x14ac:dyDescent="0.35">
      <c r="B72" s="244" t="s">
        <v>5097</v>
      </c>
      <c r="C72" s="245"/>
      <c r="D72" s="279">
        <f>IF(LEFT(D$7,4)&gt;"2018",SUM(D95,D108,D121,D134,D147,D160,D173),D79)</f>
        <v>57766980.332000002</v>
      </c>
      <c r="E72" s="279">
        <f>IF(LEFT(E$7,4)&gt;"2018",SUM(E95,E108,E121,E134,E147,E160,E173),E79)</f>
        <v>61357574.993000001</v>
      </c>
      <c r="F72" s="279">
        <f>IF(LEFT(F$7,4)&gt;"2018",SUM(F95,F108,F121,F134,F147,F160,F173),F79)</f>
        <v>62399053.630000003</v>
      </c>
      <c r="G72" s="279">
        <f>IF(LEFT(G$7,4)&gt;"2018",SUM(G95,G108,G121,G134,G147,G160,G173),G79)</f>
        <v>63041957.162</v>
      </c>
      <c r="H72" s="279">
        <f>IF(LEFT(H$7,4)&gt;"2018",SUM(H95,H108,H121,H134,H147,H160,H173),H79)</f>
        <v>66955613.398000002</v>
      </c>
    </row>
    <row r="73" spans="2:8" ht="11.25" customHeight="1" x14ac:dyDescent="0.35">
      <c r="B73" s="244" t="s">
        <v>5096</v>
      </c>
      <c r="C73" s="245"/>
      <c r="D73" s="279">
        <f>IF(LEFT(D$7,4)&gt;"2018",SUM(D96,D109,D122,D135,D148,D161,D174),D80)</f>
        <v>66958009.612999998</v>
      </c>
      <c r="E73" s="279">
        <f>IF(LEFT(E$7,4)&gt;"2018",SUM(E96,E109,E122,E135,E148,E161,E174),E80)</f>
        <v>71042938.638999999</v>
      </c>
      <c r="F73" s="279">
        <f>IF(LEFT(F$7,4)&gt;"2018",SUM(F96,F109,F122,F135,F148,F161,F174),F80)</f>
        <v>70412871.334000006</v>
      </c>
      <c r="G73" s="279">
        <f>IF(LEFT(G$7,4)&gt;"2018",SUM(G96,G109,G122,G135,G148,G161,G174),G80)</f>
        <v>74929487.497999996</v>
      </c>
      <c r="H73" s="279">
        <f>IF(LEFT(H$7,4)&gt;"2018",SUM(H96,H109,H122,H135,H148,H161,H174),H80)</f>
        <v>69629650.667999998</v>
      </c>
    </row>
    <row r="74" spans="2:8" ht="11.25" customHeight="1" x14ac:dyDescent="0.35">
      <c r="B74" s="244" t="s">
        <v>5095</v>
      </c>
      <c r="C74" s="245"/>
      <c r="D74" s="279">
        <f>IF(LEFT(D$7,4)&gt;"2018",SUM(D91,D104,D117,D130,D143,D156,D169),D81)</f>
        <v>105151739.281</v>
      </c>
      <c r="E74" s="279">
        <f>IF(LEFT(E$7,4)&gt;"2018",SUM(E91,E104,E117,E130,E143,E156,E169),E81)</f>
        <v>104226433.331</v>
      </c>
      <c r="F74" s="279">
        <f>IF(LEFT(F$7,4)&gt;"2018",SUM(F91,F104,F117,F130,F143,F156,F169),F81)</f>
        <v>106679236.492</v>
      </c>
      <c r="G74" s="279">
        <f>IF(LEFT(G$7,4)&gt;"2018",SUM(G91,G104,G117,G130,G143,G156,G169),G81)</f>
        <v>109880890.022</v>
      </c>
      <c r="H74" s="279">
        <f>IF(LEFT(H$7,4)&gt;"2018",SUM(H91,H104,H117,H130,H143,H156,H169),H81)</f>
        <v>112706930.15700001</v>
      </c>
    </row>
    <row r="75" spans="2:8" ht="11.25" customHeight="1" x14ac:dyDescent="0.35">
      <c r="B75" s="244" t="s">
        <v>5462</v>
      </c>
      <c r="C75" s="245"/>
      <c r="D75" s="279">
        <f>IF(LEFT(D$7,4)&gt;"2018","NA",D82)</f>
        <v>901386.29300000006</v>
      </c>
      <c r="E75" s="279">
        <f>IF(LEFT(E$7,4)&gt;"2018","NA",E82)</f>
        <v>846599.27</v>
      </c>
      <c r="F75" s="279">
        <f>IF(LEFT(F$7,4)&gt;"2018","NA",F82)</f>
        <v>685750.397</v>
      </c>
      <c r="G75" s="279">
        <f>IF(LEFT(G$7,4)&gt;"2018","NA",G82)</f>
        <v>652540.11800000002</v>
      </c>
      <c r="H75" s="279">
        <f>IF(LEFT(H$7,4)&gt;"2018","NA",H82)</f>
        <v>597746.83200000005</v>
      </c>
    </row>
    <row r="76" spans="2:8" ht="11.25" customHeight="1" x14ac:dyDescent="0.35">
      <c r="B76" s="244" t="s">
        <v>5093</v>
      </c>
      <c r="C76" s="245"/>
      <c r="D76" s="279">
        <f>IF(LEFT(D$7,4)&gt;"2018",SUM(D92:D94,D105:D107,D118:D120,D131:D133,D144:D146,D157:D159,D170:D172),D83)</f>
        <v>715842.13500000001</v>
      </c>
      <c r="E76" s="279">
        <f>IF(LEFT(E$7,4)&gt;"2018",SUM(E92:E94,E105:E107,E118:E120,E131:E133,E144:E146,E157:E159,E170:E172),E83)</f>
        <v>1461548.041</v>
      </c>
      <c r="F76" s="279">
        <f>IF(LEFT(F$7,4)&gt;"2018",SUM(F92:F94,F105:F107,F118:F120,F131:F133,F144:F146,F157:F159,F170:F172),F83)</f>
        <v>1579467.942</v>
      </c>
      <c r="G76" s="279">
        <f>IF(LEFT(G$7,4)&gt;"2018",SUM(G92:G94,G105:G107,G118:G120,G131:G133,G144:G146,G157:G159,G170:G172),G83)</f>
        <v>1705402.0760000001</v>
      </c>
      <c r="H76" s="279">
        <f>IF(LEFT(H$7,4)&gt;"2018",SUM(H92:H94,H105:H107,H118:H120,H131:H133,H144:H146,H157:H159,H170:H172),H83)</f>
        <v>1857781.135</v>
      </c>
    </row>
    <row r="77" spans="2:8" ht="11.25" customHeight="1" x14ac:dyDescent="0.35">
      <c r="B77" s="244" t="s">
        <v>5092</v>
      </c>
      <c r="C77" s="245">
        <v>123558</v>
      </c>
      <c r="D77" s="279">
        <v>231493865.708</v>
      </c>
      <c r="E77" s="279">
        <v>238935094.26199999</v>
      </c>
      <c r="F77" s="279">
        <v>241756379.78400001</v>
      </c>
      <c r="G77" s="279">
        <v>250632395.47499999</v>
      </c>
      <c r="H77" s="279">
        <v>251752086.87799999</v>
      </c>
    </row>
    <row r="78" spans="2:8" ht="11.25" customHeight="1" x14ac:dyDescent="0.35">
      <c r="B78" s="244"/>
      <c r="C78" s="245"/>
      <c r="D78" s="279"/>
      <c r="E78" s="279"/>
      <c r="F78" s="279"/>
      <c r="G78" s="279"/>
      <c r="H78" s="279"/>
    </row>
    <row r="79" spans="2:8" ht="11.25" hidden="1" customHeight="1" outlineLevel="1" x14ac:dyDescent="0.35">
      <c r="B79" s="244" t="s">
        <v>5097</v>
      </c>
      <c r="C79" s="245">
        <v>123553</v>
      </c>
      <c r="D79" s="279">
        <v>57766980.332000002</v>
      </c>
      <c r="E79" s="279">
        <v>61357574.993000001</v>
      </c>
      <c r="F79" s="279">
        <v>62399053.630000003</v>
      </c>
      <c r="G79" s="279">
        <v>63041957.162</v>
      </c>
      <c r="H79" s="279">
        <v>66955613.398000002</v>
      </c>
    </row>
    <row r="80" spans="2:8" ht="11.25" hidden="1" customHeight="1" outlineLevel="1" x14ac:dyDescent="0.35">
      <c r="B80" s="244" t="s">
        <v>5096</v>
      </c>
      <c r="C80" s="245">
        <v>123554</v>
      </c>
      <c r="D80" s="279">
        <v>66958009.612999998</v>
      </c>
      <c r="E80" s="279">
        <v>71042938.638999999</v>
      </c>
      <c r="F80" s="279">
        <v>70412871.334000006</v>
      </c>
      <c r="G80" s="279">
        <v>74929487.497999996</v>
      </c>
      <c r="H80" s="279">
        <v>69629650.667999998</v>
      </c>
    </row>
    <row r="81" spans="2:8" ht="11.25" hidden="1" customHeight="1" outlineLevel="1" x14ac:dyDescent="0.35">
      <c r="B81" s="244" t="s">
        <v>5095</v>
      </c>
      <c r="C81" s="245">
        <v>123555</v>
      </c>
      <c r="D81" s="279">
        <v>105151739.281</v>
      </c>
      <c r="E81" s="279">
        <v>104226433.331</v>
      </c>
      <c r="F81" s="279">
        <v>106679236.492</v>
      </c>
      <c r="G81" s="279">
        <v>109880890.022</v>
      </c>
      <c r="H81" s="279">
        <v>112706930.15700001</v>
      </c>
    </row>
    <row r="82" spans="2:8" ht="11.25" hidden="1" customHeight="1" outlineLevel="1" x14ac:dyDescent="0.35">
      <c r="B82" s="244" t="s">
        <v>5094</v>
      </c>
      <c r="C82" s="245">
        <v>123556</v>
      </c>
      <c r="D82" s="279">
        <v>901386.29300000006</v>
      </c>
      <c r="E82" s="279">
        <v>846599.27</v>
      </c>
      <c r="F82" s="279">
        <v>685750.397</v>
      </c>
      <c r="G82" s="279">
        <v>652540.11800000002</v>
      </c>
      <c r="H82" s="279">
        <v>597746.83200000005</v>
      </c>
    </row>
    <row r="83" spans="2:8" ht="11.25" hidden="1" customHeight="1" outlineLevel="1" x14ac:dyDescent="0.35">
      <c r="B83" s="244" t="s">
        <v>5093</v>
      </c>
      <c r="C83" s="245">
        <v>123557</v>
      </c>
      <c r="D83" s="279">
        <v>715842.13500000001</v>
      </c>
      <c r="E83" s="279">
        <v>1461548.041</v>
      </c>
      <c r="F83" s="279">
        <v>1579467.942</v>
      </c>
      <c r="G83" s="279">
        <v>1705402.0760000001</v>
      </c>
      <c r="H83" s="279">
        <v>1857781.135</v>
      </c>
    </row>
    <row r="84" spans="2:8" ht="11.25" hidden="1" customHeight="1" outlineLevel="1" x14ac:dyDescent="0.35">
      <c r="B84" s="244"/>
      <c r="C84" s="245"/>
      <c r="D84" s="279"/>
      <c r="E84" s="279"/>
      <c r="F84" s="279"/>
      <c r="G84" s="279"/>
      <c r="H84" s="279"/>
    </row>
    <row r="85" spans="2:8" s="302" customFormat="1" ht="11.25" hidden="1" customHeight="1" outlineLevel="1" x14ac:dyDescent="0.35">
      <c r="B85" s="246" t="s">
        <v>5463</v>
      </c>
      <c r="C85" s="247"/>
      <c r="D85" s="335"/>
      <c r="E85" s="335"/>
      <c r="F85" s="335"/>
      <c r="G85" s="335"/>
      <c r="H85" s="335"/>
    </row>
    <row r="86" spans="2:8" s="302" customFormat="1" ht="11.25" hidden="1" customHeight="1" outlineLevel="1" x14ac:dyDescent="0.35">
      <c r="B86" s="292" t="s">
        <v>5365</v>
      </c>
      <c r="C86" s="247"/>
      <c r="D86" s="279" t="str">
        <f>IF(T458="","",T458)</f>
        <v>NA</v>
      </c>
      <c r="E86" s="279" t="str">
        <f>IF(T447="","",T447)</f>
        <v>NA</v>
      </c>
      <c r="F86" s="279" t="str">
        <f>IF(T436="","",T436)</f>
        <v>NA</v>
      </c>
      <c r="G86" s="279" t="str">
        <f>IF(T425="","",T425)</f>
        <v>NA</v>
      </c>
      <c r="H86" s="279" t="str">
        <f>IF(T414="","",T414)</f>
        <v>NA</v>
      </c>
    </row>
    <row r="87" spans="2:8" ht="11.25" hidden="1" customHeight="1" outlineLevel="1" x14ac:dyDescent="0.35">
      <c r="B87" s="244" t="s">
        <v>5366</v>
      </c>
      <c r="C87" s="245"/>
      <c r="D87" s="279" t="str">
        <f>IF(T459="","",T459)</f>
        <v>NA</v>
      </c>
      <c r="E87" s="279" t="str">
        <f>IF(T448="","",T448)</f>
        <v>NA</v>
      </c>
      <c r="F87" s="279" t="str">
        <f>IF(T437="","",T437)</f>
        <v>NA</v>
      </c>
      <c r="G87" s="279" t="str">
        <f>IF(T426="","",T426)</f>
        <v>NA</v>
      </c>
      <c r="H87" s="279" t="str">
        <f>IF(T415="","",T415)</f>
        <v>NA</v>
      </c>
    </row>
    <row r="88" spans="2:8" ht="11.25" hidden="1" customHeight="1" outlineLevel="1" x14ac:dyDescent="0.35">
      <c r="B88" s="244" t="s">
        <v>5122</v>
      </c>
      <c r="C88" s="245"/>
      <c r="D88" s="279" t="str">
        <f>IF(T460="","",T460)</f>
        <v>NA</v>
      </c>
      <c r="E88" s="279" t="str">
        <f>IF(T449="","",T449)</f>
        <v>NA</v>
      </c>
      <c r="F88" s="279" t="str">
        <f>IF(T438="","",T438)</f>
        <v>NA</v>
      </c>
      <c r="G88" s="279" t="str">
        <f>IF(T427="","",T427)</f>
        <v>NA</v>
      </c>
      <c r="H88" s="279" t="str">
        <f>IF(T416="","",T416)</f>
        <v>NA</v>
      </c>
    </row>
    <row r="89" spans="2:8" ht="11.25" hidden="1" customHeight="1" outlineLevel="1" x14ac:dyDescent="0.35">
      <c r="B89" s="244" t="s">
        <v>5124</v>
      </c>
      <c r="C89" s="245"/>
      <c r="D89" s="279" t="str">
        <f>IF(T461="","",T461)</f>
        <v>NA</v>
      </c>
      <c r="E89" s="279" t="str">
        <f>IF(T450="","",T450)</f>
        <v>NA</v>
      </c>
      <c r="F89" s="279" t="str">
        <f>IF(T439="","",T439)</f>
        <v>NA</v>
      </c>
      <c r="G89" s="279" t="str">
        <f>IF(T428="","",T428)</f>
        <v>NA</v>
      </c>
      <c r="H89" s="279" t="str">
        <f>IF(T417="","",T417)</f>
        <v>NA</v>
      </c>
    </row>
    <row r="90" spans="2:8" ht="11.25" hidden="1" customHeight="1" outlineLevel="1" x14ac:dyDescent="0.35">
      <c r="B90" s="244" t="s">
        <v>5121</v>
      </c>
      <c r="C90" s="245"/>
      <c r="D90" s="279" t="str">
        <f>IF(T462="","",T462)</f>
        <v>NA</v>
      </c>
      <c r="E90" s="279" t="str">
        <f>IF(T451="","",T451)</f>
        <v>NA</v>
      </c>
      <c r="F90" s="279" t="str">
        <f>IF(T440="","",T440)</f>
        <v>NA</v>
      </c>
      <c r="G90" s="279" t="str">
        <f>IF(T429="","",T429)</f>
        <v>NA</v>
      </c>
      <c r="H90" s="279" t="str">
        <f>IF(T418="","",T418)</f>
        <v>NA</v>
      </c>
    </row>
    <row r="91" spans="2:8" ht="11.25" hidden="1" customHeight="1" outlineLevel="1" x14ac:dyDescent="0.35">
      <c r="B91" s="244" t="s">
        <v>5367</v>
      </c>
      <c r="C91" s="245"/>
      <c r="D91" s="279" t="str">
        <f>IF(T463="","",T463)</f>
        <v>NA</v>
      </c>
      <c r="E91" s="279" t="str">
        <f>IF(T452="","",T452)</f>
        <v>NA</v>
      </c>
      <c r="F91" s="279" t="str">
        <f>IF(T441="","",T441)</f>
        <v>NA</v>
      </c>
      <c r="G91" s="279" t="str">
        <f>IF(T430="","",T430)</f>
        <v>NA</v>
      </c>
      <c r="H91" s="279" t="str">
        <f>IF(T419="","",T419)</f>
        <v>NA</v>
      </c>
    </row>
    <row r="92" spans="2:8" ht="11.25" hidden="1" customHeight="1" outlineLevel="1" x14ac:dyDescent="0.35">
      <c r="B92" s="244" t="s">
        <v>5368</v>
      </c>
      <c r="C92" s="245"/>
      <c r="D92" s="279" t="str">
        <f>IF(T464="","",T464)</f>
        <v>NA</v>
      </c>
      <c r="E92" s="279" t="str">
        <f>IF(T453="","",T453)</f>
        <v>NA</v>
      </c>
      <c r="F92" s="279" t="str">
        <f>IF(T442="","",T442)</f>
        <v>NA</v>
      </c>
      <c r="G92" s="279" t="str">
        <f>IF(T431="","",T431)</f>
        <v>NA</v>
      </c>
      <c r="H92" s="279" t="str">
        <f>IF(T420="","",T420)</f>
        <v>NA</v>
      </c>
    </row>
    <row r="93" spans="2:8" ht="11.25" hidden="1" customHeight="1" outlineLevel="1" x14ac:dyDescent="0.35">
      <c r="B93" s="244" t="s">
        <v>5369</v>
      </c>
      <c r="C93" s="245"/>
      <c r="D93" s="279" t="str">
        <f>IF(T465="","",T465)</f>
        <v>NA</v>
      </c>
      <c r="E93" s="279" t="str">
        <f>IF(T454="","",T454)</f>
        <v>NA</v>
      </c>
      <c r="F93" s="279" t="str">
        <f>IF(T443="","",T443)</f>
        <v>NA</v>
      </c>
      <c r="G93" s="279" t="str">
        <f>IF(T432="","",T432)</f>
        <v>NA</v>
      </c>
      <c r="H93" s="279" t="str">
        <f>IF(T421="","",T421)</f>
        <v>NA</v>
      </c>
    </row>
    <row r="94" spans="2:8" ht="11.25" hidden="1" customHeight="1" outlineLevel="1" x14ac:dyDescent="0.35">
      <c r="B94" s="244" t="s">
        <v>5370</v>
      </c>
      <c r="C94" s="245"/>
      <c r="D94" s="279" t="str">
        <f>IF(T466="","",T466)</f>
        <v>NA</v>
      </c>
      <c r="E94" s="279" t="str">
        <f>IF(T455="","",T455)</f>
        <v>NA</v>
      </c>
      <c r="F94" s="279" t="str">
        <f>IF(T444="","",T444)</f>
        <v>NA</v>
      </c>
      <c r="G94" s="279" t="str">
        <f>IF(T433="","",T433)</f>
        <v>NA</v>
      </c>
      <c r="H94" s="279" t="str">
        <f>IF(T422="","",T422)</f>
        <v>NA</v>
      </c>
    </row>
    <row r="95" spans="2:8" ht="11.25" hidden="1" customHeight="1" outlineLevel="1" x14ac:dyDescent="0.35">
      <c r="B95" s="244" t="s">
        <v>5371</v>
      </c>
      <c r="C95" s="245"/>
      <c r="D95" s="279" t="str">
        <f>IF(T467="","",T467)</f>
        <v>NA</v>
      </c>
      <c r="E95" s="279" t="str">
        <f>IF(T456="","",T456)</f>
        <v>NA</v>
      </c>
      <c r="F95" s="279" t="str">
        <f>IF(T445="","",T445)</f>
        <v>NA</v>
      </c>
      <c r="G95" s="279" t="str">
        <f>IF(T434="","",T434)</f>
        <v>NA</v>
      </c>
      <c r="H95" s="279" t="str">
        <f>IF(T423="","",T423)</f>
        <v>NA</v>
      </c>
    </row>
    <row r="96" spans="2:8" ht="11.25" hidden="1" customHeight="1" outlineLevel="1" x14ac:dyDescent="0.35">
      <c r="B96" s="244" t="s">
        <v>5372</v>
      </c>
      <c r="C96" s="245"/>
      <c r="D96" s="279" t="str">
        <f>IF(T468="","",T468)</f>
        <v>NA</v>
      </c>
      <c r="E96" s="279" t="str">
        <f>IF(T457="","",T457)</f>
        <v>NA</v>
      </c>
      <c r="F96" s="279" t="str">
        <f>IF(T446="","",T446)</f>
        <v>NA</v>
      </c>
      <c r="G96" s="279" t="str">
        <f>IF(T435="","",T435)</f>
        <v>NA</v>
      </c>
      <c r="H96" s="279" t="str">
        <f>IF(T424="","",T424)</f>
        <v>NA</v>
      </c>
    </row>
    <row r="97" spans="2:8" ht="11.25" hidden="1" customHeight="1" outlineLevel="1" x14ac:dyDescent="0.35">
      <c r="B97" s="244"/>
      <c r="C97" s="245"/>
      <c r="D97" s="279"/>
      <c r="E97" s="279"/>
      <c r="F97" s="279"/>
      <c r="G97" s="279"/>
      <c r="H97" s="279"/>
    </row>
    <row r="98" spans="2:8" ht="11.25" hidden="1" customHeight="1" outlineLevel="1" x14ac:dyDescent="0.35">
      <c r="B98" s="246" t="s">
        <v>5464</v>
      </c>
      <c r="C98" s="245"/>
      <c r="D98" s="279"/>
      <c r="E98" s="279"/>
      <c r="F98" s="279"/>
      <c r="G98" s="279"/>
      <c r="H98" s="279"/>
    </row>
    <row r="99" spans="2:8" ht="11.25" hidden="1" customHeight="1" outlineLevel="1" x14ac:dyDescent="0.35">
      <c r="B99" s="292" t="s">
        <v>5365</v>
      </c>
      <c r="C99" s="245"/>
      <c r="D99" s="279" t="str">
        <f>IF(T514="","",T514)</f>
        <v>NA</v>
      </c>
      <c r="E99" s="279" t="str">
        <f>IF(T503="","",T503)</f>
        <v>NA</v>
      </c>
      <c r="F99" s="279" t="str">
        <f>IF(T492="","",T492)</f>
        <v>NA</v>
      </c>
      <c r="G99" s="279" t="str">
        <f>IF(T481="","",T481)</f>
        <v>NA</v>
      </c>
      <c r="H99" s="279" t="str">
        <f>IF(T470="","",T470)</f>
        <v>NA</v>
      </c>
    </row>
    <row r="100" spans="2:8" ht="11.25" hidden="1" customHeight="1" outlineLevel="1" x14ac:dyDescent="0.35">
      <c r="B100" s="244" t="s">
        <v>5366</v>
      </c>
      <c r="C100" s="245"/>
      <c r="D100" s="279" t="str">
        <f>IF(T515="","",T515)</f>
        <v>NA</v>
      </c>
      <c r="E100" s="279" t="str">
        <f>IF(T504="","",T504)</f>
        <v>NA</v>
      </c>
      <c r="F100" s="279" t="str">
        <f>IF(T493="","",T493)</f>
        <v>NA</v>
      </c>
      <c r="G100" s="279" t="str">
        <f>IF(T482="","",T482)</f>
        <v>NA</v>
      </c>
      <c r="H100" s="279" t="str">
        <f>IF(T471="","",T471)</f>
        <v>NA</v>
      </c>
    </row>
    <row r="101" spans="2:8" ht="11.25" hidden="1" customHeight="1" outlineLevel="1" x14ac:dyDescent="0.35">
      <c r="B101" s="244" t="s">
        <v>5122</v>
      </c>
      <c r="C101" s="245"/>
      <c r="D101" s="279" t="str">
        <f>IF(T516="","",T516)</f>
        <v>NA</v>
      </c>
      <c r="E101" s="279" t="str">
        <f>IF(T505="","",T505)</f>
        <v>NA</v>
      </c>
      <c r="F101" s="279" t="str">
        <f>IF(T494="","",T494)</f>
        <v>NA</v>
      </c>
      <c r="G101" s="279" t="str">
        <f>IF(T483="","",T483)</f>
        <v>NA</v>
      </c>
      <c r="H101" s="279" t="str">
        <f>IF(T472="","",T472)</f>
        <v>NA</v>
      </c>
    </row>
    <row r="102" spans="2:8" ht="11.25" hidden="1" customHeight="1" outlineLevel="1" x14ac:dyDescent="0.35">
      <c r="B102" s="244" t="s">
        <v>5124</v>
      </c>
      <c r="C102" s="245"/>
      <c r="D102" s="279" t="str">
        <f>IF(T517="","",T517)</f>
        <v>NA</v>
      </c>
      <c r="E102" s="279" t="str">
        <f>IF(T506="","",T506)</f>
        <v>NA</v>
      </c>
      <c r="F102" s="279" t="str">
        <f>IF(T495="","",T495)</f>
        <v>NA</v>
      </c>
      <c r="G102" s="279" t="str">
        <f>IF(T484="","",T484)</f>
        <v>NA</v>
      </c>
      <c r="H102" s="279" t="str">
        <f>IF(T473="","",T473)</f>
        <v>NA</v>
      </c>
    </row>
    <row r="103" spans="2:8" ht="11.25" hidden="1" customHeight="1" outlineLevel="1" x14ac:dyDescent="0.35">
      <c r="B103" s="244" t="s">
        <v>5121</v>
      </c>
      <c r="C103" s="245"/>
      <c r="D103" s="279" t="str">
        <f>IF(T518="","",T518)</f>
        <v>NA</v>
      </c>
      <c r="E103" s="279" t="str">
        <f>IF(T507="","",T507)</f>
        <v>NA</v>
      </c>
      <c r="F103" s="279" t="str">
        <f>IF(T496="","",T496)</f>
        <v>NA</v>
      </c>
      <c r="G103" s="279" t="str">
        <f>IF(T485="","",T485)</f>
        <v>NA</v>
      </c>
      <c r="H103" s="279" t="str">
        <f>IF(T474="","",T474)</f>
        <v>NA</v>
      </c>
    </row>
    <row r="104" spans="2:8" ht="11.25" hidden="1" customHeight="1" outlineLevel="1" x14ac:dyDescent="0.35">
      <c r="B104" s="244" t="s">
        <v>5367</v>
      </c>
      <c r="C104" s="245"/>
      <c r="D104" s="279" t="str">
        <f>IF(T519="","",T519)</f>
        <v>NA</v>
      </c>
      <c r="E104" s="279" t="str">
        <f>IF(T508="","",T508)</f>
        <v>NA</v>
      </c>
      <c r="F104" s="279" t="str">
        <f>IF(T497="","",T497)</f>
        <v>NA</v>
      </c>
      <c r="G104" s="279" t="str">
        <f>IF(T486="","",T486)</f>
        <v>NA</v>
      </c>
      <c r="H104" s="279" t="str">
        <f>IF(T475="","",T475)</f>
        <v>NA</v>
      </c>
    </row>
    <row r="105" spans="2:8" ht="11.25" hidden="1" customHeight="1" outlineLevel="1" x14ac:dyDescent="0.35">
      <c r="B105" s="244" t="s">
        <v>5368</v>
      </c>
      <c r="C105" s="245"/>
      <c r="D105" s="279" t="str">
        <f>IF(T520="","",T520)</f>
        <v>NA</v>
      </c>
      <c r="E105" s="279" t="str">
        <f>IF(T509="","",T509)</f>
        <v>NA</v>
      </c>
      <c r="F105" s="279" t="str">
        <f>IF(T498="","",T498)</f>
        <v>NA</v>
      </c>
      <c r="G105" s="279" t="str">
        <f>IF(T487="","",T487)</f>
        <v>NA</v>
      </c>
      <c r="H105" s="279" t="str">
        <f>IF(T476="","",T476)</f>
        <v>NA</v>
      </c>
    </row>
    <row r="106" spans="2:8" ht="11.25" hidden="1" customHeight="1" outlineLevel="1" x14ac:dyDescent="0.35">
      <c r="B106" s="244" t="s">
        <v>5369</v>
      </c>
      <c r="C106" s="245"/>
      <c r="D106" s="279" t="str">
        <f>IF(T521="","",T521)</f>
        <v>NA</v>
      </c>
      <c r="E106" s="279" t="str">
        <f>IF(T510="","",T510)</f>
        <v>NA</v>
      </c>
      <c r="F106" s="279" t="str">
        <f>IF(T499="","",T499)</f>
        <v>NA</v>
      </c>
      <c r="G106" s="279" t="str">
        <f>IF(T488="","",T488)</f>
        <v>NA</v>
      </c>
      <c r="H106" s="279" t="str">
        <f>IF(T477="","",T477)</f>
        <v>NA</v>
      </c>
    </row>
    <row r="107" spans="2:8" ht="11.25" hidden="1" customHeight="1" outlineLevel="1" x14ac:dyDescent="0.35">
      <c r="B107" s="244" t="s">
        <v>5370</v>
      </c>
      <c r="C107" s="245"/>
      <c r="D107" s="279" t="str">
        <f>IF(T522="","",T522)</f>
        <v>NA</v>
      </c>
      <c r="E107" s="279" t="str">
        <f>IF(T511="","",T511)</f>
        <v>NA</v>
      </c>
      <c r="F107" s="279" t="str">
        <f>IF(T500="","",T500)</f>
        <v>NA</v>
      </c>
      <c r="G107" s="279" t="str">
        <f>IF(T489="","",T489)</f>
        <v>NA</v>
      </c>
      <c r="H107" s="279" t="str">
        <f>IF(T478="","",T478)</f>
        <v>NA</v>
      </c>
    </row>
    <row r="108" spans="2:8" ht="11.25" hidden="1" customHeight="1" outlineLevel="1" x14ac:dyDescent="0.35">
      <c r="B108" s="244" t="s">
        <v>5371</v>
      </c>
      <c r="C108" s="245"/>
      <c r="D108" s="279" t="str">
        <f>IF(T523="","",T523)</f>
        <v>NA</v>
      </c>
      <c r="E108" s="279" t="str">
        <f>IF(T512="","",T512)</f>
        <v>NA</v>
      </c>
      <c r="F108" s="279" t="str">
        <f>IF(T501="","",T501)</f>
        <v>NA</v>
      </c>
      <c r="G108" s="279" t="str">
        <f>IF(T490="","",T490)</f>
        <v>NA</v>
      </c>
      <c r="H108" s="279" t="str">
        <f>IF(T479="","",T479)</f>
        <v>NA</v>
      </c>
    </row>
    <row r="109" spans="2:8" ht="11.25" hidden="1" customHeight="1" outlineLevel="1" x14ac:dyDescent="0.35">
      <c r="B109" s="244" t="s">
        <v>5372</v>
      </c>
      <c r="C109" s="245"/>
      <c r="D109" s="279" t="str">
        <f>IF(T524="","",T524)</f>
        <v>NA</v>
      </c>
      <c r="E109" s="279" t="str">
        <f>IF(T513="","",T513)</f>
        <v>NA</v>
      </c>
      <c r="F109" s="279" t="str">
        <f>IF(T502="","",T502)</f>
        <v>NA</v>
      </c>
      <c r="G109" s="279" t="str">
        <f>IF(T491="","",T491)</f>
        <v>NA</v>
      </c>
      <c r="H109" s="279" t="str">
        <f>IF(T480="","",T480)</f>
        <v>NA</v>
      </c>
    </row>
    <row r="110" spans="2:8" ht="11.25" hidden="1" customHeight="1" outlineLevel="1" x14ac:dyDescent="0.35">
      <c r="B110" s="244"/>
      <c r="C110" s="245"/>
      <c r="D110" s="279"/>
      <c r="E110" s="279"/>
      <c r="F110" s="279"/>
      <c r="G110" s="279"/>
      <c r="H110" s="279"/>
    </row>
    <row r="111" spans="2:8" ht="11.25" hidden="1" customHeight="1" outlineLevel="1" x14ac:dyDescent="0.35">
      <c r="B111" s="246" t="s">
        <v>5465</v>
      </c>
      <c r="C111" s="245"/>
      <c r="D111" s="279"/>
      <c r="E111" s="279"/>
      <c r="F111" s="279"/>
      <c r="G111" s="279"/>
      <c r="H111" s="279"/>
    </row>
    <row r="112" spans="2:8" ht="11.25" hidden="1" customHeight="1" outlineLevel="1" x14ac:dyDescent="0.35">
      <c r="B112" s="292" t="s">
        <v>5365</v>
      </c>
      <c r="C112" s="245"/>
      <c r="D112" s="279" t="str">
        <f>IF(T570="","",T570)</f>
        <v>NA</v>
      </c>
      <c r="E112" s="279" t="str">
        <f>IF(T559="","",T559)</f>
        <v>NA</v>
      </c>
      <c r="F112" s="279" t="str">
        <f>IF(T548="","",T548)</f>
        <v>NA</v>
      </c>
      <c r="G112" s="279" t="str">
        <f>IF(T537="","",T537)</f>
        <v>NA</v>
      </c>
      <c r="H112" s="279" t="str">
        <f>IF(T526="","",T526)</f>
        <v>NA</v>
      </c>
    </row>
    <row r="113" spans="2:8" ht="11.25" hidden="1" customHeight="1" outlineLevel="1" x14ac:dyDescent="0.35">
      <c r="B113" s="244" t="s">
        <v>5366</v>
      </c>
      <c r="C113" s="245"/>
      <c r="D113" s="279" t="str">
        <f>IF(T571="","",T571)</f>
        <v>NA</v>
      </c>
      <c r="E113" s="279" t="str">
        <f>IF(T560="","",T560)</f>
        <v>NA</v>
      </c>
      <c r="F113" s="279" t="str">
        <f>IF(T549="","",T549)</f>
        <v>NA</v>
      </c>
      <c r="G113" s="279" t="str">
        <f>IF(T538="","",T538)</f>
        <v>NA</v>
      </c>
      <c r="H113" s="279" t="str">
        <f>IF(T527="","",T527)</f>
        <v>NA</v>
      </c>
    </row>
    <row r="114" spans="2:8" ht="11.25" hidden="1" customHeight="1" outlineLevel="1" x14ac:dyDescent="0.35">
      <c r="B114" s="244" t="s">
        <v>5122</v>
      </c>
      <c r="C114" s="245"/>
      <c r="D114" s="279" t="str">
        <f>IF(T572="","",T572)</f>
        <v>NA</v>
      </c>
      <c r="E114" s="279" t="str">
        <f>IF(T561="","",T561)</f>
        <v>NA</v>
      </c>
      <c r="F114" s="279" t="str">
        <f>IF(T550="","",T550)</f>
        <v>NA</v>
      </c>
      <c r="G114" s="279" t="str">
        <f>IF(T539="","",T539)</f>
        <v>NA</v>
      </c>
      <c r="H114" s="279" t="str">
        <f>IF(T528="","",T528)</f>
        <v>NA</v>
      </c>
    </row>
    <row r="115" spans="2:8" ht="11.25" hidden="1" customHeight="1" outlineLevel="1" x14ac:dyDescent="0.35">
      <c r="B115" s="244" t="s">
        <v>5124</v>
      </c>
      <c r="C115" s="245"/>
      <c r="D115" s="279" t="str">
        <f>IF(T573="","",T573)</f>
        <v>NA</v>
      </c>
      <c r="E115" s="279" t="str">
        <f>IF(T562="","",T562)</f>
        <v>NA</v>
      </c>
      <c r="F115" s="279" t="str">
        <f>IF(T551="","",T551)</f>
        <v>NA</v>
      </c>
      <c r="G115" s="279" t="str">
        <f>IF(T540="","",T540)</f>
        <v>NA</v>
      </c>
      <c r="H115" s="279" t="str">
        <f>IF(T529="","",T529)</f>
        <v>NA</v>
      </c>
    </row>
    <row r="116" spans="2:8" ht="11.25" hidden="1" customHeight="1" outlineLevel="1" x14ac:dyDescent="0.35">
      <c r="B116" s="244" t="s">
        <v>5121</v>
      </c>
      <c r="C116" s="245"/>
      <c r="D116" s="279" t="str">
        <f>IF(T574="","",T574)</f>
        <v>NA</v>
      </c>
      <c r="E116" s="279" t="str">
        <f>IF(T563="","",T563)</f>
        <v>NA</v>
      </c>
      <c r="F116" s="279" t="str">
        <f>IF(T552="","",T552)</f>
        <v>NA</v>
      </c>
      <c r="G116" s="279" t="str">
        <f>IF(T541="","",T541)</f>
        <v>NA</v>
      </c>
      <c r="H116" s="279" t="str">
        <f>IF(T530="","",T530)</f>
        <v>NA</v>
      </c>
    </row>
    <row r="117" spans="2:8" ht="11.25" hidden="1" customHeight="1" outlineLevel="1" x14ac:dyDescent="0.35">
      <c r="B117" s="244" t="s">
        <v>5367</v>
      </c>
      <c r="C117" s="245"/>
      <c r="D117" s="279" t="str">
        <f>IF(T575="","",T575)</f>
        <v>NA</v>
      </c>
      <c r="E117" s="279" t="str">
        <f>IF(T564="","",T564)</f>
        <v>NA</v>
      </c>
      <c r="F117" s="279" t="str">
        <f>IF(T553="","",T553)</f>
        <v>NA</v>
      </c>
      <c r="G117" s="279" t="str">
        <f>IF(T542="","",T542)</f>
        <v>NA</v>
      </c>
      <c r="H117" s="279" t="str">
        <f>IF(T531="","",T531)</f>
        <v>NA</v>
      </c>
    </row>
    <row r="118" spans="2:8" ht="11.25" hidden="1" customHeight="1" outlineLevel="1" x14ac:dyDescent="0.35">
      <c r="B118" s="244" t="s">
        <v>5368</v>
      </c>
      <c r="C118" s="245"/>
      <c r="D118" s="279" t="str">
        <f>IF(T576="","",T576)</f>
        <v>NA</v>
      </c>
      <c r="E118" s="279" t="str">
        <f>IF(T565="","",T565)</f>
        <v>NA</v>
      </c>
      <c r="F118" s="279" t="str">
        <f>IF(T554="","",T554)</f>
        <v>NA</v>
      </c>
      <c r="G118" s="279" t="str">
        <f>IF(T543="","",T543)</f>
        <v>NA</v>
      </c>
      <c r="H118" s="279" t="str">
        <f>IF(T532="","",T532)</f>
        <v>NA</v>
      </c>
    </row>
    <row r="119" spans="2:8" ht="11.25" hidden="1" customHeight="1" outlineLevel="1" x14ac:dyDescent="0.35">
      <c r="B119" s="244" t="s">
        <v>5369</v>
      </c>
      <c r="C119" s="245"/>
      <c r="D119" s="279" t="str">
        <f>IF(T577="","",T577)</f>
        <v>NA</v>
      </c>
      <c r="E119" s="279" t="str">
        <f>IF(T566="","",T566)</f>
        <v>NA</v>
      </c>
      <c r="F119" s="279" t="str">
        <f>IF(T555="","",T555)</f>
        <v>NA</v>
      </c>
      <c r="G119" s="279" t="str">
        <f>IF(T544="","",T544)</f>
        <v>NA</v>
      </c>
      <c r="H119" s="279" t="str">
        <f>IF(T533="","",T533)</f>
        <v>NA</v>
      </c>
    </row>
    <row r="120" spans="2:8" ht="11.25" hidden="1" customHeight="1" outlineLevel="1" x14ac:dyDescent="0.35">
      <c r="B120" s="244" t="s">
        <v>5370</v>
      </c>
      <c r="C120" s="245"/>
      <c r="D120" s="279" t="str">
        <f>IF(T578="","",T578)</f>
        <v>NA</v>
      </c>
      <c r="E120" s="279" t="str">
        <f>IF(T567="","",T567)</f>
        <v>NA</v>
      </c>
      <c r="F120" s="279" t="str">
        <f>IF(T556="","",T556)</f>
        <v>NA</v>
      </c>
      <c r="G120" s="279" t="str">
        <f>IF(T545="","",T545)</f>
        <v>NA</v>
      </c>
      <c r="H120" s="279" t="str">
        <f>IF(T534="","",T534)</f>
        <v>NA</v>
      </c>
    </row>
    <row r="121" spans="2:8" ht="11.25" hidden="1" customHeight="1" outlineLevel="1" x14ac:dyDescent="0.35">
      <c r="B121" s="244" t="s">
        <v>5371</v>
      </c>
      <c r="C121" s="245"/>
      <c r="D121" s="279" t="str">
        <f>IF(T579="","",T579)</f>
        <v>NA</v>
      </c>
      <c r="E121" s="279" t="str">
        <f>IF(T568="","",T568)</f>
        <v>NA</v>
      </c>
      <c r="F121" s="279" t="str">
        <f>IF(T557="","",T557)</f>
        <v>NA</v>
      </c>
      <c r="G121" s="279" t="str">
        <f>IF(T546="","",T546)</f>
        <v>NA</v>
      </c>
      <c r="H121" s="279" t="str">
        <f>IF(T535="","",T535)</f>
        <v>NA</v>
      </c>
    </row>
    <row r="122" spans="2:8" ht="11.25" hidden="1" customHeight="1" outlineLevel="1" x14ac:dyDescent="0.35">
      <c r="B122" s="244" t="s">
        <v>5372</v>
      </c>
      <c r="C122" s="245"/>
      <c r="D122" s="279" t="str">
        <f>IF(T580="","",T580)</f>
        <v>NA</v>
      </c>
      <c r="E122" s="279" t="str">
        <f>IF(T569="","",T569)</f>
        <v>NA</v>
      </c>
      <c r="F122" s="279" t="str">
        <f>IF(T558="","",T558)</f>
        <v>NA</v>
      </c>
      <c r="G122" s="279" t="str">
        <f>IF(T547="","",T547)</f>
        <v>NA</v>
      </c>
      <c r="H122" s="279" t="str">
        <f>IF(T536="","",T536)</f>
        <v>NA</v>
      </c>
    </row>
    <row r="123" spans="2:8" ht="11.25" hidden="1" customHeight="1" outlineLevel="1" x14ac:dyDescent="0.35">
      <c r="B123" s="244"/>
      <c r="C123" s="245"/>
      <c r="D123" s="279"/>
      <c r="E123" s="279"/>
      <c r="F123" s="279"/>
      <c r="G123" s="279"/>
      <c r="H123" s="279"/>
    </row>
    <row r="124" spans="2:8" ht="11.25" hidden="1" customHeight="1" outlineLevel="1" x14ac:dyDescent="0.35">
      <c r="B124" s="246" t="s">
        <v>5466</v>
      </c>
      <c r="C124" s="245"/>
      <c r="D124" s="279"/>
      <c r="E124" s="279"/>
      <c r="F124" s="279"/>
      <c r="G124" s="279"/>
      <c r="H124" s="279"/>
    </row>
    <row r="125" spans="2:8" ht="11.25" hidden="1" customHeight="1" outlineLevel="1" x14ac:dyDescent="0.35">
      <c r="B125" s="292" t="s">
        <v>5365</v>
      </c>
      <c r="C125" s="245"/>
      <c r="D125" s="279" t="str">
        <f>IF(T626="","",T626)</f>
        <v>NA</v>
      </c>
      <c r="E125" s="279" t="str">
        <f>IF(T615="","",T615)</f>
        <v>NA</v>
      </c>
      <c r="F125" s="279" t="str">
        <f>IF(T604="","",T604)</f>
        <v>NA</v>
      </c>
      <c r="G125" s="279" t="str">
        <f>IF(T593="","",T593)</f>
        <v>NA</v>
      </c>
      <c r="H125" s="279" t="str">
        <f>IF(T582="","",T582)</f>
        <v>NA</v>
      </c>
    </row>
    <row r="126" spans="2:8" ht="11.25" hidden="1" customHeight="1" outlineLevel="1" x14ac:dyDescent="0.35">
      <c r="B126" s="244" t="s">
        <v>5366</v>
      </c>
      <c r="C126" s="245"/>
      <c r="D126" s="279" t="str">
        <f>IF(T627="","",T627)</f>
        <v>NA</v>
      </c>
      <c r="E126" s="279" t="str">
        <f>IF(T616="","",T616)</f>
        <v>NA</v>
      </c>
      <c r="F126" s="279" t="str">
        <f>IF(T605="","",T605)</f>
        <v>NA</v>
      </c>
      <c r="G126" s="279" t="str">
        <f>IF(T594="","",T594)</f>
        <v>NA</v>
      </c>
      <c r="H126" s="279" t="str">
        <f>IF(T583="","",T583)</f>
        <v>NA</v>
      </c>
    </row>
    <row r="127" spans="2:8" ht="11.25" hidden="1" customHeight="1" outlineLevel="1" x14ac:dyDescent="0.35">
      <c r="B127" s="244" t="s">
        <v>5122</v>
      </c>
      <c r="C127" s="245"/>
      <c r="D127" s="279" t="str">
        <f>IF(T628="","",T628)</f>
        <v>NA</v>
      </c>
      <c r="E127" s="279" t="str">
        <f>IF(T617="","",T617)</f>
        <v>NA</v>
      </c>
      <c r="F127" s="279" t="str">
        <f>IF(T606="","",T606)</f>
        <v>NA</v>
      </c>
      <c r="G127" s="279" t="str">
        <f>IF(T595="","",T595)</f>
        <v>NA</v>
      </c>
      <c r="H127" s="279" t="str">
        <f>IF(T584="","",T584)</f>
        <v>NA</v>
      </c>
    </row>
    <row r="128" spans="2:8" ht="11.25" hidden="1" customHeight="1" outlineLevel="1" x14ac:dyDescent="0.35">
      <c r="B128" s="244" t="s">
        <v>5124</v>
      </c>
      <c r="C128" s="245"/>
      <c r="D128" s="279" t="str">
        <f>IF(T629="","",T629)</f>
        <v>NA</v>
      </c>
      <c r="E128" s="279" t="str">
        <f>IF(T618="","",T618)</f>
        <v>NA</v>
      </c>
      <c r="F128" s="279" t="str">
        <f>IF(T607="","",T607)</f>
        <v>NA</v>
      </c>
      <c r="G128" s="279" t="str">
        <f>IF(T596="","",T596)</f>
        <v>NA</v>
      </c>
      <c r="H128" s="279" t="str">
        <f>IF(T585="","",T585)</f>
        <v>NA</v>
      </c>
    </row>
    <row r="129" spans="2:8" ht="11.25" hidden="1" customHeight="1" outlineLevel="1" x14ac:dyDescent="0.35">
      <c r="B129" s="244" t="s">
        <v>5121</v>
      </c>
      <c r="C129" s="245"/>
      <c r="D129" s="279" t="str">
        <f>IF(T630="","",T630)</f>
        <v>NA</v>
      </c>
      <c r="E129" s="279" t="str">
        <f>IF(T619="","",T619)</f>
        <v>NA</v>
      </c>
      <c r="F129" s="279" t="str">
        <f>IF(T608="","",T608)</f>
        <v>NA</v>
      </c>
      <c r="G129" s="279" t="str">
        <f>IF(T597="","",T597)</f>
        <v>NA</v>
      </c>
      <c r="H129" s="279" t="str">
        <f>IF(T586="","",T586)</f>
        <v>NA</v>
      </c>
    </row>
    <row r="130" spans="2:8" ht="11.25" hidden="1" customHeight="1" outlineLevel="1" x14ac:dyDescent="0.35">
      <c r="B130" s="244" t="s">
        <v>5367</v>
      </c>
      <c r="C130" s="245"/>
      <c r="D130" s="279" t="str">
        <f>IF(T631="","",T631)</f>
        <v>NA</v>
      </c>
      <c r="E130" s="279" t="str">
        <f>IF(T620="","",T620)</f>
        <v>NA</v>
      </c>
      <c r="F130" s="279" t="str">
        <f>IF(T609="","",T609)</f>
        <v>NA</v>
      </c>
      <c r="G130" s="279" t="str">
        <f>IF(T598="","",T598)</f>
        <v>NA</v>
      </c>
      <c r="H130" s="279" t="str">
        <f>IF(T587="","",T587)</f>
        <v>NA</v>
      </c>
    </row>
    <row r="131" spans="2:8" ht="11.25" hidden="1" customHeight="1" outlineLevel="1" x14ac:dyDescent="0.35">
      <c r="B131" s="244" t="s">
        <v>5368</v>
      </c>
      <c r="C131" s="245"/>
      <c r="D131" s="279" t="str">
        <f>IF(T632="","",T632)</f>
        <v>NA</v>
      </c>
      <c r="E131" s="279" t="str">
        <f>IF(T621="","",T621)</f>
        <v>NA</v>
      </c>
      <c r="F131" s="279" t="str">
        <f>IF(T610="","",T610)</f>
        <v>NA</v>
      </c>
      <c r="G131" s="279" t="str">
        <f>IF(T599="","",T599)</f>
        <v>NA</v>
      </c>
      <c r="H131" s="279" t="str">
        <f>IF(T588="","",T588)</f>
        <v>NA</v>
      </c>
    </row>
    <row r="132" spans="2:8" ht="11.25" hidden="1" customHeight="1" outlineLevel="1" x14ac:dyDescent="0.35">
      <c r="B132" s="244" t="s">
        <v>5369</v>
      </c>
      <c r="C132" s="245"/>
      <c r="D132" s="279" t="str">
        <f>IF(T633="","",T633)</f>
        <v>NA</v>
      </c>
      <c r="E132" s="279" t="str">
        <f>IF(T622="","",T622)</f>
        <v>NA</v>
      </c>
      <c r="F132" s="279" t="str">
        <f>IF(T611="","",T611)</f>
        <v>NA</v>
      </c>
      <c r="G132" s="279" t="str">
        <f>IF(T600="","",T600)</f>
        <v>NA</v>
      </c>
      <c r="H132" s="279" t="str">
        <f>IF(T589="","",T589)</f>
        <v>NA</v>
      </c>
    </row>
    <row r="133" spans="2:8" ht="11.25" hidden="1" customHeight="1" outlineLevel="1" x14ac:dyDescent="0.35">
      <c r="B133" s="244" t="s">
        <v>5370</v>
      </c>
      <c r="C133" s="245"/>
      <c r="D133" s="279" t="str">
        <f>IF(T634="","",T634)</f>
        <v>NA</v>
      </c>
      <c r="E133" s="279" t="str">
        <f>IF(T623="","",T623)</f>
        <v>NA</v>
      </c>
      <c r="F133" s="279" t="str">
        <f>IF(T612="","",T612)</f>
        <v>NA</v>
      </c>
      <c r="G133" s="279" t="str">
        <f>IF(T601="","",T601)</f>
        <v>NA</v>
      </c>
      <c r="H133" s="279" t="str">
        <f>IF(T590="","",T590)</f>
        <v>NA</v>
      </c>
    </row>
    <row r="134" spans="2:8" ht="11.25" hidden="1" customHeight="1" outlineLevel="1" x14ac:dyDescent="0.35">
      <c r="B134" s="244" t="s">
        <v>5371</v>
      </c>
      <c r="C134" s="245"/>
      <c r="D134" s="279" t="str">
        <f>IF(T635="","",T635)</f>
        <v>NA</v>
      </c>
      <c r="E134" s="279" t="str">
        <f>IF(T624="","",T624)</f>
        <v>NA</v>
      </c>
      <c r="F134" s="279" t="str">
        <f>IF(T613="","",T613)</f>
        <v>NA</v>
      </c>
      <c r="G134" s="279" t="str">
        <f>IF(T602="","",T602)</f>
        <v>NA</v>
      </c>
      <c r="H134" s="279" t="str">
        <f>IF(T591="","",T591)</f>
        <v>NA</v>
      </c>
    </row>
    <row r="135" spans="2:8" ht="11.25" hidden="1" customHeight="1" outlineLevel="1" x14ac:dyDescent="0.35">
      <c r="B135" s="244" t="s">
        <v>5372</v>
      </c>
      <c r="C135" s="245"/>
      <c r="D135" s="279" t="str">
        <f>IF(T636="","",T636)</f>
        <v>NA</v>
      </c>
      <c r="E135" s="279" t="str">
        <f>IF(T625="","",T625)</f>
        <v>NA</v>
      </c>
      <c r="F135" s="279" t="str">
        <f>IF(T614="","",T614)</f>
        <v>NA</v>
      </c>
      <c r="G135" s="279" t="str">
        <f>IF(T603="","",T603)</f>
        <v>NA</v>
      </c>
      <c r="H135" s="279" t="str">
        <f>IF(T592="","",T592)</f>
        <v>NA</v>
      </c>
    </row>
    <row r="136" spans="2:8" ht="11.25" hidden="1" customHeight="1" outlineLevel="1" x14ac:dyDescent="0.35">
      <c r="B136" s="244"/>
      <c r="C136" s="245"/>
      <c r="D136" s="279"/>
      <c r="E136" s="279"/>
      <c r="F136" s="279"/>
      <c r="G136" s="279"/>
      <c r="H136" s="279"/>
    </row>
    <row r="137" spans="2:8" ht="11.25" hidden="1" customHeight="1" outlineLevel="1" x14ac:dyDescent="0.35">
      <c r="B137" s="246" t="s">
        <v>5467</v>
      </c>
      <c r="C137" s="245"/>
      <c r="D137" s="279"/>
      <c r="E137" s="279"/>
      <c r="F137" s="279"/>
      <c r="G137" s="279"/>
      <c r="H137" s="279"/>
    </row>
    <row r="138" spans="2:8" ht="11.25" hidden="1" customHeight="1" outlineLevel="1" x14ac:dyDescent="0.35">
      <c r="B138" s="292" t="s">
        <v>5365</v>
      </c>
      <c r="C138" s="245"/>
      <c r="D138" s="279" t="str">
        <f>IF(T682="","",T682)</f>
        <v>NA</v>
      </c>
      <c r="E138" s="279" t="str">
        <f>IF(T671="","",T671)</f>
        <v>NA</v>
      </c>
      <c r="F138" s="279" t="str">
        <f>IF(T660="","",T660)</f>
        <v>NA</v>
      </c>
      <c r="G138" s="279" t="str">
        <f>IF(T649="","",T649)</f>
        <v>NA</v>
      </c>
      <c r="H138" s="279" t="str">
        <f>IF(T638="","",T638)</f>
        <v>NA</v>
      </c>
    </row>
    <row r="139" spans="2:8" ht="11.25" hidden="1" customHeight="1" outlineLevel="1" x14ac:dyDescent="0.35">
      <c r="B139" s="244" t="s">
        <v>5366</v>
      </c>
      <c r="C139" s="245"/>
      <c r="D139" s="279" t="str">
        <f>IF(T683="","",T683)</f>
        <v>NA</v>
      </c>
      <c r="E139" s="279" t="str">
        <f>IF(T672="","",T672)</f>
        <v>NA</v>
      </c>
      <c r="F139" s="279" t="str">
        <f>IF(T661="","",T661)</f>
        <v>NA</v>
      </c>
      <c r="G139" s="279" t="str">
        <f>IF(T650="","",T650)</f>
        <v>NA</v>
      </c>
      <c r="H139" s="279" t="str">
        <f>IF(T639="","",T639)</f>
        <v>NA</v>
      </c>
    </row>
    <row r="140" spans="2:8" ht="11.25" hidden="1" customHeight="1" outlineLevel="1" x14ac:dyDescent="0.35">
      <c r="B140" s="244" t="s">
        <v>5122</v>
      </c>
      <c r="C140" s="245"/>
      <c r="D140" s="279" t="str">
        <f>IF(T684="","",T684)</f>
        <v>NA</v>
      </c>
      <c r="E140" s="279" t="str">
        <f>IF(T673="","",T673)</f>
        <v>NA</v>
      </c>
      <c r="F140" s="279" t="str">
        <f>IF(T662="","",T662)</f>
        <v>NA</v>
      </c>
      <c r="G140" s="279" t="str">
        <f>IF(T651="","",T651)</f>
        <v>NA</v>
      </c>
      <c r="H140" s="279" t="str">
        <f>IF(T640="","",T640)</f>
        <v>NA</v>
      </c>
    </row>
    <row r="141" spans="2:8" ht="11.25" hidden="1" customHeight="1" outlineLevel="1" x14ac:dyDescent="0.35">
      <c r="B141" s="244" t="s">
        <v>5124</v>
      </c>
      <c r="C141" s="245"/>
      <c r="D141" s="279" t="str">
        <f>IF(T685="","",T685)</f>
        <v>NA</v>
      </c>
      <c r="E141" s="279" t="str">
        <f>IF(T674="","",T674)</f>
        <v>NA</v>
      </c>
      <c r="F141" s="279" t="str">
        <f>IF(T663="","",T663)</f>
        <v>NA</v>
      </c>
      <c r="G141" s="279" t="str">
        <f>IF(T652="","",T652)</f>
        <v>NA</v>
      </c>
      <c r="H141" s="279" t="str">
        <f>IF(T641="","",T641)</f>
        <v>NA</v>
      </c>
    </row>
    <row r="142" spans="2:8" ht="11.25" hidden="1" customHeight="1" outlineLevel="1" x14ac:dyDescent="0.35">
      <c r="B142" s="244" t="s">
        <v>5121</v>
      </c>
      <c r="C142" s="245"/>
      <c r="D142" s="279" t="str">
        <f>IF(T686="","",T686)</f>
        <v>NA</v>
      </c>
      <c r="E142" s="279" t="str">
        <f>IF(T675="","",T675)</f>
        <v>NA</v>
      </c>
      <c r="F142" s="279" t="str">
        <f>IF(T664="","",T664)</f>
        <v>NA</v>
      </c>
      <c r="G142" s="279" t="str">
        <f>IF(T653="","",T653)</f>
        <v>NA</v>
      </c>
      <c r="H142" s="279" t="str">
        <f>IF(T642="","",T642)</f>
        <v>NA</v>
      </c>
    </row>
    <row r="143" spans="2:8" ht="11.25" hidden="1" customHeight="1" outlineLevel="1" x14ac:dyDescent="0.35">
      <c r="B143" s="244" t="s">
        <v>5367</v>
      </c>
      <c r="C143" s="245"/>
      <c r="D143" s="279" t="str">
        <f>IF(T687="","",T687)</f>
        <v>NA</v>
      </c>
      <c r="E143" s="279" t="str">
        <f>IF(T676="","",T676)</f>
        <v>NA</v>
      </c>
      <c r="F143" s="279" t="str">
        <f>IF(T665="","",T665)</f>
        <v>NA</v>
      </c>
      <c r="G143" s="279" t="str">
        <f>IF(T654="","",T654)</f>
        <v>NA</v>
      </c>
      <c r="H143" s="279" t="str">
        <f>IF(T643="","",T643)</f>
        <v>NA</v>
      </c>
    </row>
    <row r="144" spans="2:8" ht="11.25" hidden="1" customHeight="1" outlineLevel="1" x14ac:dyDescent="0.35">
      <c r="B144" s="244" t="s">
        <v>5368</v>
      </c>
      <c r="C144" s="245"/>
      <c r="D144" s="279" t="str">
        <f>IF(T688="","",T688)</f>
        <v>NA</v>
      </c>
      <c r="E144" s="279" t="str">
        <f>IF(T677="","",T677)</f>
        <v>NA</v>
      </c>
      <c r="F144" s="279" t="str">
        <f>IF(T666="","",T666)</f>
        <v>NA</v>
      </c>
      <c r="G144" s="279" t="str">
        <f>IF(T655="","",T655)</f>
        <v>NA</v>
      </c>
      <c r="H144" s="279" t="str">
        <f>IF(T644="","",T644)</f>
        <v>NA</v>
      </c>
    </row>
    <row r="145" spans="2:8" ht="11.25" hidden="1" customHeight="1" outlineLevel="1" x14ac:dyDescent="0.35">
      <c r="B145" s="244" t="s">
        <v>5369</v>
      </c>
      <c r="C145" s="245"/>
      <c r="D145" s="279" t="str">
        <f>IF(T689="","",T689)</f>
        <v>NA</v>
      </c>
      <c r="E145" s="279" t="str">
        <f>IF(T678="","",T678)</f>
        <v>NA</v>
      </c>
      <c r="F145" s="279" t="str">
        <f>IF(T667="","",T667)</f>
        <v>NA</v>
      </c>
      <c r="G145" s="279" t="str">
        <f>IF(T656="","",T656)</f>
        <v>NA</v>
      </c>
      <c r="H145" s="279" t="str">
        <f>IF(T645="","",T645)</f>
        <v>NA</v>
      </c>
    </row>
    <row r="146" spans="2:8" ht="11.25" hidden="1" customHeight="1" outlineLevel="1" x14ac:dyDescent="0.35">
      <c r="B146" s="244" t="s">
        <v>5370</v>
      </c>
      <c r="C146" s="245"/>
      <c r="D146" s="279" t="str">
        <f>IF(T690="","",T690)</f>
        <v>NA</v>
      </c>
      <c r="E146" s="279" t="str">
        <f>IF(T679="","",T679)</f>
        <v>NA</v>
      </c>
      <c r="F146" s="279" t="str">
        <f>IF(T668="","",T668)</f>
        <v>NA</v>
      </c>
      <c r="G146" s="279" t="str">
        <f>IF(T657="","",T657)</f>
        <v>NA</v>
      </c>
      <c r="H146" s="279" t="str">
        <f>IF(T646="","",T646)</f>
        <v>NA</v>
      </c>
    </row>
    <row r="147" spans="2:8" ht="11.25" hidden="1" customHeight="1" outlineLevel="1" x14ac:dyDescent="0.35">
      <c r="B147" s="244" t="s">
        <v>5371</v>
      </c>
      <c r="C147" s="245"/>
      <c r="D147" s="279" t="str">
        <f>IF(T691="","",T691)</f>
        <v>NA</v>
      </c>
      <c r="E147" s="279" t="str">
        <f>IF(T680="","",T680)</f>
        <v>NA</v>
      </c>
      <c r="F147" s="279" t="str">
        <f>IF(T669="","",T669)</f>
        <v>NA</v>
      </c>
      <c r="G147" s="279" t="str">
        <f>IF(T658="","",T658)</f>
        <v>NA</v>
      </c>
      <c r="H147" s="279" t="str">
        <f>IF(T647="","",T647)</f>
        <v>NA</v>
      </c>
    </row>
    <row r="148" spans="2:8" ht="11.25" hidden="1" customHeight="1" outlineLevel="1" x14ac:dyDescent="0.35">
      <c r="B148" s="244" t="s">
        <v>5372</v>
      </c>
      <c r="C148" s="245"/>
      <c r="D148" s="279" t="str">
        <f>IF(T692="","",T692)</f>
        <v>NA</v>
      </c>
      <c r="E148" s="279" t="str">
        <f>IF(T681="","",T681)</f>
        <v>NA</v>
      </c>
      <c r="F148" s="279" t="str">
        <f>IF(T670="","",T670)</f>
        <v>NA</v>
      </c>
      <c r="G148" s="279" t="str">
        <f>IF(T659="","",T659)</f>
        <v>NA</v>
      </c>
      <c r="H148" s="279" t="str">
        <f>IF(T648="","",T648)</f>
        <v>NA</v>
      </c>
    </row>
    <row r="149" spans="2:8" ht="11.25" hidden="1" customHeight="1" outlineLevel="1" x14ac:dyDescent="0.35">
      <c r="B149" s="244"/>
      <c r="C149" s="245"/>
      <c r="D149" s="279"/>
      <c r="E149" s="279"/>
      <c r="F149" s="279"/>
      <c r="G149" s="279"/>
      <c r="H149" s="279"/>
    </row>
    <row r="150" spans="2:8" ht="11.25" hidden="1" customHeight="1" outlineLevel="1" x14ac:dyDescent="0.35">
      <c r="B150" s="246" t="s">
        <v>5468</v>
      </c>
      <c r="C150" s="245"/>
      <c r="D150" s="279"/>
      <c r="E150" s="279"/>
      <c r="F150" s="279"/>
      <c r="G150" s="279"/>
      <c r="H150" s="279"/>
    </row>
    <row r="151" spans="2:8" ht="11.25" hidden="1" customHeight="1" outlineLevel="1" x14ac:dyDescent="0.35">
      <c r="B151" s="292" t="s">
        <v>5365</v>
      </c>
      <c r="C151" s="245"/>
      <c r="D151" s="279" t="str">
        <f>IF(T738="","",T738)</f>
        <v>NA</v>
      </c>
      <c r="E151" s="279" t="str">
        <f>IF(T727="","",T727)</f>
        <v>NA</v>
      </c>
      <c r="F151" s="279" t="str">
        <f>IF(T716="","",T716)</f>
        <v>NA</v>
      </c>
      <c r="G151" s="279" t="str">
        <f>IF(T705="","",T705)</f>
        <v>NA</v>
      </c>
      <c r="H151" s="279" t="str">
        <f>IF(T694="","",T694)</f>
        <v>NA</v>
      </c>
    </row>
    <row r="152" spans="2:8" ht="11.25" hidden="1" customHeight="1" outlineLevel="1" x14ac:dyDescent="0.35">
      <c r="B152" s="244" t="s">
        <v>5366</v>
      </c>
      <c r="C152" s="245"/>
      <c r="D152" s="279" t="str">
        <f>IF(T739="","",T739)</f>
        <v>NA</v>
      </c>
      <c r="E152" s="279" t="str">
        <f>IF(T728="","",T728)</f>
        <v>NA</v>
      </c>
      <c r="F152" s="279" t="str">
        <f>IF(T717="","",T717)</f>
        <v>NA</v>
      </c>
      <c r="G152" s="279" t="str">
        <f>IF(T706="","",T706)</f>
        <v>NA</v>
      </c>
      <c r="H152" s="279" t="str">
        <f>IF(T695="","",T695)</f>
        <v>NA</v>
      </c>
    </row>
    <row r="153" spans="2:8" ht="11.25" hidden="1" customHeight="1" outlineLevel="1" x14ac:dyDescent="0.35">
      <c r="B153" s="244" t="s">
        <v>5122</v>
      </c>
      <c r="C153" s="245"/>
      <c r="D153" s="279" t="str">
        <f>IF(T740="","",T740)</f>
        <v>NA</v>
      </c>
      <c r="E153" s="279" t="str">
        <f>IF(T729="","",T729)</f>
        <v>NA</v>
      </c>
      <c r="F153" s="279" t="str">
        <f>IF(T718="","",T718)</f>
        <v>NA</v>
      </c>
      <c r="G153" s="279" t="str">
        <f>IF(T707="","",T707)</f>
        <v>NA</v>
      </c>
      <c r="H153" s="279" t="str">
        <f>IF(T696="","",T696)</f>
        <v>NA</v>
      </c>
    </row>
    <row r="154" spans="2:8" ht="11.25" hidden="1" customHeight="1" outlineLevel="1" x14ac:dyDescent="0.35">
      <c r="B154" s="244" t="s">
        <v>5124</v>
      </c>
      <c r="C154" s="245"/>
      <c r="D154" s="279" t="str">
        <f>IF(T741="","",T741)</f>
        <v>NA</v>
      </c>
      <c r="E154" s="279" t="str">
        <f>IF(T730="","",T730)</f>
        <v>NA</v>
      </c>
      <c r="F154" s="279" t="str">
        <f>IF(T719="","",T719)</f>
        <v>NA</v>
      </c>
      <c r="G154" s="279" t="str">
        <f>IF(T708="","",T708)</f>
        <v>NA</v>
      </c>
      <c r="H154" s="279" t="str">
        <f>IF(T697="","",T697)</f>
        <v>NA</v>
      </c>
    </row>
    <row r="155" spans="2:8" ht="11.25" hidden="1" customHeight="1" outlineLevel="1" x14ac:dyDescent="0.35">
      <c r="B155" s="244" t="s">
        <v>5121</v>
      </c>
      <c r="C155" s="245"/>
      <c r="D155" s="279" t="str">
        <f>IF(T742="","",T742)</f>
        <v>NA</v>
      </c>
      <c r="E155" s="279" t="str">
        <f>IF(T731="","",T731)</f>
        <v>NA</v>
      </c>
      <c r="F155" s="279" t="str">
        <f>IF(T720="","",T720)</f>
        <v>NA</v>
      </c>
      <c r="G155" s="279" t="str">
        <f>IF(T709="","",T709)</f>
        <v>NA</v>
      </c>
      <c r="H155" s="279" t="str">
        <f>IF(T698="","",T698)</f>
        <v>NA</v>
      </c>
    </row>
    <row r="156" spans="2:8" ht="11.25" hidden="1" customHeight="1" outlineLevel="1" x14ac:dyDescent="0.35">
      <c r="B156" s="244" t="s">
        <v>5367</v>
      </c>
      <c r="C156" s="245"/>
      <c r="D156" s="279" t="str">
        <f>IF(T743="","",T743)</f>
        <v>NA</v>
      </c>
      <c r="E156" s="279" t="str">
        <f>IF(T732="","",T732)</f>
        <v>NA</v>
      </c>
      <c r="F156" s="279" t="str">
        <f>IF(T721="","",T721)</f>
        <v>NA</v>
      </c>
      <c r="G156" s="279" t="str">
        <f>IF(T710="","",T710)</f>
        <v>NA</v>
      </c>
      <c r="H156" s="279" t="str">
        <f>IF(T699="","",T699)</f>
        <v>NA</v>
      </c>
    </row>
    <row r="157" spans="2:8" ht="11.25" hidden="1" customHeight="1" outlineLevel="1" x14ac:dyDescent="0.35">
      <c r="B157" s="244" t="s">
        <v>5368</v>
      </c>
      <c r="C157" s="245"/>
      <c r="D157" s="279" t="str">
        <f>IF(T744="","",T744)</f>
        <v>NA</v>
      </c>
      <c r="E157" s="279" t="str">
        <f>IF(T733="","",T733)</f>
        <v>NA</v>
      </c>
      <c r="F157" s="279" t="str">
        <f>IF(T722="","",T722)</f>
        <v>NA</v>
      </c>
      <c r="G157" s="279" t="str">
        <f>IF(T711="","",T711)</f>
        <v>NA</v>
      </c>
      <c r="H157" s="279" t="str">
        <f>IF(T700="","",T700)</f>
        <v>NA</v>
      </c>
    </row>
    <row r="158" spans="2:8" ht="11.25" hidden="1" customHeight="1" outlineLevel="1" x14ac:dyDescent="0.35">
      <c r="B158" s="244" t="s">
        <v>5369</v>
      </c>
      <c r="C158" s="245"/>
      <c r="D158" s="279" t="str">
        <f>IF(T745="","",T745)</f>
        <v>NA</v>
      </c>
      <c r="E158" s="279" t="str">
        <f>IF(T734="","",T734)</f>
        <v>NA</v>
      </c>
      <c r="F158" s="279" t="str">
        <f>IF(T723="","",T723)</f>
        <v>NA</v>
      </c>
      <c r="G158" s="279" t="str">
        <f>IF(T712="","",T712)</f>
        <v>NA</v>
      </c>
      <c r="H158" s="279" t="str">
        <f>IF(T701="","",T701)</f>
        <v>NA</v>
      </c>
    </row>
    <row r="159" spans="2:8" ht="11.25" hidden="1" customHeight="1" outlineLevel="1" x14ac:dyDescent="0.35">
      <c r="B159" s="244" t="s">
        <v>5370</v>
      </c>
      <c r="C159" s="245"/>
      <c r="D159" s="279" t="str">
        <f>IF(T746="","",T746)</f>
        <v>NA</v>
      </c>
      <c r="E159" s="279" t="str">
        <f>IF(T735="","",T735)</f>
        <v>NA</v>
      </c>
      <c r="F159" s="279" t="str">
        <f>IF(T724="","",T724)</f>
        <v>NA</v>
      </c>
      <c r="G159" s="279" t="str">
        <f>IF(T713="","",T713)</f>
        <v>NA</v>
      </c>
      <c r="H159" s="279" t="str">
        <f>IF(T702="","",T702)</f>
        <v>NA</v>
      </c>
    </row>
    <row r="160" spans="2:8" ht="11.25" hidden="1" customHeight="1" outlineLevel="1" x14ac:dyDescent="0.35">
      <c r="B160" s="244" t="s">
        <v>5371</v>
      </c>
      <c r="C160" s="245"/>
      <c r="D160" s="279" t="str">
        <f>IF(T747="","",T747)</f>
        <v>NA</v>
      </c>
      <c r="E160" s="279" t="str">
        <f>IF(T736="","",T736)</f>
        <v>NA</v>
      </c>
      <c r="F160" s="279" t="str">
        <f>IF(T725="","",T725)</f>
        <v>NA</v>
      </c>
      <c r="G160" s="279" t="str">
        <f>IF(T714="","",T714)</f>
        <v>NA</v>
      </c>
      <c r="H160" s="279" t="str">
        <f>IF(T703="","",T703)</f>
        <v>NA</v>
      </c>
    </row>
    <row r="161" spans="2:8" ht="11.25" hidden="1" customHeight="1" outlineLevel="1" x14ac:dyDescent="0.35">
      <c r="B161" s="244" t="s">
        <v>5372</v>
      </c>
      <c r="C161" s="245"/>
      <c r="D161" s="279" t="str">
        <f>IF(T748="","",T748)</f>
        <v>NA</v>
      </c>
      <c r="E161" s="279" t="str">
        <f>IF(T737="","",T737)</f>
        <v>NA</v>
      </c>
      <c r="F161" s="279" t="str">
        <f>IF(T726="","",T726)</f>
        <v>NA</v>
      </c>
      <c r="G161" s="279" t="str">
        <f>IF(T715="","",T715)</f>
        <v>NA</v>
      </c>
      <c r="H161" s="279" t="str">
        <f>IF(T704="","",T704)</f>
        <v>NA</v>
      </c>
    </row>
    <row r="162" spans="2:8" ht="11.25" hidden="1" customHeight="1" outlineLevel="1" x14ac:dyDescent="0.35">
      <c r="B162" s="244"/>
      <c r="C162" s="245"/>
      <c r="D162" s="279"/>
      <c r="E162" s="279"/>
      <c r="F162" s="279"/>
      <c r="G162" s="279"/>
      <c r="H162" s="279"/>
    </row>
    <row r="163" spans="2:8" ht="11.25" hidden="1" customHeight="1" outlineLevel="1" x14ac:dyDescent="0.35">
      <c r="B163" s="246" t="s">
        <v>5469</v>
      </c>
      <c r="C163" s="245"/>
      <c r="D163" s="279"/>
      <c r="E163" s="279"/>
      <c r="F163" s="279"/>
      <c r="G163" s="279"/>
      <c r="H163" s="279"/>
    </row>
    <row r="164" spans="2:8" ht="11.25" hidden="1" customHeight="1" outlineLevel="1" x14ac:dyDescent="0.35">
      <c r="B164" s="292" t="s">
        <v>5365</v>
      </c>
      <c r="C164" s="245"/>
      <c r="D164" s="279" t="str">
        <f>IF(T794="","",T794)</f>
        <v>NA</v>
      </c>
      <c r="E164" s="279" t="str">
        <f>IF(T783="","",T783)</f>
        <v>NA</v>
      </c>
      <c r="F164" s="279" t="str">
        <f>IF(T772="","",T772)</f>
        <v>NA</v>
      </c>
      <c r="G164" s="279" t="str">
        <f>IF(T761="","",T761)</f>
        <v>NA</v>
      </c>
      <c r="H164" s="279" t="str">
        <f>IF(T750="","",T750)</f>
        <v>NA</v>
      </c>
    </row>
    <row r="165" spans="2:8" ht="11.25" hidden="1" customHeight="1" outlineLevel="1" x14ac:dyDescent="0.35">
      <c r="B165" s="244" t="s">
        <v>5366</v>
      </c>
      <c r="C165" s="245"/>
      <c r="D165" s="279" t="str">
        <f>IF(T795="","",T795)</f>
        <v>NA</v>
      </c>
      <c r="E165" s="279" t="str">
        <f>IF(T784="","",T784)</f>
        <v>NA</v>
      </c>
      <c r="F165" s="279" t="str">
        <f>IF(T773="","",T773)</f>
        <v>NA</v>
      </c>
      <c r="G165" s="279" t="str">
        <f>IF(T762="","",T762)</f>
        <v>NA</v>
      </c>
      <c r="H165" s="279" t="str">
        <f>IF(T751="","",T751)</f>
        <v>NA</v>
      </c>
    </row>
    <row r="166" spans="2:8" ht="11.25" hidden="1" customHeight="1" outlineLevel="1" x14ac:dyDescent="0.35">
      <c r="B166" s="244" t="s">
        <v>5122</v>
      </c>
      <c r="C166" s="245"/>
      <c r="D166" s="279" t="str">
        <f>IF(T796="","",T796)</f>
        <v>NA</v>
      </c>
      <c r="E166" s="279" t="str">
        <f>IF(T785="","",T785)</f>
        <v>NA</v>
      </c>
      <c r="F166" s="279" t="str">
        <f>IF(T774="","",T774)</f>
        <v>NA</v>
      </c>
      <c r="G166" s="279" t="str">
        <f>IF(T763="","",T763)</f>
        <v>NA</v>
      </c>
      <c r="H166" s="279" t="str">
        <f>IF(T752="","",T752)</f>
        <v>NA</v>
      </c>
    </row>
    <row r="167" spans="2:8" ht="11.25" hidden="1" customHeight="1" outlineLevel="1" x14ac:dyDescent="0.35">
      <c r="B167" s="244" t="s">
        <v>5124</v>
      </c>
      <c r="C167" s="245"/>
      <c r="D167" s="279" t="str">
        <f>IF(T797="","",T797)</f>
        <v>NA</v>
      </c>
      <c r="E167" s="279" t="str">
        <f>IF(T786="","",T786)</f>
        <v>NA</v>
      </c>
      <c r="F167" s="279" t="str">
        <f>IF(T775="","",T775)</f>
        <v>NA</v>
      </c>
      <c r="G167" s="279" t="str">
        <f>IF(T764="","",T764)</f>
        <v>NA</v>
      </c>
      <c r="H167" s="279" t="str">
        <f>IF(T753="","",T753)</f>
        <v>NA</v>
      </c>
    </row>
    <row r="168" spans="2:8" ht="11.25" hidden="1" customHeight="1" outlineLevel="1" x14ac:dyDescent="0.35">
      <c r="B168" s="244" t="s">
        <v>5121</v>
      </c>
      <c r="C168" s="245"/>
      <c r="D168" s="279" t="str">
        <f>IF(T798="","",T798)</f>
        <v>NA</v>
      </c>
      <c r="E168" s="279" t="str">
        <f>IF(T787="","",T787)</f>
        <v>NA</v>
      </c>
      <c r="F168" s="279" t="str">
        <f>IF(T776="","",T776)</f>
        <v>NA</v>
      </c>
      <c r="G168" s="279" t="str">
        <f>IF(T765="","",T765)</f>
        <v>NA</v>
      </c>
      <c r="H168" s="279" t="str">
        <f>IF(T754="","",T754)</f>
        <v>NA</v>
      </c>
    </row>
    <row r="169" spans="2:8" ht="11.25" hidden="1" customHeight="1" outlineLevel="1" x14ac:dyDescent="0.35">
      <c r="B169" s="244" t="s">
        <v>5367</v>
      </c>
      <c r="C169" s="245"/>
      <c r="D169" s="279" t="str">
        <f>IF(T799="","",T799)</f>
        <v>NA</v>
      </c>
      <c r="E169" s="279" t="str">
        <f>IF(T788="","",T788)</f>
        <v>NA</v>
      </c>
      <c r="F169" s="279" t="str">
        <f>IF(T777="","",T777)</f>
        <v>NA</v>
      </c>
      <c r="G169" s="279" t="str">
        <f>IF(T766="","",T766)</f>
        <v>NA</v>
      </c>
      <c r="H169" s="279" t="str">
        <f>IF(T755="","",T755)</f>
        <v>NA</v>
      </c>
    </row>
    <row r="170" spans="2:8" ht="11.25" hidden="1" customHeight="1" outlineLevel="1" collapsed="1" x14ac:dyDescent="0.35">
      <c r="B170" s="244" t="s">
        <v>5368</v>
      </c>
      <c r="C170" s="245"/>
      <c r="D170" s="279" t="str">
        <f>IF(T800="","",T800)</f>
        <v>NA</v>
      </c>
      <c r="E170" s="279" t="str">
        <f>IF(T789="","",T789)</f>
        <v>NA</v>
      </c>
      <c r="F170" s="279" t="str">
        <f>IF(T778="","",T778)</f>
        <v>NA</v>
      </c>
      <c r="G170" s="279" t="str">
        <f>IF(T767="","",T767)</f>
        <v>NA</v>
      </c>
      <c r="H170" s="279" t="str">
        <f>IF(T756="","",T756)</f>
        <v>NA</v>
      </c>
    </row>
    <row r="171" spans="2:8" ht="11.25" hidden="1" customHeight="1" outlineLevel="1" x14ac:dyDescent="0.35">
      <c r="B171" s="244" t="s">
        <v>5369</v>
      </c>
      <c r="C171" s="245"/>
      <c r="D171" s="279" t="str">
        <f>IF(T801="","",T801)</f>
        <v>NA</v>
      </c>
      <c r="E171" s="279" t="str">
        <f>IF(T790="","",T790)</f>
        <v>NA</v>
      </c>
      <c r="F171" s="279" t="str">
        <f>IF(T779="","",T779)</f>
        <v>NA</v>
      </c>
      <c r="G171" s="279" t="str">
        <f>IF(T768="","",T768)</f>
        <v>NA</v>
      </c>
      <c r="H171" s="279" t="str">
        <f>IF(T757="","",T757)</f>
        <v>NA</v>
      </c>
    </row>
    <row r="172" spans="2:8" ht="11.25" hidden="1" customHeight="1" outlineLevel="1" x14ac:dyDescent="0.35">
      <c r="B172" s="244" t="s">
        <v>5370</v>
      </c>
      <c r="C172" s="245"/>
      <c r="D172" s="279" t="str">
        <f>IF(T802="","",T802)</f>
        <v>NA</v>
      </c>
      <c r="E172" s="279" t="str">
        <f>IF(T791="","",T791)</f>
        <v>NA</v>
      </c>
      <c r="F172" s="279" t="str">
        <f>IF(T780="","",T780)</f>
        <v>NA</v>
      </c>
      <c r="G172" s="279" t="str">
        <f>IF(T769="","",T769)</f>
        <v>NA</v>
      </c>
      <c r="H172" s="279" t="str">
        <f>IF(T758="","",T758)</f>
        <v>NA</v>
      </c>
    </row>
    <row r="173" spans="2:8" ht="11.25" hidden="1" customHeight="1" outlineLevel="1" x14ac:dyDescent="0.35">
      <c r="B173" s="244" t="s">
        <v>5371</v>
      </c>
      <c r="C173" s="245"/>
      <c r="D173" s="279" t="str">
        <f>IF(T803="","",T803)</f>
        <v>NA</v>
      </c>
      <c r="E173" s="279" t="str">
        <f>IF(T792="","",T792)</f>
        <v>NA</v>
      </c>
      <c r="F173" s="279" t="str">
        <f>IF(T781="","",T781)</f>
        <v>NA</v>
      </c>
      <c r="G173" s="279" t="str">
        <f>IF(T770="","",T770)</f>
        <v>NA</v>
      </c>
      <c r="H173" s="279" t="str">
        <f>IF(T759="","",T759)</f>
        <v>NA</v>
      </c>
    </row>
    <row r="174" spans="2:8" ht="11.25" hidden="1" customHeight="1" outlineLevel="1" x14ac:dyDescent="0.35">
      <c r="B174" s="244" t="s">
        <v>5372</v>
      </c>
      <c r="C174" s="245"/>
      <c r="D174" s="279" t="str">
        <f>IF(T804="","",T804)</f>
        <v>NA</v>
      </c>
      <c r="E174" s="279" t="str">
        <f>IF(T793="","",T793)</f>
        <v>NA</v>
      </c>
      <c r="F174" s="279" t="str">
        <f>IF(T782="","",T782)</f>
        <v>NA</v>
      </c>
      <c r="G174" s="279" t="str">
        <f>IF(T771="","",T771)</f>
        <v>NA</v>
      </c>
      <c r="H174" s="279" t="str">
        <f>IF(T760="","",T760)</f>
        <v>NA</v>
      </c>
    </row>
    <row r="175" spans="2:8" ht="11.25" hidden="1" customHeight="1" outlineLevel="1" x14ac:dyDescent="0.35">
      <c r="B175" s="244" t="s">
        <v>4946</v>
      </c>
      <c r="C175" s="247"/>
      <c r="D175" s="279"/>
      <c r="E175" s="279"/>
      <c r="F175" s="279"/>
      <c r="G175" s="279"/>
      <c r="H175" s="279"/>
    </row>
    <row r="176" spans="2:8" ht="11.25" customHeight="1" collapsed="1" x14ac:dyDescent="0.35">
      <c r="B176" s="244" t="s">
        <v>5091</v>
      </c>
      <c r="C176" s="245"/>
      <c r="D176" s="279">
        <f>IF(LEFT(D$7,4)&gt;"2018",D199,D183)</f>
        <v>34933614.109999999</v>
      </c>
      <c r="E176" s="279">
        <f>IF(LEFT(E$7,4)&gt;"2018",E199,E183)</f>
        <v>32582333.817000002</v>
      </c>
      <c r="F176" s="279">
        <f>IF(LEFT(F$7,4)&gt;"2018",F199,F183)</f>
        <v>30555301.234000001</v>
      </c>
      <c r="G176" s="279">
        <f>IF(LEFT(G$7,4)&gt;"2018",G199,G183)</f>
        <v>27436015.256000001</v>
      </c>
      <c r="H176" s="279">
        <f>IF(LEFT(H$7,4)&gt;"2018",H199,H183)</f>
        <v>26815911.580000002</v>
      </c>
    </row>
    <row r="177" spans="2:8" ht="11.25" customHeight="1" x14ac:dyDescent="0.35">
      <c r="B177" s="244" t="s">
        <v>5090</v>
      </c>
      <c r="C177" s="245"/>
      <c r="D177" s="279">
        <f>IF(LEFT(D$7,4)&gt;"2018",D200,D184)</f>
        <v>181810939.20700002</v>
      </c>
      <c r="E177" s="279">
        <f>IF(LEFT(E$7,4)&gt;"2018",E200,E184)</f>
        <v>204040171.68200001</v>
      </c>
      <c r="F177" s="279">
        <f>IF(LEFT(F$7,4)&gt;"2018",F200,F184)</f>
        <v>214674402.17399999</v>
      </c>
      <c r="G177" s="279">
        <f>IF(LEFT(G$7,4)&gt;"2018",G200,G184)</f>
        <v>220610666.359</v>
      </c>
      <c r="H177" s="279">
        <f>IF(LEFT(H$7,4)&gt;"2018",H200,H184)</f>
        <v>254280522.338</v>
      </c>
    </row>
    <row r="178" spans="2:8" ht="11.25" customHeight="1" x14ac:dyDescent="0.35">
      <c r="B178" s="244" t="s">
        <v>5089</v>
      </c>
      <c r="C178" s="245"/>
      <c r="D178" s="279">
        <f>IF(LEFT(D$7,4)&gt;"2018",D195,D185)</f>
        <v>290835.08899999998</v>
      </c>
      <c r="E178" s="279">
        <f>IF(LEFT(E$7,4)&gt;"2018",E195,E185)</f>
        <v>310154.136</v>
      </c>
      <c r="F178" s="279">
        <f>IF(LEFT(F$7,4)&gt;"2018",F195,F185)</f>
        <v>154798.51</v>
      </c>
      <c r="G178" s="279">
        <f>IF(LEFT(G$7,4)&gt;"2018",G195,G185)</f>
        <v>6310.3159999999998</v>
      </c>
      <c r="H178" s="279">
        <f>IF(LEFT(H$7,4)&gt;"2018",H195,H185)</f>
        <v>19319.147000000001</v>
      </c>
    </row>
    <row r="179" spans="2:8" ht="11.25" customHeight="1" x14ac:dyDescent="0.35">
      <c r="B179" s="244" t="s">
        <v>5470</v>
      </c>
      <c r="C179" s="245"/>
      <c r="D179" s="279">
        <f>IF(LEFT(D$7,4)&gt;"2018","NA",D186)</f>
        <v>-173.37299999999999</v>
      </c>
      <c r="E179" s="279">
        <f>IF(LEFT(E$7,4)&gt;"2018","NA",E186)</f>
        <v>33.953000000000003</v>
      </c>
      <c r="F179" s="279">
        <f>IF(LEFT(F$7,4)&gt;"2018","NA",F186)</f>
        <v>0</v>
      </c>
      <c r="G179" s="279">
        <f>IF(LEFT(G$7,4)&gt;"2018","NA",G186)</f>
        <v>0</v>
      </c>
      <c r="H179" s="279">
        <f>IF(LEFT(H$7,4)&gt;"2018","NA",H186)</f>
        <v>-21.283000000000001</v>
      </c>
    </row>
    <row r="180" spans="2:8" ht="11.25" customHeight="1" x14ac:dyDescent="0.35">
      <c r="B180" s="244" t="s">
        <v>5087</v>
      </c>
      <c r="C180" s="245"/>
      <c r="D180" s="279">
        <f>IF(LEFT(D$7,4)&gt;"2018",SUM(D196:D198),D187)</f>
        <v>-188910.37400000001</v>
      </c>
      <c r="E180" s="279">
        <f>IF(LEFT(E$7,4)&gt;"2018",SUM(E196:E198),E187)</f>
        <v>347442.32699999999</v>
      </c>
      <c r="F180" s="279">
        <f>IF(LEFT(F$7,4)&gt;"2018",SUM(F196:F198),F187)</f>
        <v>343697.17300000001</v>
      </c>
      <c r="G180" s="279">
        <f>IF(LEFT(G$7,4)&gt;"2018",SUM(G196:G198),G187)</f>
        <v>362565.799</v>
      </c>
      <c r="H180" s="279">
        <f>IF(LEFT(H$7,4)&gt;"2018",SUM(H196:H198),H187)</f>
        <v>417160.63699999999</v>
      </c>
    </row>
    <row r="181" spans="2:8" ht="11.25" customHeight="1" x14ac:dyDescent="0.35">
      <c r="B181" s="244" t="s">
        <v>5086</v>
      </c>
      <c r="C181" s="245">
        <v>123564</v>
      </c>
      <c r="D181" s="279">
        <v>216846299.625</v>
      </c>
      <c r="E181" s="279">
        <v>237280135.928</v>
      </c>
      <c r="F181" s="279">
        <v>245728199.09</v>
      </c>
      <c r="G181" s="279">
        <v>248702088.08200002</v>
      </c>
      <c r="H181" s="279">
        <v>281532892.41500002</v>
      </c>
    </row>
    <row r="182" spans="2:8" ht="11.25" customHeight="1" x14ac:dyDescent="0.35">
      <c r="B182" s="244"/>
      <c r="C182" s="245"/>
      <c r="D182" s="279"/>
      <c r="E182" s="279"/>
      <c r="F182" s="279"/>
      <c r="G182" s="279"/>
      <c r="H182" s="279"/>
    </row>
    <row r="183" spans="2:8" ht="11.25" hidden="1" customHeight="1" outlineLevel="1" x14ac:dyDescent="0.35">
      <c r="B183" s="244" t="s">
        <v>5091</v>
      </c>
      <c r="C183" s="245">
        <v>123559</v>
      </c>
      <c r="D183" s="279">
        <v>34933614.109999999</v>
      </c>
      <c r="E183" s="279">
        <v>32582333.817000002</v>
      </c>
      <c r="F183" s="279">
        <v>30555301.234000001</v>
      </c>
      <c r="G183" s="279">
        <v>27436015.256000001</v>
      </c>
      <c r="H183" s="279">
        <v>26815911.580000002</v>
      </c>
    </row>
    <row r="184" spans="2:8" s="302" customFormat="1" ht="11.25" hidden="1" customHeight="1" outlineLevel="1" x14ac:dyDescent="0.35">
      <c r="B184" s="244" t="s">
        <v>5090</v>
      </c>
      <c r="C184" s="245">
        <v>123560</v>
      </c>
      <c r="D184" s="279">
        <v>181810939.20700002</v>
      </c>
      <c r="E184" s="279">
        <v>204040171.68200001</v>
      </c>
      <c r="F184" s="279">
        <v>214674402.17399999</v>
      </c>
      <c r="G184" s="279">
        <v>220610666.359</v>
      </c>
      <c r="H184" s="279">
        <v>254280522.338</v>
      </c>
    </row>
    <row r="185" spans="2:8" s="302" customFormat="1" ht="11.25" hidden="1" customHeight="1" outlineLevel="1" x14ac:dyDescent="0.35">
      <c r="B185" s="244" t="s">
        <v>5089</v>
      </c>
      <c r="C185" s="245">
        <v>123561</v>
      </c>
      <c r="D185" s="279">
        <v>290835.08899999998</v>
      </c>
      <c r="E185" s="279">
        <v>310154.136</v>
      </c>
      <c r="F185" s="279">
        <v>154798.51</v>
      </c>
      <c r="G185" s="279">
        <v>6310.3159999999998</v>
      </c>
      <c r="H185" s="279">
        <v>19319.147000000001</v>
      </c>
    </row>
    <row r="186" spans="2:8" ht="11.25" hidden="1" customHeight="1" outlineLevel="1" x14ac:dyDescent="0.35">
      <c r="B186" s="244" t="s">
        <v>5088</v>
      </c>
      <c r="C186" s="245">
        <v>123562</v>
      </c>
      <c r="D186" s="279">
        <v>-173.37299999999999</v>
      </c>
      <c r="E186" s="279">
        <v>33.953000000000003</v>
      </c>
      <c r="F186" s="279">
        <v>0</v>
      </c>
      <c r="G186" s="279">
        <v>0</v>
      </c>
      <c r="H186" s="279">
        <v>-21.283000000000001</v>
      </c>
    </row>
    <row r="187" spans="2:8" ht="11.25" hidden="1" customHeight="1" outlineLevel="1" x14ac:dyDescent="0.35">
      <c r="B187" s="244" t="s">
        <v>5087</v>
      </c>
      <c r="C187" s="245">
        <v>123563</v>
      </c>
      <c r="D187" s="279">
        <v>-188910.37400000001</v>
      </c>
      <c r="E187" s="279">
        <v>347442.32699999999</v>
      </c>
      <c r="F187" s="279">
        <v>343697.17300000001</v>
      </c>
      <c r="G187" s="279">
        <v>362565.799</v>
      </c>
      <c r="H187" s="279">
        <v>417160.63699999999</v>
      </c>
    </row>
    <row r="188" spans="2:8" ht="11.25" hidden="1" customHeight="1" outlineLevel="1" x14ac:dyDescent="0.35">
      <c r="B188" s="244"/>
      <c r="C188" s="245"/>
      <c r="D188" s="279"/>
      <c r="E188" s="279"/>
      <c r="F188" s="279"/>
      <c r="G188" s="279"/>
      <c r="H188" s="279"/>
    </row>
    <row r="189" spans="2:8" ht="11.25" hidden="1" customHeight="1" outlineLevel="1" x14ac:dyDescent="0.35">
      <c r="B189" s="246" t="s">
        <v>5471</v>
      </c>
      <c r="C189" s="247"/>
      <c r="D189" s="335"/>
      <c r="E189" s="335"/>
      <c r="F189" s="335"/>
      <c r="G189" s="335"/>
      <c r="H189" s="335"/>
    </row>
    <row r="190" spans="2:8" ht="11.25" hidden="1" customHeight="1" outlineLevel="1" x14ac:dyDescent="0.35">
      <c r="B190" s="292" t="s">
        <v>5365</v>
      </c>
      <c r="C190" s="245"/>
      <c r="D190" s="279" t="str">
        <f>IF(T850="","",T850)</f>
        <v>NA</v>
      </c>
      <c r="E190" s="279" t="str">
        <f>IF(T839="","",T839)</f>
        <v>NA</v>
      </c>
      <c r="F190" s="279" t="str">
        <f>IF(T828="","",T828)</f>
        <v>NA</v>
      </c>
      <c r="G190" s="279" t="str">
        <f>IF(T817="","",T817)</f>
        <v>NA</v>
      </c>
      <c r="H190" s="279" t="str">
        <f>IF(T806="","",T806)</f>
        <v>NA</v>
      </c>
    </row>
    <row r="191" spans="2:8" ht="11.25" hidden="1" customHeight="1" outlineLevel="1" x14ac:dyDescent="0.35">
      <c r="B191" s="244" t="s">
        <v>5366</v>
      </c>
      <c r="C191" s="245"/>
      <c r="D191" s="279" t="str">
        <f>IF(T851="","",T851)</f>
        <v>NA</v>
      </c>
      <c r="E191" s="279" t="str">
        <f>IF(T840="","",T840)</f>
        <v>NA</v>
      </c>
      <c r="F191" s="279" t="str">
        <f>IF(T829="","",T829)</f>
        <v>NA</v>
      </c>
      <c r="G191" s="279" t="str">
        <f>IF(T818="","",T818)</f>
        <v>NA</v>
      </c>
      <c r="H191" s="279" t="str">
        <f>IF(T807="","",T807)</f>
        <v>NA</v>
      </c>
    </row>
    <row r="192" spans="2:8" ht="11.25" hidden="1" customHeight="1" outlineLevel="1" x14ac:dyDescent="0.35">
      <c r="B192" s="244" t="s">
        <v>5122</v>
      </c>
      <c r="C192" s="245"/>
      <c r="D192" s="279" t="str">
        <f>IF(T852="","",T852)</f>
        <v>NA</v>
      </c>
      <c r="E192" s="279" t="str">
        <f>IF(T841="","",T841)</f>
        <v>NA</v>
      </c>
      <c r="F192" s="279" t="str">
        <f>IF(T830="","",T830)</f>
        <v>NA</v>
      </c>
      <c r="G192" s="279" t="str">
        <f>IF(T819="","",T819)</f>
        <v>NA</v>
      </c>
      <c r="H192" s="279" t="str">
        <f>IF(T808="","",T808)</f>
        <v>NA</v>
      </c>
    </row>
    <row r="193" spans="2:8" ht="11.25" hidden="1" customHeight="1" outlineLevel="1" x14ac:dyDescent="0.35">
      <c r="B193" s="244" t="s">
        <v>5124</v>
      </c>
      <c r="C193" s="245"/>
      <c r="D193" s="279" t="str">
        <f>IF(T853="","",T853)</f>
        <v>NA</v>
      </c>
      <c r="E193" s="279" t="str">
        <f>IF(T842="","",T842)</f>
        <v>NA</v>
      </c>
      <c r="F193" s="279" t="str">
        <f>IF(T831="","",T831)</f>
        <v>NA</v>
      </c>
      <c r="G193" s="279" t="str">
        <f>IF(T820="","",T820)</f>
        <v>NA</v>
      </c>
      <c r="H193" s="279" t="str">
        <f>IF(T809="","",T809)</f>
        <v>NA</v>
      </c>
    </row>
    <row r="194" spans="2:8" ht="11.25" hidden="1" customHeight="1" outlineLevel="1" x14ac:dyDescent="0.35">
      <c r="B194" s="244" t="s">
        <v>5121</v>
      </c>
      <c r="C194" s="245"/>
      <c r="D194" s="279" t="str">
        <f>IF(T854="","",T854)</f>
        <v>NA</v>
      </c>
      <c r="E194" s="279" t="str">
        <f>IF(T843="","",T843)</f>
        <v>NA</v>
      </c>
      <c r="F194" s="279" t="str">
        <f>IF(T832="","",T832)</f>
        <v>NA</v>
      </c>
      <c r="G194" s="279" t="str">
        <f>IF(T821="","",T821)</f>
        <v>NA</v>
      </c>
      <c r="H194" s="279" t="str">
        <f>IF(T810="","",T810)</f>
        <v>NA</v>
      </c>
    </row>
    <row r="195" spans="2:8" ht="11.25" hidden="1" customHeight="1" outlineLevel="1" x14ac:dyDescent="0.35">
      <c r="B195" s="244" t="s">
        <v>5367</v>
      </c>
      <c r="C195" s="245"/>
      <c r="D195" s="279" t="str">
        <f>IF(T855="","",T855)</f>
        <v>NA</v>
      </c>
      <c r="E195" s="279" t="str">
        <f>IF(T844="","",T844)</f>
        <v>NA</v>
      </c>
      <c r="F195" s="279" t="str">
        <f>IF(T833="","",T833)</f>
        <v>NA</v>
      </c>
      <c r="G195" s="279" t="str">
        <f>IF(T822="","",T822)</f>
        <v>NA</v>
      </c>
      <c r="H195" s="279" t="str">
        <f>IF(T811="","",T811)</f>
        <v>NA</v>
      </c>
    </row>
    <row r="196" spans="2:8" ht="11.25" hidden="1" customHeight="1" outlineLevel="1" x14ac:dyDescent="0.35">
      <c r="B196" s="244" t="s">
        <v>5368</v>
      </c>
      <c r="C196" s="245"/>
      <c r="D196" s="279" t="str">
        <f>IF(T856="","",T856)</f>
        <v>NA</v>
      </c>
      <c r="E196" s="279" t="str">
        <f>IF(T845="","",T845)</f>
        <v>NA</v>
      </c>
      <c r="F196" s="279" t="str">
        <f>IF(T834="","",T834)</f>
        <v>NA</v>
      </c>
      <c r="G196" s="279" t="str">
        <f>IF(T823="","",T823)</f>
        <v>NA</v>
      </c>
      <c r="H196" s="279" t="str">
        <f>IF(T812="","",T812)</f>
        <v>NA</v>
      </c>
    </row>
    <row r="197" spans="2:8" ht="11.25" hidden="1" customHeight="1" outlineLevel="1" x14ac:dyDescent="0.35">
      <c r="B197" s="244" t="s">
        <v>5369</v>
      </c>
      <c r="C197" s="245"/>
      <c r="D197" s="279" t="str">
        <f>IF(T857="","",T857)</f>
        <v>NA</v>
      </c>
      <c r="E197" s="279" t="str">
        <f>IF(T846="","",T846)</f>
        <v>NA</v>
      </c>
      <c r="F197" s="279" t="str">
        <f>IF(T835="","",T835)</f>
        <v>NA</v>
      </c>
      <c r="G197" s="279" t="str">
        <f>IF(T824="","",T824)</f>
        <v>NA</v>
      </c>
      <c r="H197" s="279" t="str">
        <f>IF(T813="","",T813)</f>
        <v>NA</v>
      </c>
    </row>
    <row r="198" spans="2:8" ht="11.25" hidden="1" customHeight="1" outlineLevel="1" x14ac:dyDescent="0.35">
      <c r="B198" s="244" t="s">
        <v>5370</v>
      </c>
      <c r="C198" s="245"/>
      <c r="D198" s="279" t="str">
        <f>IF(T858="","",T858)</f>
        <v>NA</v>
      </c>
      <c r="E198" s="279" t="str">
        <f>IF(T847="","",T847)</f>
        <v>NA</v>
      </c>
      <c r="F198" s="279" t="str">
        <f>IF(T836="","",T836)</f>
        <v>NA</v>
      </c>
      <c r="G198" s="279" t="str">
        <f>IF(T825="","",T825)</f>
        <v>NA</v>
      </c>
      <c r="H198" s="279" t="str">
        <f>IF(T814="","",T814)</f>
        <v>NA</v>
      </c>
    </row>
    <row r="199" spans="2:8" ht="11.25" hidden="1" customHeight="1" outlineLevel="1" x14ac:dyDescent="0.35">
      <c r="B199" s="244" t="s">
        <v>5371</v>
      </c>
      <c r="C199" s="245"/>
      <c r="D199" s="279" t="str">
        <f>IF(T859="","",T859)</f>
        <v>NA</v>
      </c>
      <c r="E199" s="279" t="str">
        <f>IF(T848="","",T848)</f>
        <v>NA</v>
      </c>
      <c r="F199" s="279" t="str">
        <f>IF(T837="","",T837)</f>
        <v>NA</v>
      </c>
      <c r="G199" s="279" t="str">
        <f>IF(T826="","",T826)</f>
        <v>NA</v>
      </c>
      <c r="H199" s="279" t="str">
        <f>IF(T815="","",T815)</f>
        <v>NA</v>
      </c>
    </row>
    <row r="200" spans="2:8" ht="11.25" hidden="1" customHeight="1" outlineLevel="1" x14ac:dyDescent="0.35">
      <c r="B200" s="244" t="s">
        <v>5372</v>
      </c>
      <c r="C200" s="245"/>
      <c r="D200" s="279" t="str">
        <f>IF(T860="","",T860)</f>
        <v>NA</v>
      </c>
      <c r="E200" s="279" t="str">
        <f>IF(T849="","",T849)</f>
        <v>NA</v>
      </c>
      <c r="F200" s="279" t="str">
        <f>IF(T838="","",T838)</f>
        <v>NA</v>
      </c>
      <c r="G200" s="279" t="str">
        <f>IF(T827="","",T827)</f>
        <v>NA</v>
      </c>
      <c r="H200" s="279" t="str">
        <f>IF(T816="","",T816)</f>
        <v>NA</v>
      </c>
    </row>
    <row r="201" spans="2:8" ht="11.25" hidden="1" customHeight="1" outlineLevel="1" x14ac:dyDescent="0.35">
      <c r="B201" s="244"/>
      <c r="C201" s="247"/>
      <c r="D201" s="248"/>
      <c r="E201" s="248"/>
      <c r="F201" s="248"/>
      <c r="G201" s="248"/>
      <c r="H201" s="248"/>
    </row>
    <row r="202" spans="2:8" ht="11.25" customHeight="1" collapsed="1" x14ac:dyDescent="0.35">
      <c r="B202" s="244" t="s">
        <v>5085</v>
      </c>
      <c r="C202" s="245"/>
      <c r="D202" s="279">
        <f>IF(LEFT(D$7,4)&gt;"2018",SUM(D226,D238),D209)</f>
        <v>34651632.838</v>
      </c>
      <c r="E202" s="279">
        <f>IF(LEFT(E$7,4)&gt;"2018",SUM(E226,E238),E209)</f>
        <v>50023498.998999998</v>
      </c>
      <c r="F202" s="279">
        <f>IF(LEFT(F$7,4)&gt;"2018",SUM(F226,F238),F209)</f>
        <v>45630857.350000001</v>
      </c>
      <c r="G202" s="279">
        <f>IF(LEFT(G$7,4)&gt;"2018",SUM(G226,G238),G209)</f>
        <v>39563057.825999998</v>
      </c>
      <c r="H202" s="279">
        <f>IF(LEFT(H$7,4)&gt;"2018",SUM(H226,H238),H209)</f>
        <v>43514376.307999998</v>
      </c>
    </row>
    <row r="203" spans="2:8" ht="11.25" customHeight="1" x14ac:dyDescent="0.35">
      <c r="B203" s="244" t="s">
        <v>5084</v>
      </c>
      <c r="C203" s="245"/>
      <c r="D203" s="279">
        <f>IF(LEFT(D$7,4)&gt;"2018",SUM(D227,D239),D210)</f>
        <v>49958054.953000002</v>
      </c>
      <c r="E203" s="279">
        <f>IF(LEFT(E$7,4)&gt;"2018",SUM(E227,E239),E210)</f>
        <v>77303223.850000009</v>
      </c>
      <c r="F203" s="279">
        <f>IF(LEFT(F$7,4)&gt;"2018",SUM(F227,F239),F210)</f>
        <v>21390429.736000001</v>
      </c>
      <c r="G203" s="279">
        <f>IF(LEFT(G$7,4)&gt;"2018",SUM(G227,G239),G210)</f>
        <v>35447227.125</v>
      </c>
      <c r="H203" s="279">
        <f>IF(LEFT(H$7,4)&gt;"2018",SUM(H227,H239),H210)</f>
        <v>53228120.634000003</v>
      </c>
    </row>
    <row r="204" spans="2:8" ht="11.25" customHeight="1" x14ac:dyDescent="0.35">
      <c r="B204" s="244" t="s">
        <v>5083</v>
      </c>
      <c r="C204" s="245"/>
      <c r="D204" s="279">
        <f>IF(LEFT(D$7,4)&gt;"2018",SUM(D222,D234),D211)</f>
        <v>10576615.529000001</v>
      </c>
      <c r="E204" s="279">
        <f>IF(LEFT(E$7,4)&gt;"2018",SUM(E222,E234),E211)</f>
        <v>12305377.932</v>
      </c>
      <c r="F204" s="279">
        <f>IF(LEFT(F$7,4)&gt;"2018",SUM(F222,F234),F211)</f>
        <v>15121616.914000001</v>
      </c>
      <c r="G204" s="279">
        <f>IF(LEFT(G$7,4)&gt;"2018",SUM(G222,G234),G211)</f>
        <v>9535651.5580000002</v>
      </c>
      <c r="H204" s="279">
        <f>IF(LEFT(H$7,4)&gt;"2018",SUM(H222,H234),H211)</f>
        <v>10289098.419</v>
      </c>
    </row>
    <row r="205" spans="2:8" ht="11.25" customHeight="1" x14ac:dyDescent="0.35">
      <c r="B205" s="244" t="s">
        <v>5472</v>
      </c>
      <c r="C205" s="245"/>
      <c r="D205" s="279">
        <f>IF(LEFT(D$7,4)&gt;"2018","NA",D212)</f>
        <v>-310568.88199999998</v>
      </c>
      <c r="E205" s="279">
        <f>IF(LEFT(E$7,4)&gt;"2018","NA",E212)</f>
        <v>-285421.47700000001</v>
      </c>
      <c r="F205" s="279">
        <f>IF(LEFT(F$7,4)&gt;"2018","NA",F212)</f>
        <v>-94105.195999999996</v>
      </c>
      <c r="G205" s="279">
        <f>IF(LEFT(G$7,4)&gt;"2018","NA",G212)</f>
        <v>-21720.78</v>
      </c>
      <c r="H205" s="279">
        <f>IF(LEFT(H$7,4)&gt;"2018","NA",H212)</f>
        <v>-4388.4009999999998</v>
      </c>
    </row>
    <row r="206" spans="2:8" ht="11.25" customHeight="1" x14ac:dyDescent="0.35">
      <c r="B206" s="244" t="s">
        <v>5081</v>
      </c>
      <c r="C206" s="245"/>
      <c r="D206" s="279">
        <f>IF(LEFT(D$7,4)&gt;"2018",SUM(D223:D225,D235:D237),D213)</f>
        <v>1300087.355</v>
      </c>
      <c r="E206" s="279">
        <f>IF(LEFT(E$7,4)&gt;"2018",SUM(E223:E225,E235:E237),E213)</f>
        <v>1829453.2860000001</v>
      </c>
      <c r="F206" s="279">
        <f>IF(LEFT(F$7,4)&gt;"2018",SUM(F223:F225,F235:F237),F213)</f>
        <v>1711885.325</v>
      </c>
      <c r="G206" s="279">
        <f>IF(LEFT(G$7,4)&gt;"2018",SUM(G223:G225,G235:G237),G213)</f>
        <v>1932589.3390000002</v>
      </c>
      <c r="H206" s="279">
        <f>IF(LEFT(H$7,4)&gt;"2018",SUM(H223:H225,H235:H237),H213)</f>
        <v>1705632.17</v>
      </c>
    </row>
    <row r="207" spans="2:8" ht="11.25" customHeight="1" x14ac:dyDescent="0.35">
      <c r="B207" s="244" t="s">
        <v>5080</v>
      </c>
      <c r="C207" s="245">
        <v>123570</v>
      </c>
      <c r="D207" s="279">
        <v>96170207.669</v>
      </c>
      <c r="E207" s="279">
        <v>141176777.89899999</v>
      </c>
      <c r="F207" s="279">
        <v>83761282.745000005</v>
      </c>
      <c r="G207" s="279">
        <v>86224085.912</v>
      </c>
      <c r="H207" s="279">
        <v>108734428.991</v>
      </c>
    </row>
    <row r="208" spans="2:8" ht="11.25" customHeight="1" x14ac:dyDescent="0.35">
      <c r="B208" s="244"/>
      <c r="C208" s="245"/>
      <c r="D208" s="279"/>
      <c r="E208" s="279"/>
      <c r="F208" s="279"/>
      <c r="G208" s="279"/>
      <c r="H208" s="279"/>
    </row>
    <row r="209" spans="2:8" ht="11.25" hidden="1" customHeight="1" outlineLevel="1" x14ac:dyDescent="0.35">
      <c r="B209" s="244" t="s">
        <v>5085</v>
      </c>
      <c r="C209" s="245">
        <v>123565</v>
      </c>
      <c r="D209" s="279">
        <v>34651632.838</v>
      </c>
      <c r="E209" s="279">
        <v>50023498.998999998</v>
      </c>
      <c r="F209" s="279">
        <v>45630857.350000001</v>
      </c>
      <c r="G209" s="279">
        <v>39563057.825999998</v>
      </c>
      <c r="H209" s="279">
        <v>43514376.307999998</v>
      </c>
    </row>
    <row r="210" spans="2:8" ht="11.25" hidden="1" customHeight="1" outlineLevel="1" x14ac:dyDescent="0.35">
      <c r="B210" s="244" t="s">
        <v>5084</v>
      </c>
      <c r="C210" s="245">
        <v>123566</v>
      </c>
      <c r="D210" s="279">
        <v>49958054.953000002</v>
      </c>
      <c r="E210" s="279">
        <v>77303223.850000009</v>
      </c>
      <c r="F210" s="279">
        <v>21390429.736000001</v>
      </c>
      <c r="G210" s="279">
        <v>35447227.125</v>
      </c>
      <c r="H210" s="279">
        <v>53228120.634000003</v>
      </c>
    </row>
    <row r="211" spans="2:8" s="302" customFormat="1" ht="11.25" hidden="1" customHeight="1" outlineLevel="1" x14ac:dyDescent="0.35">
      <c r="B211" s="244" t="s">
        <v>5083</v>
      </c>
      <c r="C211" s="245">
        <v>123567</v>
      </c>
      <c r="D211" s="279">
        <v>10576615.529000001</v>
      </c>
      <c r="E211" s="279">
        <v>12305377.932</v>
      </c>
      <c r="F211" s="279">
        <v>15121616.914000001</v>
      </c>
      <c r="G211" s="279">
        <v>9535651.5580000002</v>
      </c>
      <c r="H211" s="279">
        <v>10289098.419</v>
      </c>
    </row>
    <row r="212" spans="2:8" s="302" customFormat="1" ht="11.25" hidden="1" customHeight="1" outlineLevel="1" x14ac:dyDescent="0.35">
      <c r="B212" s="244" t="s">
        <v>5082</v>
      </c>
      <c r="C212" s="245">
        <v>123568</v>
      </c>
      <c r="D212" s="279">
        <v>-310568.88199999998</v>
      </c>
      <c r="E212" s="279">
        <v>-285421.47700000001</v>
      </c>
      <c r="F212" s="279">
        <v>-94105.195999999996</v>
      </c>
      <c r="G212" s="279">
        <v>-21720.78</v>
      </c>
      <c r="H212" s="279">
        <v>-4388.4009999999998</v>
      </c>
    </row>
    <row r="213" spans="2:8" ht="11.25" hidden="1" customHeight="1" outlineLevel="1" x14ac:dyDescent="0.35">
      <c r="B213" s="244" t="s">
        <v>5081</v>
      </c>
      <c r="C213" s="245">
        <v>123569</v>
      </c>
      <c r="D213" s="279">
        <v>1300087.355</v>
      </c>
      <c r="E213" s="279">
        <v>1829453.2860000001</v>
      </c>
      <c r="F213" s="279">
        <v>1711885.325</v>
      </c>
      <c r="G213" s="279">
        <v>1932589.3390000002</v>
      </c>
      <c r="H213" s="279">
        <v>1705632.17</v>
      </c>
    </row>
    <row r="214" spans="2:8" ht="11.25" hidden="1" customHeight="1" outlineLevel="1" x14ac:dyDescent="0.35">
      <c r="B214" s="244"/>
      <c r="C214" s="245"/>
      <c r="D214" s="279"/>
      <c r="E214" s="279"/>
      <c r="F214" s="279"/>
      <c r="G214" s="279"/>
      <c r="H214" s="279"/>
    </row>
    <row r="215" spans="2:8" ht="11.25" hidden="1" customHeight="1" outlineLevel="1" x14ac:dyDescent="0.35">
      <c r="B215" s="246" t="s">
        <v>5473</v>
      </c>
      <c r="C215" s="247"/>
      <c r="D215" s="335"/>
      <c r="E215" s="335"/>
      <c r="F215" s="335"/>
      <c r="G215" s="335"/>
      <c r="H215" s="335"/>
    </row>
    <row r="216" spans="2:8" ht="11.25" hidden="1" customHeight="1" outlineLevel="1" x14ac:dyDescent="0.35">
      <c r="B216" s="292" t="s">
        <v>5365</v>
      </c>
      <c r="C216" s="247"/>
      <c r="D216" s="279" t="str">
        <f>IF(T906="","",T906)</f>
        <v>NA</v>
      </c>
      <c r="E216" s="279" t="str">
        <f>IF(T895="","",T895)</f>
        <v>NA</v>
      </c>
      <c r="F216" s="279" t="str">
        <f>IF(T884="","",T884)</f>
        <v>NA</v>
      </c>
      <c r="G216" s="279" t="str">
        <f>IF(T873="","",T873)</f>
        <v>NA</v>
      </c>
      <c r="H216" s="279" t="str">
        <f>IF(T862="","",T862)</f>
        <v>NA</v>
      </c>
    </row>
    <row r="217" spans="2:8" ht="11.25" hidden="1" customHeight="1" outlineLevel="1" x14ac:dyDescent="0.35">
      <c r="B217" s="244" t="s">
        <v>5366</v>
      </c>
      <c r="C217" s="245"/>
      <c r="D217" s="279" t="str">
        <f>IF(T907="","",T907)</f>
        <v>NA</v>
      </c>
      <c r="E217" s="279" t="str">
        <f>IF(T896="","",T896)</f>
        <v>NA</v>
      </c>
      <c r="F217" s="279" t="str">
        <f>IF(T885="","",T885)</f>
        <v>NA</v>
      </c>
      <c r="G217" s="279" t="str">
        <f>IF(T874="","",T874)</f>
        <v>NA</v>
      </c>
      <c r="H217" s="279" t="str">
        <f>IF(T863="","",T863)</f>
        <v>NA</v>
      </c>
    </row>
    <row r="218" spans="2:8" ht="11.25" hidden="1" customHeight="1" outlineLevel="1" x14ac:dyDescent="0.35">
      <c r="B218" s="244" t="s">
        <v>5122</v>
      </c>
      <c r="C218" s="245"/>
      <c r="D218" s="279" t="str">
        <f>IF(T908="","",T908)</f>
        <v>NA</v>
      </c>
      <c r="E218" s="279" t="str">
        <f>IF(T897="","",T897)</f>
        <v>NA</v>
      </c>
      <c r="F218" s="279" t="str">
        <f>IF(T886="","",T886)</f>
        <v>NA</v>
      </c>
      <c r="G218" s="279" t="str">
        <f>IF(T875="","",T875)</f>
        <v>NA</v>
      </c>
      <c r="H218" s="279" t="str">
        <f>IF(T864="","",T864)</f>
        <v>NA</v>
      </c>
    </row>
    <row r="219" spans="2:8" ht="11.25" hidden="1" customHeight="1" outlineLevel="1" x14ac:dyDescent="0.35">
      <c r="B219" s="244" t="s">
        <v>5124</v>
      </c>
      <c r="C219" s="245"/>
      <c r="D219" s="279" t="str">
        <f>IF(T909="","",T909)</f>
        <v>NA</v>
      </c>
      <c r="E219" s="279" t="str">
        <f>IF(T898="","",T898)</f>
        <v>NA</v>
      </c>
      <c r="F219" s="279" t="str">
        <f>IF(T887="","",T887)</f>
        <v>NA</v>
      </c>
      <c r="G219" s="279" t="str">
        <f>IF(T876="","",T876)</f>
        <v>NA</v>
      </c>
      <c r="H219" s="279" t="str">
        <f>IF(T865="","",T865)</f>
        <v>NA</v>
      </c>
    </row>
    <row r="220" spans="2:8" ht="11.25" hidden="1" customHeight="1" outlineLevel="1" x14ac:dyDescent="0.35">
      <c r="B220" s="244" t="s">
        <v>5121</v>
      </c>
      <c r="C220" s="245"/>
      <c r="D220" s="279" t="str">
        <f>IF(T910="","",T910)</f>
        <v>NA</v>
      </c>
      <c r="E220" s="279" t="str">
        <f>IF(T899="","",T899)</f>
        <v>NA</v>
      </c>
      <c r="F220" s="279" t="str">
        <f>IF(T888="","",T888)</f>
        <v>NA</v>
      </c>
      <c r="G220" s="279" t="str">
        <f>IF(T877="","",T877)</f>
        <v>NA</v>
      </c>
      <c r="H220" s="279" t="str">
        <f>IF(T866="","",T866)</f>
        <v>NA</v>
      </c>
    </row>
    <row r="221" spans="2:8" ht="11.25" hidden="1" customHeight="1" outlineLevel="1" x14ac:dyDescent="0.35">
      <c r="B221" s="244" t="s">
        <v>5367</v>
      </c>
      <c r="C221" s="245"/>
      <c r="D221" s="279" t="str">
        <f>IF(T911="","",T911)</f>
        <v>NA</v>
      </c>
      <c r="E221" s="279" t="str">
        <f>IF(T900="","",T900)</f>
        <v>NA</v>
      </c>
      <c r="F221" s="279" t="str">
        <f>IF(T889="","",T889)</f>
        <v>NA</v>
      </c>
      <c r="G221" s="279" t="str">
        <f>IF(T878="","",T878)</f>
        <v>NA</v>
      </c>
      <c r="H221" s="279" t="str">
        <f>IF(T867="","",T867)</f>
        <v>NA</v>
      </c>
    </row>
    <row r="222" spans="2:8" ht="11.25" hidden="1" customHeight="1" outlineLevel="1" x14ac:dyDescent="0.35">
      <c r="B222" s="244" t="s">
        <v>5368</v>
      </c>
      <c r="C222" s="245"/>
      <c r="D222" s="279" t="str">
        <f>IF(T912="","",T912)</f>
        <v>NA</v>
      </c>
      <c r="E222" s="279" t="str">
        <f>IF(T901="","",T901)</f>
        <v>NA</v>
      </c>
      <c r="F222" s="279" t="str">
        <f>IF(T890="","",T890)</f>
        <v>NA</v>
      </c>
      <c r="G222" s="279" t="str">
        <f>IF(T879="","",T879)</f>
        <v>NA</v>
      </c>
      <c r="H222" s="279" t="str">
        <f>IF(T868="","",T868)</f>
        <v>NA</v>
      </c>
    </row>
    <row r="223" spans="2:8" ht="11.25" hidden="1" customHeight="1" outlineLevel="1" x14ac:dyDescent="0.35">
      <c r="B223" s="244" t="s">
        <v>5369</v>
      </c>
      <c r="C223" s="245"/>
      <c r="D223" s="279" t="str">
        <f>IF(T913="","",T913)</f>
        <v>NA</v>
      </c>
      <c r="E223" s="279" t="str">
        <f>IF(T902="","",T902)</f>
        <v>NA</v>
      </c>
      <c r="F223" s="279" t="str">
        <f>IF(T891="","",T891)</f>
        <v>NA</v>
      </c>
      <c r="G223" s="279" t="str">
        <f>IF(T880="","",T880)</f>
        <v>NA</v>
      </c>
      <c r="H223" s="279" t="str">
        <f>IF(T869="","",T869)</f>
        <v>NA</v>
      </c>
    </row>
    <row r="224" spans="2:8" ht="11.25" hidden="1" customHeight="1" outlineLevel="1" x14ac:dyDescent="0.35">
      <c r="B224" s="244" t="s">
        <v>5370</v>
      </c>
      <c r="C224" s="245"/>
      <c r="D224" s="279" t="str">
        <f>IF(T914="","",T914)</f>
        <v>NA</v>
      </c>
      <c r="E224" s="279" t="str">
        <f>IF(T903="","",T903)</f>
        <v>NA</v>
      </c>
      <c r="F224" s="279" t="str">
        <f>IF(T892="","",T892)</f>
        <v>NA</v>
      </c>
      <c r="G224" s="279" t="str">
        <f>IF(T881="","",T881)</f>
        <v>NA</v>
      </c>
      <c r="H224" s="279" t="str">
        <f>IF(T870="","",T870)</f>
        <v>NA</v>
      </c>
    </row>
    <row r="225" spans="2:8" ht="11.25" hidden="1" customHeight="1" outlineLevel="1" x14ac:dyDescent="0.35">
      <c r="B225" s="244" t="s">
        <v>5371</v>
      </c>
      <c r="C225" s="245"/>
      <c r="D225" s="279" t="str">
        <f>IF(T915="","",T915)</f>
        <v>NA</v>
      </c>
      <c r="E225" s="279" t="str">
        <f>IF(T904="","",T904)</f>
        <v>NA</v>
      </c>
      <c r="F225" s="279" t="str">
        <f>IF(T893="","",T893)</f>
        <v>NA</v>
      </c>
      <c r="G225" s="279" t="str">
        <f>IF(T882="","",T882)</f>
        <v>NA</v>
      </c>
      <c r="H225" s="279" t="str">
        <f>IF(T871="","",T871)</f>
        <v>NA</v>
      </c>
    </row>
    <row r="226" spans="2:8" ht="11.25" hidden="1" customHeight="1" outlineLevel="1" x14ac:dyDescent="0.35">
      <c r="B226" s="244" t="s">
        <v>5372</v>
      </c>
      <c r="C226" s="245"/>
      <c r="D226" s="279" t="str">
        <f>IF(T916="","",T916)</f>
        <v>NA</v>
      </c>
      <c r="E226" s="279" t="str">
        <f>IF(T905="","",T905)</f>
        <v>NA</v>
      </c>
      <c r="F226" s="279" t="str">
        <f>IF(T894="","",T894)</f>
        <v>NA</v>
      </c>
      <c r="G226" s="279" t="str">
        <f>IF(T883="","",T883)</f>
        <v>NA</v>
      </c>
      <c r="H226" s="279" t="str">
        <f>IF(T872="","",T872)</f>
        <v>NA</v>
      </c>
    </row>
    <row r="227" spans="2:8" ht="11.25" hidden="1" customHeight="1" outlineLevel="1" x14ac:dyDescent="0.35">
      <c r="B227" s="244"/>
      <c r="C227" s="245"/>
      <c r="D227" s="279"/>
      <c r="E227" s="279"/>
      <c r="F227" s="279"/>
      <c r="G227" s="279"/>
      <c r="H227" s="279"/>
    </row>
    <row r="228" spans="2:8" ht="11.25" hidden="1" customHeight="1" outlineLevel="1" x14ac:dyDescent="0.35">
      <c r="B228" s="246" t="s">
        <v>5474</v>
      </c>
      <c r="C228" s="245"/>
      <c r="D228" s="279"/>
      <c r="E228" s="279"/>
      <c r="F228" s="279"/>
      <c r="G228" s="279"/>
      <c r="H228" s="279"/>
    </row>
    <row r="229" spans="2:8" ht="11.25" hidden="1" customHeight="1" outlineLevel="1" x14ac:dyDescent="0.35">
      <c r="B229" s="292" t="s">
        <v>5365</v>
      </c>
      <c r="C229" s="245"/>
      <c r="D229" s="279" t="str">
        <f>IF(T962="","",T962)</f>
        <v>NA</v>
      </c>
      <c r="E229" s="279" t="str">
        <f>IF(T951="","",T951)</f>
        <v>NA</v>
      </c>
      <c r="F229" s="279" t="str">
        <f>IF(T940="","",T940)</f>
        <v>NA</v>
      </c>
      <c r="G229" s="279" t="str">
        <f>IF(T929="","",T929)</f>
        <v>NA</v>
      </c>
      <c r="H229" s="279" t="str">
        <f>IF(T918="","",T918)</f>
        <v>NA</v>
      </c>
    </row>
    <row r="230" spans="2:8" ht="11.25" hidden="1" customHeight="1" outlineLevel="1" x14ac:dyDescent="0.35">
      <c r="B230" s="244" t="s">
        <v>5366</v>
      </c>
      <c r="C230" s="245"/>
      <c r="D230" s="279" t="str">
        <f>IF(T963="","",T963)</f>
        <v>NA</v>
      </c>
      <c r="E230" s="279" t="str">
        <f>IF(T952="","",T952)</f>
        <v>NA</v>
      </c>
      <c r="F230" s="279" t="str">
        <f>IF(T941="","",T941)</f>
        <v>NA</v>
      </c>
      <c r="G230" s="279" t="str">
        <f>IF(T930="","",T930)</f>
        <v>NA</v>
      </c>
      <c r="H230" s="279" t="str">
        <f>IF(T919="","",T919)</f>
        <v>NA</v>
      </c>
    </row>
    <row r="231" spans="2:8" ht="11.25" hidden="1" customHeight="1" outlineLevel="1" x14ac:dyDescent="0.35">
      <c r="B231" s="244" t="s">
        <v>5122</v>
      </c>
      <c r="C231" s="245"/>
      <c r="D231" s="279" t="str">
        <f>IF(T964="","",T964)</f>
        <v>NA</v>
      </c>
      <c r="E231" s="279" t="str">
        <f>IF(T953="","",T953)</f>
        <v>NA</v>
      </c>
      <c r="F231" s="279" t="str">
        <f>IF(T942="","",T942)</f>
        <v>NA</v>
      </c>
      <c r="G231" s="279" t="str">
        <f>IF(T931="","",T931)</f>
        <v>NA</v>
      </c>
      <c r="H231" s="279" t="str">
        <f>IF(T920="","",T920)</f>
        <v>NA</v>
      </c>
    </row>
    <row r="232" spans="2:8" ht="11.25" hidden="1" customHeight="1" outlineLevel="1" x14ac:dyDescent="0.35">
      <c r="B232" s="244" t="s">
        <v>5124</v>
      </c>
      <c r="C232" s="245"/>
      <c r="D232" s="279" t="str">
        <f>IF(T965="","",T965)</f>
        <v>NA</v>
      </c>
      <c r="E232" s="279" t="str">
        <f>IF(T954="","",T954)</f>
        <v>NA</v>
      </c>
      <c r="F232" s="279" t="str">
        <f>IF(T943="","",T943)</f>
        <v>NA</v>
      </c>
      <c r="G232" s="279" t="str">
        <f>IF(T932="","",T932)</f>
        <v>NA</v>
      </c>
      <c r="H232" s="279" t="str">
        <f>IF(T921="","",T921)</f>
        <v>NA</v>
      </c>
    </row>
    <row r="233" spans="2:8" ht="11.25" hidden="1" customHeight="1" outlineLevel="1" x14ac:dyDescent="0.35">
      <c r="B233" s="244" t="s">
        <v>5121</v>
      </c>
      <c r="C233" s="245"/>
      <c r="D233" s="279" t="str">
        <f>IF(T966="","",T966)</f>
        <v>NA</v>
      </c>
      <c r="E233" s="279" t="str">
        <f>IF(T955="","",T955)</f>
        <v>NA</v>
      </c>
      <c r="F233" s="279" t="str">
        <f>IF(T944="","",T944)</f>
        <v>NA</v>
      </c>
      <c r="G233" s="279" t="str">
        <f>IF(T933="","",T933)</f>
        <v>NA</v>
      </c>
      <c r="H233" s="279" t="str">
        <f>IF(T922="","",T922)</f>
        <v>NA</v>
      </c>
    </row>
    <row r="234" spans="2:8" ht="11.25" hidden="1" customHeight="1" outlineLevel="1" x14ac:dyDescent="0.35">
      <c r="B234" s="244" t="s">
        <v>5367</v>
      </c>
      <c r="C234" s="245"/>
      <c r="D234" s="279" t="str">
        <f>IF(T967="","",T967)</f>
        <v>NA</v>
      </c>
      <c r="E234" s="279" t="str">
        <f>IF(T956="","",T956)</f>
        <v>NA</v>
      </c>
      <c r="F234" s="279" t="str">
        <f>IF(T945="","",T945)</f>
        <v>NA</v>
      </c>
      <c r="G234" s="279" t="str">
        <f>IF(T934="","",T934)</f>
        <v>NA</v>
      </c>
      <c r="H234" s="279" t="str">
        <f>IF(T923="","",T923)</f>
        <v>NA</v>
      </c>
    </row>
    <row r="235" spans="2:8" ht="11.25" hidden="1" customHeight="1" outlineLevel="1" x14ac:dyDescent="0.35">
      <c r="B235" s="244" t="s">
        <v>5368</v>
      </c>
      <c r="C235" s="245"/>
      <c r="D235" s="279" t="str">
        <f>IF(T968="","",T968)</f>
        <v>NA</v>
      </c>
      <c r="E235" s="279" t="str">
        <f>IF(T957="","",T957)</f>
        <v>NA</v>
      </c>
      <c r="F235" s="279" t="str">
        <f>IF(T946="","",T946)</f>
        <v>NA</v>
      </c>
      <c r="G235" s="279" t="str">
        <f>IF(T935="","",T935)</f>
        <v>NA</v>
      </c>
      <c r="H235" s="279" t="str">
        <f>IF(T924="","",T924)</f>
        <v>NA</v>
      </c>
    </row>
    <row r="236" spans="2:8" ht="11.25" hidden="1" customHeight="1" outlineLevel="1" x14ac:dyDescent="0.35">
      <c r="B236" s="244" t="s">
        <v>5369</v>
      </c>
      <c r="C236" s="245"/>
      <c r="D236" s="279" t="str">
        <f>IF(T969="","",T969)</f>
        <v>NA</v>
      </c>
      <c r="E236" s="279" t="str">
        <f>IF(T958="","",T958)</f>
        <v>NA</v>
      </c>
      <c r="F236" s="279" t="str">
        <f>IF(T947="","",T947)</f>
        <v>NA</v>
      </c>
      <c r="G236" s="279" t="str">
        <f>IF(T936="","",T936)</f>
        <v>NA</v>
      </c>
      <c r="H236" s="279" t="str">
        <f>IF(T925="","",T925)</f>
        <v>NA</v>
      </c>
    </row>
    <row r="237" spans="2:8" ht="11.25" hidden="1" customHeight="1" outlineLevel="1" x14ac:dyDescent="0.35">
      <c r="B237" s="244" t="s">
        <v>5370</v>
      </c>
      <c r="C237" s="245"/>
      <c r="D237" s="279" t="str">
        <f>IF(T970="","",T970)</f>
        <v>NA</v>
      </c>
      <c r="E237" s="279" t="str">
        <f>IF(T959="","",T959)</f>
        <v>NA</v>
      </c>
      <c r="F237" s="279" t="str">
        <f>IF(T948="","",T948)</f>
        <v>NA</v>
      </c>
      <c r="G237" s="279" t="str">
        <f>IF(T937="","",T937)</f>
        <v>NA</v>
      </c>
      <c r="H237" s="279" t="str">
        <f>IF(T926="","",T926)</f>
        <v>NA</v>
      </c>
    </row>
    <row r="238" spans="2:8" ht="11.25" hidden="1" customHeight="1" outlineLevel="1" x14ac:dyDescent="0.35">
      <c r="B238" s="244" t="s">
        <v>5371</v>
      </c>
      <c r="C238" s="245"/>
      <c r="D238" s="279" t="str">
        <f>IF(T971="","",T971)</f>
        <v>NA</v>
      </c>
      <c r="E238" s="279" t="str">
        <f>IF(T960="","",T960)</f>
        <v>NA</v>
      </c>
      <c r="F238" s="279" t="str">
        <f>IF(T949="","",T949)</f>
        <v>NA</v>
      </c>
      <c r="G238" s="279" t="str">
        <f>IF(T938="","",T938)</f>
        <v>NA</v>
      </c>
      <c r="H238" s="279" t="str">
        <f>IF(T927="","",T927)</f>
        <v>NA</v>
      </c>
    </row>
    <row r="239" spans="2:8" ht="11.25" hidden="1" customHeight="1" outlineLevel="1" x14ac:dyDescent="0.35">
      <c r="B239" s="244" t="s">
        <v>5372</v>
      </c>
      <c r="C239" s="245"/>
      <c r="D239" s="279" t="str">
        <f>IF(T972="","",T972)</f>
        <v>NA</v>
      </c>
      <c r="E239" s="279" t="str">
        <f>IF(T961="","",T961)</f>
        <v>NA</v>
      </c>
      <c r="F239" s="279" t="str">
        <f>IF(T950="","",T950)</f>
        <v>NA</v>
      </c>
      <c r="G239" s="279" t="str">
        <f>IF(T939="","",T939)</f>
        <v>NA</v>
      </c>
      <c r="H239" s="279" t="str">
        <f>IF(T928="","",T928)</f>
        <v>NA</v>
      </c>
    </row>
    <row r="240" spans="2:8" ht="11.25" hidden="1" customHeight="1" outlineLevel="1" x14ac:dyDescent="0.35">
      <c r="B240" s="244"/>
      <c r="C240" s="245"/>
      <c r="D240" s="279"/>
      <c r="E240" s="279"/>
      <c r="F240" s="279"/>
      <c r="G240" s="279"/>
      <c r="H240" s="279"/>
    </row>
    <row r="241" spans="2:8" ht="11.25" customHeight="1" collapsed="1" x14ac:dyDescent="0.35">
      <c r="B241" s="244" t="s">
        <v>5079</v>
      </c>
      <c r="C241" s="245"/>
      <c r="D241" s="279">
        <f>IF(LEFT(D$7,4)&gt;"2018",D264,D248)</f>
        <v>352351.201</v>
      </c>
      <c r="E241" s="279">
        <f>IF(LEFT(E$7,4)&gt;"2018",E264,E248)</f>
        <v>-144335.12100000001</v>
      </c>
      <c r="F241" s="279">
        <f>IF(LEFT(F$7,4)&gt;"2018",F264,F248)</f>
        <v>-301819.73700000002</v>
      </c>
      <c r="G241" s="279">
        <f>IF(LEFT(G$7,4)&gt;"2018",G264,G248)</f>
        <v>1093763.362</v>
      </c>
      <c r="H241" s="279">
        <f>IF(LEFT(H$7,4)&gt;"2018",H264,H248)</f>
        <v>2707762.3429999999</v>
      </c>
    </row>
    <row r="242" spans="2:8" ht="11.25" customHeight="1" x14ac:dyDescent="0.35">
      <c r="B242" s="244" t="s">
        <v>5078</v>
      </c>
      <c r="C242" s="245"/>
      <c r="D242" s="279">
        <f>IF(LEFT(D$7,4)&gt;"2018",D265,D249)</f>
        <v>28537730.868999999</v>
      </c>
      <c r="E242" s="279">
        <f>IF(LEFT(E$7,4)&gt;"2018",E265,E249)</f>
        <v>32390344.182</v>
      </c>
      <c r="F242" s="279">
        <f>IF(LEFT(F$7,4)&gt;"2018",F265,F249)</f>
        <v>63899453.509000003</v>
      </c>
      <c r="G242" s="279">
        <f>IF(LEFT(G$7,4)&gt;"2018",G265,G249)</f>
        <v>-2105014.7820000001</v>
      </c>
      <c r="H242" s="279">
        <f>IF(LEFT(H$7,4)&gt;"2018",H265,H249)</f>
        <v>-19610448.093000002</v>
      </c>
    </row>
    <row r="243" spans="2:8" ht="11.25" customHeight="1" x14ac:dyDescent="0.35">
      <c r="B243" s="244" t="s">
        <v>5077</v>
      </c>
      <c r="C243" s="245"/>
      <c r="D243" s="279">
        <f>IF(LEFT(D$7,4)&gt;"2018",D260,D250)</f>
        <v>385327.89</v>
      </c>
      <c r="E243" s="279">
        <f>IF(LEFT(E$7,4)&gt;"2018",E260,E250)</f>
        <v>29539.344000000001</v>
      </c>
      <c r="F243" s="279">
        <f>IF(LEFT(F$7,4)&gt;"2018",F260,F250)</f>
        <v>-2058409.5190000001</v>
      </c>
      <c r="G243" s="279">
        <f>IF(LEFT(G$7,4)&gt;"2018",G260,G250)</f>
        <v>418972.55200000003</v>
      </c>
      <c r="H243" s="279">
        <f>IF(LEFT(H$7,4)&gt;"2018",H260,H250)</f>
        <v>427891.55599999998</v>
      </c>
    </row>
    <row r="244" spans="2:8" ht="11.25" customHeight="1" x14ac:dyDescent="0.35">
      <c r="B244" s="244" t="s">
        <v>5475</v>
      </c>
      <c r="C244" s="245"/>
      <c r="D244" s="279">
        <f>IF(LEFT(D$7,4)&gt;"2018","NA",D251)</f>
        <v>37.033000000000001</v>
      </c>
      <c r="E244" s="279">
        <f>IF(LEFT(E$7,4)&gt;"2018","NA",E251)</f>
        <v>796.43000000000006</v>
      </c>
      <c r="F244" s="279">
        <f>IF(LEFT(F$7,4)&gt;"2018","NA",F251)</f>
        <v>0</v>
      </c>
      <c r="G244" s="279">
        <f>IF(LEFT(G$7,4)&gt;"2018","NA",G251)</f>
        <v>0</v>
      </c>
      <c r="H244" s="279">
        <f>IF(LEFT(H$7,4)&gt;"2018","NA",H251)</f>
        <v>0</v>
      </c>
    </row>
    <row r="245" spans="2:8" ht="11.25" customHeight="1" x14ac:dyDescent="0.35">
      <c r="B245" s="244" t="s">
        <v>5075</v>
      </c>
      <c r="C245" s="245"/>
      <c r="D245" s="279">
        <f>IF(LEFT(D$7,4)&gt;"2018",SUM(D261:D263),D252)</f>
        <v>-2453.2379999999998</v>
      </c>
      <c r="E245" s="279">
        <f>IF(LEFT(E$7,4)&gt;"2018",SUM(E261:E263),E252)</f>
        <v>151079.12599999999</v>
      </c>
      <c r="F245" s="279">
        <f>IF(LEFT(F$7,4)&gt;"2018",SUM(F261:F263),F252)</f>
        <v>11221.516</v>
      </c>
      <c r="G245" s="279">
        <f>IF(LEFT(G$7,4)&gt;"2018",SUM(G261:G263),G252)</f>
        <v>44850.510999999999</v>
      </c>
      <c r="H245" s="279">
        <f>IF(LEFT(H$7,4)&gt;"2018",SUM(H261:H263),H252)</f>
        <v>10105.34</v>
      </c>
    </row>
    <row r="246" spans="2:8" ht="11.25" customHeight="1" x14ac:dyDescent="0.35">
      <c r="B246" s="244" t="s">
        <v>5074</v>
      </c>
      <c r="C246" s="245">
        <v>123576</v>
      </c>
      <c r="D246" s="279">
        <v>29272993.751000002</v>
      </c>
      <c r="E246" s="279">
        <v>32427423.960000001</v>
      </c>
      <c r="F246" s="279">
        <v>61550445.767000005</v>
      </c>
      <c r="G246" s="279">
        <v>-771523.37100000004</v>
      </c>
      <c r="H246" s="279">
        <v>-16464688.812000001</v>
      </c>
    </row>
    <row r="247" spans="2:8" ht="11.25" customHeight="1" x14ac:dyDescent="0.35">
      <c r="B247" s="244"/>
      <c r="C247" s="245"/>
      <c r="D247" s="279"/>
      <c r="E247" s="279"/>
      <c r="F247" s="279"/>
      <c r="G247" s="279"/>
      <c r="H247" s="279"/>
    </row>
    <row r="248" spans="2:8" ht="11.25" hidden="1" customHeight="1" outlineLevel="1" x14ac:dyDescent="0.35">
      <c r="B248" s="244" t="s">
        <v>5079</v>
      </c>
      <c r="C248" s="245">
        <v>123571</v>
      </c>
      <c r="D248" s="279">
        <v>352351.201</v>
      </c>
      <c r="E248" s="279">
        <v>-144335.12100000001</v>
      </c>
      <c r="F248" s="279">
        <v>-301819.73700000002</v>
      </c>
      <c r="G248" s="279">
        <v>1093763.362</v>
      </c>
      <c r="H248" s="279">
        <v>2707762.3429999999</v>
      </c>
    </row>
    <row r="249" spans="2:8" ht="11.25" hidden="1" customHeight="1" outlineLevel="1" x14ac:dyDescent="0.35">
      <c r="B249" s="244" t="s">
        <v>5078</v>
      </c>
      <c r="C249" s="245">
        <v>123572</v>
      </c>
      <c r="D249" s="279">
        <v>28537730.868999999</v>
      </c>
      <c r="E249" s="279">
        <v>32390344.182</v>
      </c>
      <c r="F249" s="279">
        <v>63899453.509000003</v>
      </c>
      <c r="G249" s="279">
        <v>-2105014.7820000001</v>
      </c>
      <c r="H249" s="279">
        <v>-19610448.093000002</v>
      </c>
    </row>
    <row r="250" spans="2:8" s="302" customFormat="1" ht="11.25" hidden="1" customHeight="1" outlineLevel="1" x14ac:dyDescent="0.35">
      <c r="B250" s="244" t="s">
        <v>5077</v>
      </c>
      <c r="C250" s="245">
        <v>123573</v>
      </c>
      <c r="D250" s="279">
        <v>385327.89</v>
      </c>
      <c r="E250" s="279">
        <v>29539.344000000001</v>
      </c>
      <c r="F250" s="279">
        <v>-2058409.5190000001</v>
      </c>
      <c r="G250" s="279">
        <v>418972.55200000003</v>
      </c>
      <c r="H250" s="279">
        <v>427891.55599999998</v>
      </c>
    </row>
    <row r="251" spans="2:8" s="302" customFormat="1" ht="11.25" hidden="1" customHeight="1" outlineLevel="1" x14ac:dyDescent="0.35">
      <c r="B251" s="244" t="s">
        <v>5076</v>
      </c>
      <c r="C251" s="245">
        <v>123574</v>
      </c>
      <c r="D251" s="279">
        <v>37.033000000000001</v>
      </c>
      <c r="E251" s="279">
        <v>796.43000000000006</v>
      </c>
      <c r="F251" s="279">
        <v>0</v>
      </c>
      <c r="G251" s="279">
        <v>0</v>
      </c>
      <c r="H251" s="279">
        <v>0</v>
      </c>
    </row>
    <row r="252" spans="2:8" ht="11.25" hidden="1" customHeight="1" outlineLevel="1" x14ac:dyDescent="0.35">
      <c r="B252" s="244" t="s">
        <v>5075</v>
      </c>
      <c r="C252" s="245">
        <v>123575</v>
      </c>
      <c r="D252" s="279">
        <v>-2453.2379999999998</v>
      </c>
      <c r="E252" s="279">
        <v>151079.12599999999</v>
      </c>
      <c r="F252" s="279">
        <v>11221.516</v>
      </c>
      <c r="G252" s="279">
        <v>44850.510999999999</v>
      </c>
      <c r="H252" s="279">
        <v>10105.34</v>
      </c>
    </row>
    <row r="253" spans="2:8" ht="11.25" hidden="1" customHeight="1" outlineLevel="1" x14ac:dyDescent="0.35">
      <c r="B253" s="244"/>
      <c r="C253" s="245"/>
      <c r="D253" s="279"/>
      <c r="E253" s="279"/>
      <c r="F253" s="279"/>
      <c r="G253" s="279"/>
      <c r="H253" s="279"/>
    </row>
    <row r="254" spans="2:8" ht="11.25" hidden="1" customHeight="1" outlineLevel="1" x14ac:dyDescent="0.35">
      <c r="B254" s="246" t="s">
        <v>5476</v>
      </c>
      <c r="C254" s="247"/>
      <c r="D254" s="335"/>
      <c r="E254" s="335"/>
      <c r="F254" s="335"/>
      <c r="G254" s="335"/>
      <c r="H254" s="335"/>
    </row>
    <row r="255" spans="2:8" ht="11.25" hidden="1" customHeight="1" outlineLevel="1" x14ac:dyDescent="0.35">
      <c r="B255" s="292" t="s">
        <v>5365</v>
      </c>
      <c r="C255" s="247"/>
      <c r="D255" s="279" t="str">
        <f>IF(T1018="","",T1018)</f>
        <v>NA</v>
      </c>
      <c r="E255" s="279" t="str">
        <f>IF(T1007="","",T1007)</f>
        <v>NA</v>
      </c>
      <c r="F255" s="279" t="str">
        <f>IF(T996="","",T996)</f>
        <v>NA</v>
      </c>
      <c r="G255" s="279" t="str">
        <f>IF(T985="","",T985)</f>
        <v>NA</v>
      </c>
      <c r="H255" s="279" t="str">
        <f>IF(T974="","",T974)</f>
        <v>NA</v>
      </c>
    </row>
    <row r="256" spans="2:8" ht="11.25" hidden="1" customHeight="1" outlineLevel="1" x14ac:dyDescent="0.35">
      <c r="B256" s="244" t="s">
        <v>5366</v>
      </c>
      <c r="C256" s="245"/>
      <c r="D256" s="279" t="str">
        <f>IF(T1019="","",T1019)</f>
        <v>NA</v>
      </c>
      <c r="E256" s="279" t="str">
        <f>IF(T1008="","",T1008)</f>
        <v>NA</v>
      </c>
      <c r="F256" s="279" t="str">
        <f>IF(T997="","",T997)</f>
        <v>NA</v>
      </c>
      <c r="G256" s="279" t="str">
        <f>IF(T986="","",T986)</f>
        <v>NA</v>
      </c>
      <c r="H256" s="279" t="str">
        <f>IF(T975="","",T975)</f>
        <v>NA</v>
      </c>
    </row>
    <row r="257" spans="2:8" ht="11.25" hidden="1" customHeight="1" outlineLevel="1" x14ac:dyDescent="0.35">
      <c r="B257" s="244" t="s">
        <v>5122</v>
      </c>
      <c r="C257" s="245"/>
      <c r="D257" s="279" t="str">
        <f>IF(T1020="","",T1020)</f>
        <v>NA</v>
      </c>
      <c r="E257" s="279" t="str">
        <f>IF(T1009="","",T1009)</f>
        <v>NA</v>
      </c>
      <c r="F257" s="279" t="str">
        <f>IF(T998="","",T998)</f>
        <v>NA</v>
      </c>
      <c r="G257" s="279" t="str">
        <f>IF(T987="","",T987)</f>
        <v>NA</v>
      </c>
      <c r="H257" s="279" t="str">
        <f>IF(T976="","",T976)</f>
        <v>NA</v>
      </c>
    </row>
    <row r="258" spans="2:8" ht="11.25" hidden="1" customHeight="1" outlineLevel="1" x14ac:dyDescent="0.35">
      <c r="B258" s="244" t="s">
        <v>5124</v>
      </c>
      <c r="C258" s="245"/>
      <c r="D258" s="279" t="str">
        <f>IF(T1021="","",T1021)</f>
        <v>NA</v>
      </c>
      <c r="E258" s="279" t="str">
        <f>IF(T1010="","",T1010)</f>
        <v>NA</v>
      </c>
      <c r="F258" s="279" t="str">
        <f>IF(T999="","",T999)</f>
        <v>NA</v>
      </c>
      <c r="G258" s="279" t="str">
        <f>IF(T988="","",T988)</f>
        <v>NA</v>
      </c>
      <c r="H258" s="279" t="str">
        <f>IF(T977="","",T977)</f>
        <v>NA</v>
      </c>
    </row>
    <row r="259" spans="2:8" ht="11.25" hidden="1" customHeight="1" outlineLevel="1" x14ac:dyDescent="0.35">
      <c r="B259" s="244" t="s">
        <v>5121</v>
      </c>
      <c r="C259" s="245"/>
      <c r="D259" s="279" t="str">
        <f>IF(T1022="","",T1022)</f>
        <v>NA</v>
      </c>
      <c r="E259" s="279" t="str">
        <f>IF(T1011="","",T1011)</f>
        <v>NA</v>
      </c>
      <c r="F259" s="279" t="str">
        <f>IF(T1000="","",T1000)</f>
        <v>NA</v>
      </c>
      <c r="G259" s="279" t="str">
        <f>IF(T989="","",T989)</f>
        <v>NA</v>
      </c>
      <c r="H259" s="279" t="str">
        <f>IF(T978="","",T978)</f>
        <v>NA</v>
      </c>
    </row>
    <row r="260" spans="2:8" ht="11.25" hidden="1" customHeight="1" outlineLevel="1" x14ac:dyDescent="0.35">
      <c r="B260" s="244" t="s">
        <v>5367</v>
      </c>
      <c r="C260" s="245"/>
      <c r="D260" s="279" t="str">
        <f>IF(T1023="","",T1023)</f>
        <v>NA</v>
      </c>
      <c r="E260" s="279" t="str">
        <f>IF(T1012="","",T1012)</f>
        <v>NA</v>
      </c>
      <c r="F260" s="279" t="str">
        <f>IF(T1001="","",T1001)</f>
        <v>NA</v>
      </c>
      <c r="G260" s="279" t="str">
        <f>IF(T990="","",T990)</f>
        <v>NA</v>
      </c>
      <c r="H260" s="279" t="str">
        <f>IF(T979="","",T979)</f>
        <v>NA</v>
      </c>
    </row>
    <row r="261" spans="2:8" ht="11.25" hidden="1" customHeight="1" outlineLevel="1" x14ac:dyDescent="0.35">
      <c r="B261" s="244" t="s">
        <v>5368</v>
      </c>
      <c r="C261" s="245"/>
      <c r="D261" s="279" t="str">
        <f>IF(T1024="","",T1024)</f>
        <v>NA</v>
      </c>
      <c r="E261" s="279" t="str">
        <f>IF(T1013="","",T1013)</f>
        <v>NA</v>
      </c>
      <c r="F261" s="279" t="str">
        <f>IF(T1002="","",T1002)</f>
        <v>NA</v>
      </c>
      <c r="G261" s="279" t="str">
        <f>IF(T991="","",T991)</f>
        <v>NA</v>
      </c>
      <c r="H261" s="279" t="str">
        <f>IF(T980="","",T980)</f>
        <v>NA</v>
      </c>
    </row>
    <row r="262" spans="2:8" ht="11.25" hidden="1" customHeight="1" outlineLevel="1" x14ac:dyDescent="0.35">
      <c r="B262" s="244" t="s">
        <v>5369</v>
      </c>
      <c r="C262" s="245"/>
      <c r="D262" s="279" t="str">
        <f>IF(T1025="","",T1025)</f>
        <v>NA</v>
      </c>
      <c r="E262" s="279" t="str">
        <f>IF(T1014="","",T1014)</f>
        <v>NA</v>
      </c>
      <c r="F262" s="279" t="str">
        <f>IF(T1003="","",T1003)</f>
        <v>NA</v>
      </c>
      <c r="G262" s="279" t="str">
        <f>IF(T992="","",T992)</f>
        <v>NA</v>
      </c>
      <c r="H262" s="279" t="str">
        <f>IF(T981="","",T981)</f>
        <v>NA</v>
      </c>
    </row>
    <row r="263" spans="2:8" ht="11.25" hidden="1" customHeight="1" outlineLevel="1" x14ac:dyDescent="0.35">
      <c r="B263" s="244" t="s">
        <v>5370</v>
      </c>
      <c r="C263" s="245"/>
      <c r="D263" s="279" t="str">
        <f>IF(T1026="","",T1026)</f>
        <v>NA</v>
      </c>
      <c r="E263" s="279" t="str">
        <f>IF(T1015="","",T1015)</f>
        <v>NA</v>
      </c>
      <c r="F263" s="279" t="str">
        <f>IF(T1004="","",T1004)</f>
        <v>NA</v>
      </c>
      <c r="G263" s="279" t="str">
        <f>IF(T993="","",T993)</f>
        <v>NA</v>
      </c>
      <c r="H263" s="279" t="str">
        <f>IF(T982="","",T982)</f>
        <v>NA</v>
      </c>
    </row>
    <row r="264" spans="2:8" ht="11.25" hidden="1" customHeight="1" outlineLevel="1" x14ac:dyDescent="0.35">
      <c r="B264" s="244" t="s">
        <v>5371</v>
      </c>
      <c r="C264" s="245"/>
      <c r="D264" s="279" t="str">
        <f>IF(T1027="","",T1027)</f>
        <v>NA</v>
      </c>
      <c r="E264" s="279" t="str">
        <f>IF(T1016="","",T1016)</f>
        <v>NA</v>
      </c>
      <c r="F264" s="279" t="str">
        <f>IF(T1005="","",T1005)</f>
        <v>NA</v>
      </c>
      <c r="G264" s="279" t="str">
        <f>IF(T994="","",T994)</f>
        <v>NA</v>
      </c>
      <c r="H264" s="279" t="str">
        <f>IF(T983="","",T983)</f>
        <v>NA</v>
      </c>
    </row>
    <row r="265" spans="2:8" ht="11.25" hidden="1" customHeight="1" outlineLevel="1" x14ac:dyDescent="0.35">
      <c r="B265" s="244" t="s">
        <v>5372</v>
      </c>
      <c r="C265" s="245"/>
      <c r="D265" s="279" t="str">
        <f>IF(T1028="","",T1028)</f>
        <v>NA</v>
      </c>
      <c r="E265" s="279" t="str">
        <f>IF(T1017="","",T1017)</f>
        <v>NA</v>
      </c>
      <c r="F265" s="279" t="str">
        <f>IF(T1006="","",T1006)</f>
        <v>NA</v>
      </c>
      <c r="G265" s="279" t="str">
        <f>IF(T995="","",T995)</f>
        <v>NA</v>
      </c>
      <c r="H265" s="279" t="str">
        <f>IF(T984="","",T984)</f>
        <v>NA</v>
      </c>
    </row>
    <row r="266" spans="2:8" ht="11.25" hidden="1" customHeight="1" outlineLevel="1" x14ac:dyDescent="0.35">
      <c r="B266" s="244"/>
      <c r="C266" s="245"/>
      <c r="D266" s="279"/>
      <c r="E266" s="279"/>
      <c r="F266" s="279"/>
      <c r="G266" s="279"/>
      <c r="H266" s="279"/>
    </row>
    <row r="267" spans="2:8" ht="11.25" customHeight="1" collapsed="1" x14ac:dyDescent="0.35">
      <c r="B267" s="244" t="s">
        <v>4967</v>
      </c>
      <c r="C267" s="245">
        <v>123577</v>
      </c>
      <c r="D267" s="279">
        <v>48847382.272</v>
      </c>
      <c r="E267" s="279">
        <v>51367502.270999998</v>
      </c>
      <c r="F267" s="279">
        <v>52614275.413000003</v>
      </c>
      <c r="G267" s="279">
        <v>53014166.497000001</v>
      </c>
      <c r="H267" s="279">
        <v>52063513.546999998</v>
      </c>
    </row>
    <row r="268" spans="2:8" ht="11.25" customHeight="1" x14ac:dyDescent="0.35">
      <c r="B268" s="244" t="s">
        <v>5073</v>
      </c>
      <c r="C268" s="245">
        <v>123578</v>
      </c>
      <c r="D268" s="279">
        <v>54630552.185000002</v>
      </c>
      <c r="E268" s="279">
        <v>56406139.32</v>
      </c>
      <c r="F268" s="279">
        <v>57205719.556000002</v>
      </c>
      <c r="G268" s="279">
        <v>58463239.664000005</v>
      </c>
      <c r="H268" s="279">
        <v>58950535.903999999</v>
      </c>
    </row>
    <row r="269" spans="2:8" ht="11.25" customHeight="1" x14ac:dyDescent="0.35">
      <c r="B269" s="244" t="s">
        <v>5072</v>
      </c>
      <c r="C269" s="245">
        <v>123579</v>
      </c>
      <c r="D269" s="279">
        <v>7540223.8619999997</v>
      </c>
      <c r="E269" s="279">
        <v>7803397.8890000004</v>
      </c>
      <c r="F269" s="279">
        <v>8038750.3560000006</v>
      </c>
      <c r="G269" s="279">
        <v>8193368.2760000005</v>
      </c>
      <c r="H269" s="279">
        <v>9981134.0439999998</v>
      </c>
    </row>
    <row r="270" spans="2:8" ht="11.25" customHeight="1" x14ac:dyDescent="0.35">
      <c r="B270" s="244" t="s">
        <v>5071</v>
      </c>
      <c r="C270" s="245">
        <v>123580</v>
      </c>
      <c r="D270" s="279">
        <v>2968053.39</v>
      </c>
      <c r="E270" s="279">
        <v>8648219.6439999994</v>
      </c>
      <c r="F270" s="279">
        <v>7159474.2379999999</v>
      </c>
      <c r="G270" s="279">
        <v>-108880.34700000001</v>
      </c>
      <c r="H270" s="279">
        <v>65995973.362000003</v>
      </c>
    </row>
    <row r="271" spans="2:8" ht="11.25" customHeight="1" x14ac:dyDescent="0.35">
      <c r="B271" s="244" t="s">
        <v>5070</v>
      </c>
      <c r="C271" s="245">
        <v>124435</v>
      </c>
      <c r="D271" s="279">
        <v>687769578.46200001</v>
      </c>
      <c r="E271" s="279">
        <v>774044691.17299998</v>
      </c>
      <c r="F271" s="279">
        <v>757814526.949</v>
      </c>
      <c r="G271" s="279">
        <v>704348940.18799996</v>
      </c>
      <c r="H271" s="279">
        <v>812545876.329</v>
      </c>
    </row>
    <row r="272" spans="2:8" ht="11.25" customHeight="1" x14ac:dyDescent="0.35">
      <c r="B272" s="244" t="s">
        <v>4946</v>
      </c>
      <c r="C272" s="247"/>
      <c r="D272" s="279"/>
      <c r="E272" s="279"/>
      <c r="F272" s="279"/>
      <c r="G272" s="279"/>
      <c r="H272" s="279"/>
    </row>
    <row r="273" spans="2:8" ht="11.25" customHeight="1" x14ac:dyDescent="0.35">
      <c r="B273" s="246" t="s">
        <v>4934</v>
      </c>
      <c r="C273" s="247"/>
      <c r="D273" s="279"/>
      <c r="E273" s="279"/>
      <c r="F273" s="279"/>
      <c r="G273" s="279"/>
      <c r="H273" s="279"/>
    </row>
    <row r="274" spans="2:8" ht="11.25" customHeight="1" x14ac:dyDescent="0.35">
      <c r="B274" s="244" t="s">
        <v>4970</v>
      </c>
      <c r="C274" s="245">
        <v>123042</v>
      </c>
      <c r="D274" s="279">
        <v>14985542.016000001</v>
      </c>
      <c r="E274" s="279">
        <v>15099873.65</v>
      </c>
      <c r="F274" s="279">
        <v>15211989.984999999</v>
      </c>
      <c r="G274" s="279">
        <v>15660305.782780001</v>
      </c>
      <c r="H274" s="279">
        <v>16430514.796</v>
      </c>
    </row>
    <row r="275" spans="2:8" ht="11.25" customHeight="1" x14ac:dyDescent="0.35">
      <c r="B275" s="244" t="s">
        <v>5069</v>
      </c>
      <c r="C275" s="245">
        <v>123583</v>
      </c>
      <c r="D275" s="279">
        <v>53084270.445312001</v>
      </c>
      <c r="E275" s="279">
        <v>28002719.295090102</v>
      </c>
      <c r="F275" s="279">
        <v>59568027.677500002</v>
      </c>
      <c r="G275" s="279">
        <v>62897845.907499999</v>
      </c>
      <c r="H275" s="279">
        <v>49012242.648000002</v>
      </c>
    </row>
    <row r="276" spans="2:8" ht="11.25" customHeight="1" x14ac:dyDescent="0.35">
      <c r="B276" s="244" t="s">
        <v>5068</v>
      </c>
      <c r="C276" s="245">
        <v>123048</v>
      </c>
      <c r="D276" s="279">
        <v>8561304.6109999996</v>
      </c>
      <c r="E276" s="279">
        <v>4669077.4570000004</v>
      </c>
      <c r="F276" s="279">
        <v>9865693.2119999994</v>
      </c>
      <c r="G276" s="279">
        <v>8553853.3939999994</v>
      </c>
      <c r="H276" s="279">
        <v>10106056.346000001</v>
      </c>
    </row>
    <row r="277" spans="2:8" ht="11.25" customHeight="1" x14ac:dyDescent="0.35">
      <c r="B277" s="244" t="s">
        <v>5067</v>
      </c>
      <c r="C277" s="245">
        <v>123584</v>
      </c>
      <c r="D277" s="279">
        <v>44075051.305312</v>
      </c>
      <c r="E277" s="279">
        <v>22895712.1970901</v>
      </c>
      <c r="F277" s="279">
        <v>49709025.717390001</v>
      </c>
      <c r="G277" s="279">
        <v>54344233.607795</v>
      </c>
      <c r="H277" s="279">
        <v>38905344.108330004</v>
      </c>
    </row>
    <row r="278" spans="2:8" ht="11.25" customHeight="1" x14ac:dyDescent="0.35">
      <c r="B278" s="244" t="s">
        <v>4946</v>
      </c>
      <c r="C278" s="247"/>
      <c r="D278" s="279"/>
      <c r="E278" s="279"/>
      <c r="F278" s="279"/>
      <c r="G278" s="279"/>
      <c r="H278" s="279"/>
    </row>
    <row r="279" spans="2:8" ht="11.25" customHeight="1" x14ac:dyDescent="0.35">
      <c r="B279" s="244" t="s">
        <v>4972</v>
      </c>
      <c r="C279" s="245">
        <v>123044</v>
      </c>
      <c r="D279" s="279">
        <v>-16015455.677000001</v>
      </c>
      <c r="E279" s="279">
        <v>-8534931.6070000008</v>
      </c>
      <c r="F279" s="279">
        <v>-9447731.0309999995</v>
      </c>
      <c r="G279" s="279">
        <v>-12026145.003</v>
      </c>
      <c r="H279" s="279">
        <v>-1306441.395</v>
      </c>
    </row>
    <row r="280" spans="2:8" ht="11.25" customHeight="1" x14ac:dyDescent="0.35">
      <c r="B280" s="244" t="s">
        <v>4946</v>
      </c>
      <c r="C280" s="247"/>
      <c r="D280" s="279"/>
      <c r="E280" s="279"/>
      <c r="F280" s="279"/>
      <c r="G280" s="279"/>
      <c r="H280" s="279"/>
    </row>
    <row r="281" spans="2:8" ht="11.25" customHeight="1" x14ac:dyDescent="0.35">
      <c r="B281" s="244" t="s">
        <v>4934</v>
      </c>
      <c r="C281" s="245">
        <v>123049</v>
      </c>
      <c r="D281" s="279">
        <v>28049198.917312</v>
      </c>
      <c r="E281" s="279">
        <v>14364501.2180901</v>
      </c>
      <c r="F281" s="279">
        <v>40260418.098499998</v>
      </c>
      <c r="G281" s="279">
        <v>42317304.8895</v>
      </c>
      <c r="H281" s="279">
        <v>37605615.140000001</v>
      </c>
    </row>
    <row r="282" spans="2:8" ht="11.25" customHeight="1" x14ac:dyDescent="0.35">
      <c r="B282" s="244" t="s">
        <v>4946</v>
      </c>
      <c r="C282" s="247"/>
      <c r="D282" s="279"/>
      <c r="E282" s="279"/>
      <c r="F282" s="279"/>
      <c r="G282" s="279"/>
      <c r="H282" s="279"/>
    </row>
    <row r="283" spans="2:8" ht="11.25" customHeight="1" x14ac:dyDescent="0.35">
      <c r="B283" s="244" t="s">
        <v>4973</v>
      </c>
      <c r="C283" s="245">
        <v>123583</v>
      </c>
      <c r="D283" s="279">
        <v>53084270.445312001</v>
      </c>
      <c r="E283" s="279">
        <v>28002719.295090102</v>
      </c>
      <c r="F283" s="279">
        <v>59568027.677500002</v>
      </c>
      <c r="G283" s="279">
        <v>62897845.907499999</v>
      </c>
      <c r="H283" s="279">
        <v>49012242.648000002</v>
      </c>
    </row>
    <row r="284" spans="2:8" ht="11.25" customHeight="1" x14ac:dyDescent="0.35">
      <c r="B284" s="244" t="s">
        <v>4946</v>
      </c>
      <c r="C284" s="247"/>
      <c r="D284" s="248"/>
      <c r="E284" s="248"/>
      <c r="F284" s="248"/>
      <c r="G284" s="248"/>
      <c r="H284" s="248"/>
    </row>
    <row r="285" spans="2:8" ht="11.25" customHeight="1" x14ac:dyDescent="0.35">
      <c r="B285" s="246" t="s">
        <v>5066</v>
      </c>
      <c r="C285" s="247"/>
      <c r="D285" s="248"/>
      <c r="E285" s="248"/>
      <c r="F285" s="248"/>
      <c r="G285" s="248"/>
      <c r="H285" s="248"/>
    </row>
    <row r="286" spans="2:8" ht="11.25" customHeight="1" x14ac:dyDescent="0.35">
      <c r="B286" s="244" t="s">
        <v>5065</v>
      </c>
      <c r="C286" s="245">
        <v>123053</v>
      </c>
      <c r="D286" s="279">
        <v>290747232.75790805</v>
      </c>
      <c r="E286" s="279">
        <v>307198150.38887095</v>
      </c>
      <c r="F286" s="279">
        <v>311852577.32545501</v>
      </c>
      <c r="G286" s="279">
        <v>326789140.98812801</v>
      </c>
      <c r="H286" s="279">
        <v>330498415.27965903</v>
      </c>
    </row>
    <row r="287" spans="2:8" ht="11.25" customHeight="1" x14ac:dyDescent="0.35">
      <c r="B287" s="244" t="s">
        <v>4934</v>
      </c>
      <c r="C287" s="245">
        <v>123049</v>
      </c>
      <c r="D287" s="279">
        <v>28049198.917312</v>
      </c>
      <c r="E287" s="279">
        <v>14364501.2180901</v>
      </c>
      <c r="F287" s="279">
        <v>40260418.098499998</v>
      </c>
      <c r="G287" s="279">
        <v>42317304.8895</v>
      </c>
      <c r="H287" s="279">
        <v>37605615.140000001</v>
      </c>
    </row>
    <row r="288" spans="2:8" ht="11.25" customHeight="1" x14ac:dyDescent="0.35">
      <c r="B288" s="244" t="s">
        <v>5064</v>
      </c>
      <c r="C288" s="245">
        <v>123055</v>
      </c>
      <c r="D288" s="279">
        <v>-16072269.160621099</v>
      </c>
      <c r="E288" s="279">
        <v>16968617.2831822</v>
      </c>
      <c r="F288" s="279">
        <v>444104.30769464001</v>
      </c>
      <c r="G288" s="279">
        <v>-4043933.0153166899</v>
      </c>
      <c r="H288" s="279">
        <v>18979268.046347</v>
      </c>
    </row>
    <row r="289" spans="2:20" ht="11.25" customHeight="1" x14ac:dyDescent="0.35">
      <c r="B289" s="244" t="s">
        <v>5063</v>
      </c>
      <c r="C289" s="245">
        <v>123056</v>
      </c>
      <c r="D289" s="279">
        <v>2475603.5550000002</v>
      </c>
      <c r="E289" s="279">
        <v>-685341.40500000003</v>
      </c>
      <c r="F289" s="279">
        <v>-1550226.5690000001</v>
      </c>
      <c r="G289" s="279">
        <v>79780.618000000002</v>
      </c>
      <c r="H289" s="279">
        <v>2219741.5070000002</v>
      </c>
    </row>
    <row r="290" spans="2:20" ht="11.25" customHeight="1" x14ac:dyDescent="0.35">
      <c r="B290" s="244" t="s">
        <v>5062</v>
      </c>
      <c r="C290" s="245">
        <v>123057</v>
      </c>
      <c r="D290" s="279">
        <v>-41857523.262000002</v>
      </c>
      <c r="E290" s="279">
        <v>1084607.3434028002</v>
      </c>
      <c r="F290" s="279">
        <v>7725011.1099779997</v>
      </c>
      <c r="G290" s="279">
        <v>-2479966.1631519999</v>
      </c>
      <c r="H290" s="279">
        <v>-3454597.5383310001</v>
      </c>
    </row>
    <row r="291" spans="2:20" ht="11.25" customHeight="1" x14ac:dyDescent="0.35">
      <c r="B291" s="244" t="s">
        <v>5061</v>
      </c>
      <c r="C291" s="245">
        <v>123058</v>
      </c>
      <c r="D291" s="279">
        <v>-21958174.743312001</v>
      </c>
      <c r="E291" s="279">
        <v>-22979050.2720901</v>
      </c>
      <c r="F291" s="279">
        <v>-18594997.875500001</v>
      </c>
      <c r="G291" s="279">
        <v>-23855884.013500001</v>
      </c>
      <c r="H291" s="279">
        <v>-27465336.322999999</v>
      </c>
    </row>
    <row r="292" spans="2:20" ht="11.25" customHeight="1" x14ac:dyDescent="0.35">
      <c r="B292" s="244" t="s">
        <v>5060</v>
      </c>
      <c r="C292" s="245">
        <v>123059</v>
      </c>
      <c r="D292" s="279">
        <v>43040087.649999999</v>
      </c>
      <c r="E292" s="279">
        <v>-5578832.0039999997</v>
      </c>
      <c r="F292" s="279">
        <v>-13489613.106000001</v>
      </c>
      <c r="G292" s="279">
        <v>-6824387.5789999999</v>
      </c>
      <c r="H292" s="279">
        <v>-4414509.46</v>
      </c>
    </row>
    <row r="293" spans="2:20" ht="11.25" customHeight="1" thickBot="1" x14ac:dyDescent="0.4">
      <c r="B293" s="249" t="s">
        <v>5059</v>
      </c>
      <c r="C293" s="250">
        <v>123060</v>
      </c>
      <c r="D293" s="280">
        <v>306430238.04987097</v>
      </c>
      <c r="E293" s="280">
        <v>310372996.99645603</v>
      </c>
      <c r="F293" s="280">
        <v>326647273.29112798</v>
      </c>
      <c r="G293" s="280">
        <v>331982055.72465903</v>
      </c>
      <c r="H293" s="280">
        <v>353968596.65167499</v>
      </c>
    </row>
    <row r="294" spans="2:20" ht="11.25" customHeight="1" x14ac:dyDescent="0.35">
      <c r="B294" s="237"/>
      <c r="C294" s="242"/>
    </row>
    <row r="300" spans="2:20" ht="11.25" customHeight="1" x14ac:dyDescent="0.35">
      <c r="O300" s="381" t="str">
        <f ca="1">[1]!snltable(287,$T$300,$P$302:$P$1028,$Q$302:$Q$1028,,"Options:Curr=USD, Mag=Thousands, ConvMethod=SNLrecommended")</f>
        <v>SNLTable</v>
      </c>
      <c r="P300" s="382"/>
      <c r="Q300" s="382"/>
      <c r="R300" s="382"/>
      <c r="S300" s="383"/>
      <c r="T300" s="376" t="str">
        <f ca="1">Entity_Code</f>
        <v>I36</v>
      </c>
    </row>
    <row r="301" spans="2:20" ht="11.25" customHeight="1" x14ac:dyDescent="0.35">
      <c r="O301" s="372"/>
      <c r="P301" s="373"/>
      <c r="Q301" s="373"/>
      <c r="R301" s="373"/>
      <c r="S301" s="373"/>
      <c r="T301" s="374"/>
    </row>
    <row r="302" spans="2:20" ht="11.25" customHeight="1" x14ac:dyDescent="0.35">
      <c r="O302" s="384" t="s">
        <v>5458</v>
      </c>
      <c r="P302" s="385">
        <v>324661</v>
      </c>
      <c r="Q302" s="385" t="str">
        <f t="shared" ref="Q302:Q312" si="2">Period</f>
        <v>2014Y</v>
      </c>
      <c r="R302" s="386" t="str">
        <f>[1]!SNLLabel(287,324661,,"&lt;&gt;360","Options:Curr=Reported currency,Mag=MIstandard,ConvMethod=MIrecommended")</f>
        <v>AR: Analysis of Operations All Lines</v>
      </c>
      <c r="S302" s="365"/>
      <c r="T302" s="387" t="s">
        <v>29</v>
      </c>
    </row>
    <row r="303" spans="2:20" ht="11.25" customHeight="1" x14ac:dyDescent="0.35">
      <c r="O303" s="388" t="s">
        <v>5458</v>
      </c>
      <c r="P303" s="389">
        <v>324661</v>
      </c>
      <c r="Q303" s="389" t="str">
        <f t="shared" si="2"/>
        <v>2014Y</v>
      </c>
      <c r="R303" s="390" t="str">
        <f>[1]!SNLLabel(287,324661,,"&lt;&gt;361","Options:Curr=Reported currency,Mag=MIstandard,ConvMethod=MIrecommended")</f>
        <v>AR: Individual Life</v>
      </c>
      <c r="S303" s="366"/>
      <c r="T303" s="391" t="s">
        <v>29</v>
      </c>
    </row>
    <row r="304" spans="2:20" ht="11.25" customHeight="1" x14ac:dyDescent="0.35">
      <c r="O304" s="388" t="s">
        <v>5458</v>
      </c>
      <c r="P304" s="389">
        <v>324661</v>
      </c>
      <c r="Q304" s="389" t="str">
        <f t="shared" si="2"/>
        <v>2014Y</v>
      </c>
      <c r="R304" s="390" t="str">
        <f>[1]!SNLLabel(287,324661,,"&lt;&gt;362","Options:Curr=Reported currency,Mag=MIstandard,ConvMethod=MIrecommended")</f>
        <v>AR: Group Life</v>
      </c>
      <c r="S304" s="366"/>
      <c r="T304" s="391" t="s">
        <v>29</v>
      </c>
    </row>
    <row r="305" spans="15:20" ht="11.25" customHeight="1" x14ac:dyDescent="0.35">
      <c r="O305" s="388" t="s">
        <v>5458</v>
      </c>
      <c r="P305" s="389">
        <v>324661</v>
      </c>
      <c r="Q305" s="389" t="str">
        <f t="shared" si="2"/>
        <v>2014Y</v>
      </c>
      <c r="R305" s="390" t="str">
        <f>[1]!SNLLabel(287,324661,,"&lt;&gt;363","Options:Curr=Reported currency,Mag=MIstandard,ConvMethod=MIrecommended")</f>
        <v>AR: Individual Annuities</v>
      </c>
      <c r="S305" s="366"/>
      <c r="T305" s="391" t="s">
        <v>29</v>
      </c>
    </row>
    <row r="306" spans="15:20" ht="11.25" customHeight="1" x14ac:dyDescent="0.35">
      <c r="O306" s="388" t="s">
        <v>5458</v>
      </c>
      <c r="P306" s="389">
        <v>324661</v>
      </c>
      <c r="Q306" s="389" t="str">
        <f t="shared" si="2"/>
        <v>2014Y</v>
      </c>
      <c r="R306" s="390" t="str">
        <f>[1]!SNLLabel(287,324661,,"&lt;&gt;364","Options:Curr=Reported currency,Mag=MIstandard,ConvMethod=MIrecommended")</f>
        <v>AR: Group Annuities</v>
      </c>
      <c r="S306" s="366"/>
      <c r="T306" s="391" t="s">
        <v>29</v>
      </c>
    </row>
    <row r="307" spans="15:20" ht="11.25" customHeight="1" x14ac:dyDescent="0.35">
      <c r="O307" s="388" t="s">
        <v>5458</v>
      </c>
      <c r="P307" s="389">
        <v>324661</v>
      </c>
      <c r="Q307" s="389" t="str">
        <f t="shared" si="2"/>
        <v>2014Y</v>
      </c>
      <c r="R307" s="390" t="str">
        <f>[1]!SNLLabel(287,324661,,"&lt;&gt;365","Options:Curr=Reported currency,Mag=MIstandard,ConvMethod=MIrecommended")</f>
        <v>AR: Accident and Health</v>
      </c>
      <c r="S307" s="366"/>
      <c r="T307" s="391" t="s">
        <v>29</v>
      </c>
    </row>
    <row r="308" spans="15:20" ht="11.25" customHeight="1" x14ac:dyDescent="0.35">
      <c r="O308" s="388" t="s">
        <v>5458</v>
      </c>
      <c r="P308" s="389">
        <v>324661</v>
      </c>
      <c r="Q308" s="389" t="str">
        <f t="shared" si="2"/>
        <v>2014Y</v>
      </c>
      <c r="R308" s="390" t="str">
        <f>[1]!SNLLabel(287,324661,,"&lt;&gt;366","Options:Curr=Reported currency,Mag=MIstandard,ConvMethod=MIrecommended")</f>
        <v>AR: Fraternal</v>
      </c>
      <c r="S308" s="366"/>
      <c r="T308" s="391" t="s">
        <v>29</v>
      </c>
    </row>
    <row r="309" spans="15:20" ht="11.25" customHeight="1" x14ac:dyDescent="0.35">
      <c r="O309" s="388" t="s">
        <v>5458</v>
      </c>
      <c r="P309" s="389">
        <v>324661</v>
      </c>
      <c r="Q309" s="389" t="str">
        <f t="shared" si="2"/>
        <v>2014Y</v>
      </c>
      <c r="R309" s="390" t="str">
        <f>[1]!SNLLabel(287,324661,,"&lt;&gt;367","Options:Curr=Reported currency,Mag=MIstandard,ConvMethod=MIrecommended")</f>
        <v>AR: Other Lines of Business</v>
      </c>
      <c r="S309" s="366"/>
      <c r="T309" s="391" t="s">
        <v>29</v>
      </c>
    </row>
    <row r="310" spans="15:20" ht="11.25" customHeight="1" x14ac:dyDescent="0.35">
      <c r="O310" s="388" t="s">
        <v>5458</v>
      </c>
      <c r="P310" s="389">
        <v>324661</v>
      </c>
      <c r="Q310" s="389" t="str">
        <f t="shared" si="2"/>
        <v>2014Y</v>
      </c>
      <c r="R310" s="390" t="str">
        <f>[1]!SNLLabel(287,324661,,"&lt;&gt;368","Options:Curr=Reported currency,Mag=MIstandard,ConvMethod=MIrecommended")</f>
        <v>AR: YRT Mortality Risk Only</v>
      </c>
      <c r="S310" s="366"/>
      <c r="T310" s="391" t="s">
        <v>29</v>
      </c>
    </row>
    <row r="311" spans="15:20" ht="11.25" customHeight="1" x14ac:dyDescent="0.35">
      <c r="O311" s="388" t="s">
        <v>5458</v>
      </c>
      <c r="P311" s="389">
        <v>324661</v>
      </c>
      <c r="Q311" s="389" t="str">
        <f t="shared" si="2"/>
        <v>2014Y</v>
      </c>
      <c r="R311" s="390" t="str">
        <f>[1]!SNLLabel(287,324661,,"&lt;&gt;369","Options:Curr=Reported currency,Mag=MIstandard,ConvMethod=MIrecommended")</f>
        <v>AR: Individual and Group Life</v>
      </c>
      <c r="S311" s="366"/>
      <c r="T311" s="391" t="s">
        <v>29</v>
      </c>
    </row>
    <row r="312" spans="15:20" ht="11.25" customHeight="1" x14ac:dyDescent="0.35">
      <c r="O312" s="367" t="s">
        <v>5458</v>
      </c>
      <c r="P312" s="368">
        <v>324661</v>
      </c>
      <c r="Q312" s="368" t="str">
        <f t="shared" si="2"/>
        <v>2014Y</v>
      </c>
      <c r="R312" s="369" t="str">
        <f>[1]!SNLLabel(287,324661,,"&lt;&gt;370","Options:Curr=Reported currency,Mag=MIstandard,ConvMethod=MIrecommended")</f>
        <v>AR: Individual and Group Annuities</v>
      </c>
      <c r="S312" s="370"/>
      <c r="T312" s="371" t="s">
        <v>29</v>
      </c>
    </row>
    <row r="313" spans="15:20" ht="11.25" customHeight="1" x14ac:dyDescent="0.35">
      <c r="O313" s="384" t="s">
        <v>5458</v>
      </c>
      <c r="P313" s="385">
        <v>324661</v>
      </c>
      <c r="Q313" s="385" t="str">
        <f t="shared" ref="Q313:Q323" si="3">LEFT(Period,4)-1&amp;"Y"</f>
        <v>2013Y</v>
      </c>
      <c r="R313" s="386" t="str">
        <f>[1]!SNLLabel(287,324661,,"&lt;&gt;360","Options:Curr=Reported currency,Mag=MIstandard,ConvMethod=MIrecommended")</f>
        <v>AR: Analysis of Operations All Lines</v>
      </c>
      <c r="S313" s="365"/>
      <c r="T313" s="387" t="s">
        <v>29</v>
      </c>
    </row>
    <row r="314" spans="15:20" ht="11.25" customHeight="1" x14ac:dyDescent="0.35">
      <c r="O314" s="388" t="s">
        <v>5458</v>
      </c>
      <c r="P314" s="389">
        <v>324661</v>
      </c>
      <c r="Q314" s="389" t="str">
        <f t="shared" si="3"/>
        <v>2013Y</v>
      </c>
      <c r="R314" s="390" t="str">
        <f>[1]!SNLLabel(287,324661,,"&lt;&gt;361","Options:Curr=Reported currency,Mag=MIstandard,ConvMethod=MIrecommended")</f>
        <v>AR: Individual Life</v>
      </c>
      <c r="S314" s="366"/>
      <c r="T314" s="391" t="s">
        <v>29</v>
      </c>
    </row>
    <row r="315" spans="15:20" ht="11.25" customHeight="1" x14ac:dyDescent="0.35">
      <c r="O315" s="388" t="s">
        <v>5458</v>
      </c>
      <c r="P315" s="389">
        <v>324661</v>
      </c>
      <c r="Q315" s="389" t="str">
        <f t="shared" si="3"/>
        <v>2013Y</v>
      </c>
      <c r="R315" s="390" t="str">
        <f>[1]!SNLLabel(287,324661,,"&lt;&gt;362","Options:Curr=Reported currency,Mag=MIstandard,ConvMethod=MIrecommended")</f>
        <v>AR: Group Life</v>
      </c>
      <c r="S315" s="366"/>
      <c r="T315" s="391" t="s">
        <v>29</v>
      </c>
    </row>
    <row r="316" spans="15:20" ht="11.25" customHeight="1" x14ac:dyDescent="0.35">
      <c r="O316" s="388" t="s">
        <v>5458</v>
      </c>
      <c r="P316" s="389">
        <v>324661</v>
      </c>
      <c r="Q316" s="389" t="str">
        <f t="shared" si="3"/>
        <v>2013Y</v>
      </c>
      <c r="R316" s="390" t="str">
        <f>[1]!SNLLabel(287,324661,,"&lt;&gt;363","Options:Curr=Reported currency,Mag=MIstandard,ConvMethod=MIrecommended")</f>
        <v>AR: Individual Annuities</v>
      </c>
      <c r="S316" s="366"/>
      <c r="T316" s="391" t="s">
        <v>29</v>
      </c>
    </row>
    <row r="317" spans="15:20" ht="11.25" customHeight="1" x14ac:dyDescent="0.35">
      <c r="O317" s="388" t="s">
        <v>5458</v>
      </c>
      <c r="P317" s="389">
        <v>324661</v>
      </c>
      <c r="Q317" s="389" t="str">
        <f t="shared" si="3"/>
        <v>2013Y</v>
      </c>
      <c r="R317" s="390" t="str">
        <f>[1]!SNLLabel(287,324661,,"&lt;&gt;364","Options:Curr=Reported currency,Mag=MIstandard,ConvMethod=MIrecommended")</f>
        <v>AR: Group Annuities</v>
      </c>
      <c r="S317" s="366"/>
      <c r="T317" s="391" t="s">
        <v>29</v>
      </c>
    </row>
    <row r="318" spans="15:20" ht="11.25" customHeight="1" x14ac:dyDescent="0.35">
      <c r="O318" s="388" t="s">
        <v>5458</v>
      </c>
      <c r="P318" s="389">
        <v>324661</v>
      </c>
      <c r="Q318" s="389" t="str">
        <f t="shared" si="3"/>
        <v>2013Y</v>
      </c>
      <c r="R318" s="390" t="str">
        <f>[1]!SNLLabel(287,324661,,"&lt;&gt;365","Options:Curr=Reported currency,Mag=MIstandard,ConvMethod=MIrecommended")</f>
        <v>AR: Accident and Health</v>
      </c>
      <c r="S318" s="366"/>
      <c r="T318" s="391" t="s">
        <v>29</v>
      </c>
    </row>
    <row r="319" spans="15:20" ht="11.25" customHeight="1" x14ac:dyDescent="0.35">
      <c r="O319" s="388" t="s">
        <v>5458</v>
      </c>
      <c r="P319" s="389">
        <v>324661</v>
      </c>
      <c r="Q319" s="389" t="str">
        <f t="shared" si="3"/>
        <v>2013Y</v>
      </c>
      <c r="R319" s="390" t="str">
        <f>[1]!SNLLabel(287,324661,,"&lt;&gt;366","Options:Curr=Reported currency,Mag=MIstandard,ConvMethod=MIrecommended")</f>
        <v>AR: Fraternal</v>
      </c>
      <c r="S319" s="366"/>
      <c r="T319" s="391" t="s">
        <v>29</v>
      </c>
    </row>
    <row r="320" spans="15:20" ht="11.25" customHeight="1" x14ac:dyDescent="0.35">
      <c r="O320" s="388" t="s">
        <v>5458</v>
      </c>
      <c r="P320" s="389">
        <v>324661</v>
      </c>
      <c r="Q320" s="389" t="str">
        <f t="shared" si="3"/>
        <v>2013Y</v>
      </c>
      <c r="R320" s="390" t="str">
        <f>[1]!SNLLabel(287,324661,,"&lt;&gt;367","Options:Curr=Reported currency,Mag=MIstandard,ConvMethod=MIrecommended")</f>
        <v>AR: Other Lines of Business</v>
      </c>
      <c r="S320" s="366"/>
      <c r="T320" s="391" t="s">
        <v>29</v>
      </c>
    </row>
    <row r="321" spans="15:20" ht="11.25" customHeight="1" x14ac:dyDescent="0.35">
      <c r="O321" s="388" t="s">
        <v>5458</v>
      </c>
      <c r="P321" s="389">
        <v>324661</v>
      </c>
      <c r="Q321" s="389" t="str">
        <f t="shared" si="3"/>
        <v>2013Y</v>
      </c>
      <c r="R321" s="390" t="str">
        <f>[1]!SNLLabel(287,324661,,"&lt;&gt;368","Options:Curr=Reported currency,Mag=MIstandard,ConvMethod=MIrecommended")</f>
        <v>AR: YRT Mortality Risk Only</v>
      </c>
      <c r="S321" s="366"/>
      <c r="T321" s="391" t="s">
        <v>29</v>
      </c>
    </row>
    <row r="322" spans="15:20" ht="11.25" customHeight="1" x14ac:dyDescent="0.35">
      <c r="O322" s="388" t="s">
        <v>5458</v>
      </c>
      <c r="P322" s="389">
        <v>324661</v>
      </c>
      <c r="Q322" s="389" t="str">
        <f t="shared" si="3"/>
        <v>2013Y</v>
      </c>
      <c r="R322" s="390" t="str">
        <f>[1]!SNLLabel(287,324661,,"&lt;&gt;369","Options:Curr=Reported currency,Mag=MIstandard,ConvMethod=MIrecommended")</f>
        <v>AR: Individual and Group Life</v>
      </c>
      <c r="S322" s="366"/>
      <c r="T322" s="391" t="s">
        <v>29</v>
      </c>
    </row>
    <row r="323" spans="15:20" ht="11.25" customHeight="1" x14ac:dyDescent="0.35">
      <c r="O323" s="367" t="s">
        <v>5458</v>
      </c>
      <c r="P323" s="368">
        <v>324661</v>
      </c>
      <c r="Q323" s="368" t="str">
        <f t="shared" si="3"/>
        <v>2013Y</v>
      </c>
      <c r="R323" s="369" t="str">
        <f>[1]!SNLLabel(287,324661,,"&lt;&gt;370","Options:Curr=Reported currency,Mag=MIstandard,ConvMethod=MIrecommended")</f>
        <v>AR: Individual and Group Annuities</v>
      </c>
      <c r="S323" s="370"/>
      <c r="T323" s="371" t="s">
        <v>29</v>
      </c>
    </row>
    <row r="324" spans="15:20" ht="11.25" customHeight="1" x14ac:dyDescent="0.35">
      <c r="O324" s="384" t="s">
        <v>5458</v>
      </c>
      <c r="P324" s="385">
        <v>324661</v>
      </c>
      <c r="Q324" s="385" t="str">
        <f t="shared" ref="Q324:Q334" si="4">LEFT(Period,4)-2&amp;"Y"</f>
        <v>2012Y</v>
      </c>
      <c r="R324" s="386" t="str">
        <f>[1]!SNLLabel(287,324661,,"&lt;&gt;360","Options:Curr=Reported currency,Mag=MIstandard,ConvMethod=MIrecommended")</f>
        <v>AR: Analysis of Operations All Lines</v>
      </c>
      <c r="S324" s="365"/>
      <c r="T324" s="387" t="s">
        <v>29</v>
      </c>
    </row>
    <row r="325" spans="15:20" ht="11.25" customHeight="1" x14ac:dyDescent="0.35">
      <c r="O325" s="388" t="s">
        <v>5458</v>
      </c>
      <c r="P325" s="389">
        <v>324661</v>
      </c>
      <c r="Q325" s="389" t="str">
        <f t="shared" si="4"/>
        <v>2012Y</v>
      </c>
      <c r="R325" s="390" t="str">
        <f>[1]!SNLLabel(287,324661,,"&lt;&gt;361","Options:Curr=Reported currency,Mag=MIstandard,ConvMethod=MIrecommended")</f>
        <v>AR: Individual Life</v>
      </c>
      <c r="S325" s="366"/>
      <c r="T325" s="391" t="s">
        <v>29</v>
      </c>
    </row>
    <row r="326" spans="15:20" ht="11.25" customHeight="1" x14ac:dyDescent="0.35">
      <c r="O326" s="388" t="s">
        <v>5458</v>
      </c>
      <c r="P326" s="389">
        <v>324661</v>
      </c>
      <c r="Q326" s="389" t="str">
        <f t="shared" si="4"/>
        <v>2012Y</v>
      </c>
      <c r="R326" s="390" t="str">
        <f>[1]!SNLLabel(287,324661,,"&lt;&gt;362","Options:Curr=Reported currency,Mag=MIstandard,ConvMethod=MIrecommended")</f>
        <v>AR: Group Life</v>
      </c>
      <c r="S326" s="366"/>
      <c r="T326" s="391" t="s">
        <v>29</v>
      </c>
    </row>
    <row r="327" spans="15:20" ht="11.25" customHeight="1" x14ac:dyDescent="0.35">
      <c r="O327" s="388" t="s">
        <v>5458</v>
      </c>
      <c r="P327" s="389">
        <v>324661</v>
      </c>
      <c r="Q327" s="389" t="str">
        <f t="shared" si="4"/>
        <v>2012Y</v>
      </c>
      <c r="R327" s="390" t="str">
        <f>[1]!SNLLabel(287,324661,,"&lt;&gt;363","Options:Curr=Reported currency,Mag=MIstandard,ConvMethod=MIrecommended")</f>
        <v>AR: Individual Annuities</v>
      </c>
      <c r="S327" s="366"/>
      <c r="T327" s="391" t="s">
        <v>29</v>
      </c>
    </row>
    <row r="328" spans="15:20" ht="11.25" customHeight="1" x14ac:dyDescent="0.35">
      <c r="O328" s="388" t="s">
        <v>5458</v>
      </c>
      <c r="P328" s="389">
        <v>324661</v>
      </c>
      <c r="Q328" s="389" t="str">
        <f t="shared" si="4"/>
        <v>2012Y</v>
      </c>
      <c r="R328" s="390" t="str">
        <f>[1]!SNLLabel(287,324661,,"&lt;&gt;364","Options:Curr=Reported currency,Mag=MIstandard,ConvMethod=MIrecommended")</f>
        <v>AR: Group Annuities</v>
      </c>
      <c r="S328" s="366"/>
      <c r="T328" s="391" t="s">
        <v>29</v>
      </c>
    </row>
    <row r="329" spans="15:20" ht="11.25" customHeight="1" x14ac:dyDescent="0.35">
      <c r="O329" s="388" t="s">
        <v>5458</v>
      </c>
      <c r="P329" s="389">
        <v>324661</v>
      </c>
      <c r="Q329" s="389" t="str">
        <f t="shared" si="4"/>
        <v>2012Y</v>
      </c>
      <c r="R329" s="390" t="str">
        <f>[1]!SNLLabel(287,324661,,"&lt;&gt;365","Options:Curr=Reported currency,Mag=MIstandard,ConvMethod=MIrecommended")</f>
        <v>AR: Accident and Health</v>
      </c>
      <c r="S329" s="366"/>
      <c r="T329" s="391" t="s">
        <v>29</v>
      </c>
    </row>
    <row r="330" spans="15:20" ht="11.25" customHeight="1" x14ac:dyDescent="0.35">
      <c r="O330" s="388" t="s">
        <v>5458</v>
      </c>
      <c r="P330" s="389">
        <v>324661</v>
      </c>
      <c r="Q330" s="389" t="str">
        <f t="shared" si="4"/>
        <v>2012Y</v>
      </c>
      <c r="R330" s="390" t="str">
        <f>[1]!SNLLabel(287,324661,,"&lt;&gt;366","Options:Curr=Reported currency,Mag=MIstandard,ConvMethod=MIrecommended")</f>
        <v>AR: Fraternal</v>
      </c>
      <c r="S330" s="366"/>
      <c r="T330" s="391" t="s">
        <v>29</v>
      </c>
    </row>
    <row r="331" spans="15:20" ht="11.25" customHeight="1" x14ac:dyDescent="0.35">
      <c r="O331" s="388" t="s">
        <v>5458</v>
      </c>
      <c r="P331" s="389">
        <v>324661</v>
      </c>
      <c r="Q331" s="389" t="str">
        <f t="shared" si="4"/>
        <v>2012Y</v>
      </c>
      <c r="R331" s="390" t="str">
        <f>[1]!SNLLabel(287,324661,,"&lt;&gt;367","Options:Curr=Reported currency,Mag=MIstandard,ConvMethod=MIrecommended")</f>
        <v>AR: Other Lines of Business</v>
      </c>
      <c r="S331" s="366"/>
      <c r="T331" s="391" t="s">
        <v>29</v>
      </c>
    </row>
    <row r="332" spans="15:20" ht="11.25" customHeight="1" x14ac:dyDescent="0.35">
      <c r="O332" s="388" t="s">
        <v>5458</v>
      </c>
      <c r="P332" s="389">
        <v>324661</v>
      </c>
      <c r="Q332" s="389" t="str">
        <f t="shared" si="4"/>
        <v>2012Y</v>
      </c>
      <c r="R332" s="390" t="str">
        <f>[1]!SNLLabel(287,324661,,"&lt;&gt;368","Options:Curr=Reported currency,Mag=MIstandard,ConvMethod=MIrecommended")</f>
        <v>AR: YRT Mortality Risk Only</v>
      </c>
      <c r="S332" s="366"/>
      <c r="T332" s="391" t="s">
        <v>29</v>
      </c>
    </row>
    <row r="333" spans="15:20" ht="11.25" customHeight="1" x14ac:dyDescent="0.35">
      <c r="O333" s="388" t="s">
        <v>5458</v>
      </c>
      <c r="P333" s="389">
        <v>324661</v>
      </c>
      <c r="Q333" s="389" t="str">
        <f t="shared" si="4"/>
        <v>2012Y</v>
      </c>
      <c r="R333" s="390" t="str">
        <f>[1]!SNLLabel(287,324661,,"&lt;&gt;369","Options:Curr=Reported currency,Mag=MIstandard,ConvMethod=MIrecommended")</f>
        <v>AR: Individual and Group Life</v>
      </c>
      <c r="S333" s="366"/>
      <c r="T333" s="391" t="s">
        <v>29</v>
      </c>
    </row>
    <row r="334" spans="15:20" ht="11.25" customHeight="1" x14ac:dyDescent="0.35">
      <c r="O334" s="367" t="s">
        <v>5458</v>
      </c>
      <c r="P334" s="368">
        <v>324661</v>
      </c>
      <c r="Q334" s="368" t="str">
        <f t="shared" si="4"/>
        <v>2012Y</v>
      </c>
      <c r="R334" s="369" t="str">
        <f>[1]!SNLLabel(287,324661,,"&lt;&gt;370","Options:Curr=Reported currency,Mag=MIstandard,ConvMethod=MIrecommended")</f>
        <v>AR: Individual and Group Annuities</v>
      </c>
      <c r="S334" s="370"/>
      <c r="T334" s="371" t="s">
        <v>29</v>
      </c>
    </row>
    <row r="335" spans="15:20" ht="11.25" customHeight="1" x14ac:dyDescent="0.35">
      <c r="O335" s="384" t="s">
        <v>5458</v>
      </c>
      <c r="P335" s="385">
        <v>324661</v>
      </c>
      <c r="Q335" s="385" t="str">
        <f t="shared" ref="Q335:Q345" si="5">LEFT(Period,4)-3&amp;"Y"</f>
        <v>2011Y</v>
      </c>
      <c r="R335" s="386" t="str">
        <f>[1]!SNLLabel(287,324661,,"&lt;&gt;360","Options:Curr=Reported currency,Mag=MIstandard,ConvMethod=MIrecommended")</f>
        <v>AR: Analysis of Operations All Lines</v>
      </c>
      <c r="S335" s="365"/>
      <c r="T335" s="387" t="s">
        <v>29</v>
      </c>
    </row>
    <row r="336" spans="15:20" ht="11.25" customHeight="1" x14ac:dyDescent="0.35">
      <c r="O336" s="388" t="s">
        <v>5458</v>
      </c>
      <c r="P336" s="389">
        <v>324661</v>
      </c>
      <c r="Q336" s="389" t="str">
        <f t="shared" si="5"/>
        <v>2011Y</v>
      </c>
      <c r="R336" s="390" t="str">
        <f>[1]!SNLLabel(287,324661,,"&lt;&gt;361","Options:Curr=Reported currency,Mag=MIstandard,ConvMethod=MIrecommended")</f>
        <v>AR: Individual Life</v>
      </c>
      <c r="S336" s="366"/>
      <c r="T336" s="391" t="s">
        <v>29</v>
      </c>
    </row>
    <row r="337" spans="15:20" ht="11.25" customHeight="1" x14ac:dyDescent="0.35">
      <c r="O337" s="388" t="s">
        <v>5458</v>
      </c>
      <c r="P337" s="389">
        <v>324661</v>
      </c>
      <c r="Q337" s="389" t="str">
        <f t="shared" si="5"/>
        <v>2011Y</v>
      </c>
      <c r="R337" s="390" t="str">
        <f>[1]!SNLLabel(287,324661,,"&lt;&gt;362","Options:Curr=Reported currency,Mag=MIstandard,ConvMethod=MIrecommended")</f>
        <v>AR: Group Life</v>
      </c>
      <c r="S337" s="366"/>
      <c r="T337" s="391" t="s">
        <v>29</v>
      </c>
    </row>
    <row r="338" spans="15:20" ht="11.25" customHeight="1" x14ac:dyDescent="0.35">
      <c r="O338" s="388" t="s">
        <v>5458</v>
      </c>
      <c r="P338" s="389">
        <v>324661</v>
      </c>
      <c r="Q338" s="389" t="str">
        <f t="shared" si="5"/>
        <v>2011Y</v>
      </c>
      <c r="R338" s="390" t="str">
        <f>[1]!SNLLabel(287,324661,,"&lt;&gt;363","Options:Curr=Reported currency,Mag=MIstandard,ConvMethod=MIrecommended")</f>
        <v>AR: Individual Annuities</v>
      </c>
      <c r="S338" s="366"/>
      <c r="T338" s="391" t="s">
        <v>29</v>
      </c>
    </row>
    <row r="339" spans="15:20" ht="11.25" customHeight="1" x14ac:dyDescent="0.35">
      <c r="O339" s="388" t="s">
        <v>5458</v>
      </c>
      <c r="P339" s="389">
        <v>324661</v>
      </c>
      <c r="Q339" s="389" t="str">
        <f t="shared" si="5"/>
        <v>2011Y</v>
      </c>
      <c r="R339" s="390" t="str">
        <f>[1]!SNLLabel(287,324661,,"&lt;&gt;364","Options:Curr=Reported currency,Mag=MIstandard,ConvMethod=MIrecommended")</f>
        <v>AR: Group Annuities</v>
      </c>
      <c r="S339" s="366"/>
      <c r="T339" s="391" t="s">
        <v>29</v>
      </c>
    </row>
    <row r="340" spans="15:20" ht="11.25" customHeight="1" x14ac:dyDescent="0.35">
      <c r="O340" s="388" t="s">
        <v>5458</v>
      </c>
      <c r="P340" s="389">
        <v>324661</v>
      </c>
      <c r="Q340" s="389" t="str">
        <f t="shared" si="5"/>
        <v>2011Y</v>
      </c>
      <c r="R340" s="390" t="str">
        <f>[1]!SNLLabel(287,324661,,"&lt;&gt;365","Options:Curr=Reported currency,Mag=MIstandard,ConvMethod=MIrecommended")</f>
        <v>AR: Accident and Health</v>
      </c>
      <c r="S340" s="366"/>
      <c r="T340" s="391" t="s">
        <v>29</v>
      </c>
    </row>
    <row r="341" spans="15:20" ht="11.25" customHeight="1" x14ac:dyDescent="0.35">
      <c r="O341" s="388" t="s">
        <v>5458</v>
      </c>
      <c r="P341" s="389">
        <v>324661</v>
      </c>
      <c r="Q341" s="389" t="str">
        <f t="shared" si="5"/>
        <v>2011Y</v>
      </c>
      <c r="R341" s="390" t="str">
        <f>[1]!SNLLabel(287,324661,,"&lt;&gt;366","Options:Curr=Reported currency,Mag=MIstandard,ConvMethod=MIrecommended")</f>
        <v>AR: Fraternal</v>
      </c>
      <c r="S341" s="366"/>
      <c r="T341" s="391" t="s">
        <v>29</v>
      </c>
    </row>
    <row r="342" spans="15:20" ht="11.25" customHeight="1" x14ac:dyDescent="0.35">
      <c r="O342" s="388" t="s">
        <v>5458</v>
      </c>
      <c r="P342" s="389">
        <v>324661</v>
      </c>
      <c r="Q342" s="389" t="str">
        <f t="shared" si="5"/>
        <v>2011Y</v>
      </c>
      <c r="R342" s="390" t="str">
        <f>[1]!SNLLabel(287,324661,,"&lt;&gt;367","Options:Curr=Reported currency,Mag=MIstandard,ConvMethod=MIrecommended")</f>
        <v>AR: Other Lines of Business</v>
      </c>
      <c r="S342" s="366"/>
      <c r="T342" s="391" t="s">
        <v>29</v>
      </c>
    </row>
    <row r="343" spans="15:20" ht="11.25" customHeight="1" x14ac:dyDescent="0.35">
      <c r="O343" s="388" t="s">
        <v>5458</v>
      </c>
      <c r="P343" s="389">
        <v>324661</v>
      </c>
      <c r="Q343" s="389" t="str">
        <f t="shared" si="5"/>
        <v>2011Y</v>
      </c>
      <c r="R343" s="390" t="str">
        <f>[1]!SNLLabel(287,324661,,"&lt;&gt;368","Options:Curr=Reported currency,Mag=MIstandard,ConvMethod=MIrecommended")</f>
        <v>AR: YRT Mortality Risk Only</v>
      </c>
      <c r="S343" s="366"/>
      <c r="T343" s="391" t="s">
        <v>29</v>
      </c>
    </row>
    <row r="344" spans="15:20" ht="11.25" customHeight="1" x14ac:dyDescent="0.35">
      <c r="O344" s="388" t="s">
        <v>5458</v>
      </c>
      <c r="P344" s="389">
        <v>324661</v>
      </c>
      <c r="Q344" s="389" t="str">
        <f t="shared" si="5"/>
        <v>2011Y</v>
      </c>
      <c r="R344" s="390" t="str">
        <f>[1]!SNLLabel(287,324661,,"&lt;&gt;369","Options:Curr=Reported currency,Mag=MIstandard,ConvMethod=MIrecommended")</f>
        <v>AR: Individual and Group Life</v>
      </c>
      <c r="S344" s="366"/>
      <c r="T344" s="391" t="s">
        <v>29</v>
      </c>
    </row>
    <row r="345" spans="15:20" ht="11.25" customHeight="1" x14ac:dyDescent="0.35">
      <c r="O345" s="367" t="s">
        <v>5458</v>
      </c>
      <c r="P345" s="368">
        <v>324661</v>
      </c>
      <c r="Q345" s="368" t="str">
        <f t="shared" si="5"/>
        <v>2011Y</v>
      </c>
      <c r="R345" s="369" t="str">
        <f>[1]!SNLLabel(287,324661,,"&lt;&gt;370","Options:Curr=Reported currency,Mag=MIstandard,ConvMethod=MIrecommended")</f>
        <v>AR: Individual and Group Annuities</v>
      </c>
      <c r="S345" s="370"/>
      <c r="T345" s="371" t="s">
        <v>29</v>
      </c>
    </row>
    <row r="346" spans="15:20" ht="11.25" customHeight="1" x14ac:dyDescent="0.35">
      <c r="O346" s="384" t="s">
        <v>5458</v>
      </c>
      <c r="P346" s="385">
        <v>324661</v>
      </c>
      <c r="Q346" s="385" t="str">
        <f t="shared" ref="Q346:Q356" si="6">LEFT(Period,4)-4&amp;"Y"</f>
        <v>2010Y</v>
      </c>
      <c r="R346" s="386" t="str">
        <f>[1]!SNLLabel(287,324661,,"&lt;&gt;360","Options:Curr=Reported currency,Mag=MIstandard,ConvMethod=MIrecommended")</f>
        <v>AR: Analysis of Operations All Lines</v>
      </c>
      <c r="S346" s="365"/>
      <c r="T346" s="387" t="s">
        <v>29</v>
      </c>
    </row>
    <row r="347" spans="15:20" ht="11.25" customHeight="1" x14ac:dyDescent="0.35">
      <c r="O347" s="388" t="s">
        <v>5458</v>
      </c>
      <c r="P347" s="389">
        <v>324661</v>
      </c>
      <c r="Q347" s="389" t="str">
        <f t="shared" si="6"/>
        <v>2010Y</v>
      </c>
      <c r="R347" s="390" t="str">
        <f>[1]!SNLLabel(287,324661,,"&lt;&gt;361","Options:Curr=Reported currency,Mag=MIstandard,ConvMethod=MIrecommended")</f>
        <v>AR: Individual Life</v>
      </c>
      <c r="S347" s="366"/>
      <c r="T347" s="391" t="s">
        <v>29</v>
      </c>
    </row>
    <row r="348" spans="15:20" ht="11.25" customHeight="1" x14ac:dyDescent="0.35">
      <c r="O348" s="388" t="s">
        <v>5458</v>
      </c>
      <c r="P348" s="389">
        <v>324661</v>
      </c>
      <c r="Q348" s="389" t="str">
        <f t="shared" si="6"/>
        <v>2010Y</v>
      </c>
      <c r="R348" s="390" t="str">
        <f>[1]!SNLLabel(287,324661,,"&lt;&gt;362","Options:Curr=Reported currency,Mag=MIstandard,ConvMethod=MIrecommended")</f>
        <v>AR: Group Life</v>
      </c>
      <c r="S348" s="366"/>
      <c r="T348" s="391" t="s">
        <v>29</v>
      </c>
    </row>
    <row r="349" spans="15:20" ht="11.25" customHeight="1" x14ac:dyDescent="0.35">
      <c r="O349" s="388" t="s">
        <v>5458</v>
      </c>
      <c r="P349" s="389">
        <v>324661</v>
      </c>
      <c r="Q349" s="389" t="str">
        <f t="shared" si="6"/>
        <v>2010Y</v>
      </c>
      <c r="R349" s="390" t="str">
        <f>[1]!SNLLabel(287,324661,,"&lt;&gt;363","Options:Curr=Reported currency,Mag=MIstandard,ConvMethod=MIrecommended")</f>
        <v>AR: Individual Annuities</v>
      </c>
      <c r="S349" s="366"/>
      <c r="T349" s="391" t="s">
        <v>29</v>
      </c>
    </row>
    <row r="350" spans="15:20" ht="11.25" customHeight="1" x14ac:dyDescent="0.35">
      <c r="O350" s="388" t="s">
        <v>5458</v>
      </c>
      <c r="P350" s="389">
        <v>324661</v>
      </c>
      <c r="Q350" s="389" t="str">
        <f t="shared" si="6"/>
        <v>2010Y</v>
      </c>
      <c r="R350" s="390" t="str">
        <f>[1]!SNLLabel(287,324661,,"&lt;&gt;364","Options:Curr=Reported currency,Mag=MIstandard,ConvMethod=MIrecommended")</f>
        <v>AR: Group Annuities</v>
      </c>
      <c r="S350" s="366"/>
      <c r="T350" s="391" t="s">
        <v>29</v>
      </c>
    </row>
    <row r="351" spans="15:20" ht="11.25" customHeight="1" x14ac:dyDescent="0.35">
      <c r="O351" s="388" t="s">
        <v>5458</v>
      </c>
      <c r="P351" s="389">
        <v>324661</v>
      </c>
      <c r="Q351" s="389" t="str">
        <f t="shared" si="6"/>
        <v>2010Y</v>
      </c>
      <c r="R351" s="390" t="str">
        <f>[1]!SNLLabel(287,324661,,"&lt;&gt;365","Options:Curr=Reported currency,Mag=MIstandard,ConvMethod=MIrecommended")</f>
        <v>AR: Accident and Health</v>
      </c>
      <c r="S351" s="366"/>
      <c r="T351" s="391" t="s">
        <v>29</v>
      </c>
    </row>
    <row r="352" spans="15:20" ht="11.25" customHeight="1" x14ac:dyDescent="0.35">
      <c r="O352" s="388" t="s">
        <v>5458</v>
      </c>
      <c r="P352" s="389">
        <v>324661</v>
      </c>
      <c r="Q352" s="389" t="str">
        <f t="shared" si="6"/>
        <v>2010Y</v>
      </c>
      <c r="R352" s="390" t="str">
        <f>[1]!SNLLabel(287,324661,,"&lt;&gt;366","Options:Curr=Reported currency,Mag=MIstandard,ConvMethod=MIrecommended")</f>
        <v>AR: Fraternal</v>
      </c>
      <c r="S352" s="366"/>
      <c r="T352" s="391" t="s">
        <v>29</v>
      </c>
    </row>
    <row r="353" spans="15:20" ht="11.25" customHeight="1" x14ac:dyDescent="0.35">
      <c r="O353" s="388" t="s">
        <v>5458</v>
      </c>
      <c r="P353" s="389">
        <v>324661</v>
      </c>
      <c r="Q353" s="389" t="str">
        <f t="shared" si="6"/>
        <v>2010Y</v>
      </c>
      <c r="R353" s="390" t="str">
        <f>[1]!SNLLabel(287,324661,,"&lt;&gt;367","Options:Curr=Reported currency,Mag=MIstandard,ConvMethod=MIrecommended")</f>
        <v>AR: Other Lines of Business</v>
      </c>
      <c r="S353" s="366"/>
      <c r="T353" s="391" t="s">
        <v>29</v>
      </c>
    </row>
    <row r="354" spans="15:20" ht="11.25" customHeight="1" x14ac:dyDescent="0.35">
      <c r="O354" s="388" t="s">
        <v>5458</v>
      </c>
      <c r="P354" s="389">
        <v>324661</v>
      </c>
      <c r="Q354" s="389" t="str">
        <f t="shared" si="6"/>
        <v>2010Y</v>
      </c>
      <c r="R354" s="390" t="str">
        <f>[1]!SNLLabel(287,324661,,"&lt;&gt;368","Options:Curr=Reported currency,Mag=MIstandard,ConvMethod=MIrecommended")</f>
        <v>AR: YRT Mortality Risk Only</v>
      </c>
      <c r="S354" s="366"/>
      <c r="T354" s="391" t="s">
        <v>29</v>
      </c>
    </row>
    <row r="355" spans="15:20" ht="11.25" customHeight="1" x14ac:dyDescent="0.35">
      <c r="O355" s="388" t="s">
        <v>5458</v>
      </c>
      <c r="P355" s="389">
        <v>324661</v>
      </c>
      <c r="Q355" s="389" t="str">
        <f t="shared" si="6"/>
        <v>2010Y</v>
      </c>
      <c r="R355" s="390" t="str">
        <f>[1]!SNLLabel(287,324661,,"&lt;&gt;369","Options:Curr=Reported currency,Mag=MIstandard,ConvMethod=MIrecommended")</f>
        <v>AR: Individual and Group Life</v>
      </c>
      <c r="S355" s="366"/>
      <c r="T355" s="391" t="s">
        <v>29</v>
      </c>
    </row>
    <row r="356" spans="15:20" ht="11.25" customHeight="1" x14ac:dyDescent="0.35">
      <c r="O356" s="367" t="s">
        <v>5458</v>
      </c>
      <c r="P356" s="368">
        <v>324661</v>
      </c>
      <c r="Q356" s="368" t="str">
        <f t="shared" si="6"/>
        <v>2010Y</v>
      </c>
      <c r="R356" s="369" t="str">
        <f>[1]!SNLLabel(287,324661,,"&lt;&gt;370","Options:Curr=Reported currency,Mag=MIstandard,ConvMethod=MIrecommended")</f>
        <v>AR: Individual and Group Annuities</v>
      </c>
      <c r="S356" s="370"/>
      <c r="T356" s="371" t="s">
        <v>29</v>
      </c>
    </row>
    <row r="357" spans="15:20" ht="11.25" customHeight="1" x14ac:dyDescent="0.35">
      <c r="O357" s="377"/>
      <c r="P357" s="378"/>
      <c r="Q357" s="378"/>
      <c r="R357" s="379"/>
      <c r="S357" s="375"/>
      <c r="T357" s="380"/>
    </row>
    <row r="358" spans="15:20" ht="11.25" customHeight="1" x14ac:dyDescent="0.35">
      <c r="O358" s="384" t="s">
        <v>5459</v>
      </c>
      <c r="P358" s="385">
        <v>324662</v>
      </c>
      <c r="Q358" s="385" t="str">
        <f t="shared" ref="Q358:Q368" si="7">Period</f>
        <v>2014Y</v>
      </c>
      <c r="R358" s="386" t="str">
        <f>[1]!SNLLabel(287,324662,,"&lt;&gt;360","Options:Curr=Reported currency,Mag=MIstandard,ConvMethod=MIrecommended")</f>
        <v>AR: Analysis of Operations All Lines</v>
      </c>
      <c r="S358" s="365"/>
      <c r="T358" s="387" t="s">
        <v>29</v>
      </c>
    </row>
    <row r="359" spans="15:20" ht="11.25" customHeight="1" x14ac:dyDescent="0.35">
      <c r="O359" s="388" t="s">
        <v>5459</v>
      </c>
      <c r="P359" s="389">
        <v>324662</v>
      </c>
      <c r="Q359" s="389" t="str">
        <f t="shared" si="7"/>
        <v>2014Y</v>
      </c>
      <c r="R359" s="390" t="str">
        <f>[1]!SNLLabel(287,324662,,"&lt;&gt;361","Options:Curr=Reported currency,Mag=MIstandard,ConvMethod=MIrecommended")</f>
        <v>AR: Individual Life</v>
      </c>
      <c r="S359" s="366"/>
      <c r="T359" s="391" t="s">
        <v>29</v>
      </c>
    </row>
    <row r="360" spans="15:20" ht="11.25" customHeight="1" x14ac:dyDescent="0.35">
      <c r="O360" s="388" t="s">
        <v>5459</v>
      </c>
      <c r="P360" s="389">
        <v>324662</v>
      </c>
      <c r="Q360" s="389" t="str">
        <f t="shared" si="7"/>
        <v>2014Y</v>
      </c>
      <c r="R360" s="390" t="str">
        <f>[1]!SNLLabel(287,324662,,"&lt;&gt;362","Options:Curr=Reported currency,Mag=MIstandard,ConvMethod=MIrecommended")</f>
        <v>AR: Group Life</v>
      </c>
      <c r="S360" s="366"/>
      <c r="T360" s="391" t="s">
        <v>29</v>
      </c>
    </row>
    <row r="361" spans="15:20" ht="11.25" customHeight="1" x14ac:dyDescent="0.35">
      <c r="O361" s="388" t="s">
        <v>5459</v>
      </c>
      <c r="P361" s="389">
        <v>324662</v>
      </c>
      <c r="Q361" s="389" t="str">
        <f t="shared" si="7"/>
        <v>2014Y</v>
      </c>
      <c r="R361" s="390" t="str">
        <f>[1]!SNLLabel(287,324662,,"&lt;&gt;363","Options:Curr=Reported currency,Mag=MIstandard,ConvMethod=MIrecommended")</f>
        <v>AR: Individual Annuities</v>
      </c>
      <c r="S361" s="366"/>
      <c r="T361" s="391" t="s">
        <v>29</v>
      </c>
    </row>
    <row r="362" spans="15:20" ht="11.25" customHeight="1" x14ac:dyDescent="0.35">
      <c r="O362" s="388" t="s">
        <v>5459</v>
      </c>
      <c r="P362" s="389">
        <v>324662</v>
      </c>
      <c r="Q362" s="389" t="str">
        <f t="shared" si="7"/>
        <v>2014Y</v>
      </c>
      <c r="R362" s="390" t="str">
        <f>[1]!SNLLabel(287,324662,,"&lt;&gt;364","Options:Curr=Reported currency,Mag=MIstandard,ConvMethod=MIrecommended")</f>
        <v>AR: Group Annuities</v>
      </c>
      <c r="S362" s="366"/>
      <c r="T362" s="391" t="s">
        <v>29</v>
      </c>
    </row>
    <row r="363" spans="15:20" ht="11.25" customHeight="1" x14ac:dyDescent="0.35">
      <c r="O363" s="388" t="s">
        <v>5459</v>
      </c>
      <c r="P363" s="389">
        <v>324662</v>
      </c>
      <c r="Q363" s="389" t="str">
        <f t="shared" si="7"/>
        <v>2014Y</v>
      </c>
      <c r="R363" s="390" t="str">
        <f>[1]!SNLLabel(287,324662,,"&lt;&gt;365","Options:Curr=Reported currency,Mag=MIstandard,ConvMethod=MIrecommended")</f>
        <v>AR: Accident and Health</v>
      </c>
      <c r="S363" s="366"/>
      <c r="T363" s="391" t="s">
        <v>29</v>
      </c>
    </row>
    <row r="364" spans="15:20" ht="11.25" customHeight="1" x14ac:dyDescent="0.35">
      <c r="O364" s="388" t="s">
        <v>5459</v>
      </c>
      <c r="P364" s="389">
        <v>324662</v>
      </c>
      <c r="Q364" s="389" t="str">
        <f t="shared" si="7"/>
        <v>2014Y</v>
      </c>
      <c r="R364" s="390" t="str">
        <f>[1]!SNLLabel(287,324662,,"&lt;&gt;366","Options:Curr=Reported currency,Mag=MIstandard,ConvMethod=MIrecommended")</f>
        <v>AR: Fraternal</v>
      </c>
      <c r="S364" s="366"/>
      <c r="T364" s="391" t="s">
        <v>29</v>
      </c>
    </row>
    <row r="365" spans="15:20" ht="11.25" customHeight="1" x14ac:dyDescent="0.35">
      <c r="O365" s="388" t="s">
        <v>5459</v>
      </c>
      <c r="P365" s="389">
        <v>324662</v>
      </c>
      <c r="Q365" s="389" t="str">
        <f t="shared" si="7"/>
        <v>2014Y</v>
      </c>
      <c r="R365" s="390" t="str">
        <f>[1]!SNLLabel(287,324662,,"&lt;&gt;367","Options:Curr=Reported currency,Mag=MIstandard,ConvMethod=MIrecommended")</f>
        <v>AR: Other Lines of Business</v>
      </c>
      <c r="S365" s="366"/>
      <c r="T365" s="391" t="s">
        <v>29</v>
      </c>
    </row>
    <row r="366" spans="15:20" ht="11.25" customHeight="1" x14ac:dyDescent="0.35">
      <c r="O366" s="388" t="s">
        <v>5459</v>
      </c>
      <c r="P366" s="389">
        <v>324662</v>
      </c>
      <c r="Q366" s="389" t="str">
        <f t="shared" si="7"/>
        <v>2014Y</v>
      </c>
      <c r="R366" s="390" t="str">
        <f>[1]!SNLLabel(287,324662,,"&lt;&gt;368","Options:Curr=Reported currency,Mag=MIstandard,ConvMethod=MIrecommended")</f>
        <v>AR: YRT Mortality Risk Only</v>
      </c>
      <c r="S366" s="366"/>
      <c r="T366" s="391" t="s">
        <v>29</v>
      </c>
    </row>
    <row r="367" spans="15:20" ht="11.25" customHeight="1" x14ac:dyDescent="0.35">
      <c r="O367" s="388" t="s">
        <v>5459</v>
      </c>
      <c r="P367" s="389">
        <v>324662</v>
      </c>
      <c r="Q367" s="389" t="str">
        <f t="shared" si="7"/>
        <v>2014Y</v>
      </c>
      <c r="R367" s="390" t="str">
        <f>[1]!SNLLabel(287,324662,,"&lt;&gt;369","Options:Curr=Reported currency,Mag=MIstandard,ConvMethod=MIrecommended")</f>
        <v>AR: Individual and Group Life</v>
      </c>
      <c r="S367" s="366"/>
      <c r="T367" s="391" t="s">
        <v>29</v>
      </c>
    </row>
    <row r="368" spans="15:20" ht="11.25" customHeight="1" x14ac:dyDescent="0.35">
      <c r="O368" s="367" t="s">
        <v>5459</v>
      </c>
      <c r="P368" s="368">
        <v>324662</v>
      </c>
      <c r="Q368" s="368" t="str">
        <f t="shared" si="7"/>
        <v>2014Y</v>
      </c>
      <c r="R368" s="369" t="str">
        <f>[1]!SNLLabel(287,324662,,"&lt;&gt;370","Options:Curr=Reported currency,Mag=MIstandard,ConvMethod=MIrecommended")</f>
        <v>AR: Individual and Group Annuities</v>
      </c>
      <c r="S368" s="370"/>
      <c r="T368" s="371" t="s">
        <v>29</v>
      </c>
    </row>
    <row r="369" spans="15:20" ht="11.25" customHeight="1" x14ac:dyDescent="0.35">
      <c r="O369" s="384" t="s">
        <v>5459</v>
      </c>
      <c r="P369" s="385">
        <v>324662</v>
      </c>
      <c r="Q369" s="385" t="str">
        <f t="shared" ref="Q369:Q379" si="8">LEFT(Period,4)-1&amp;"Y"</f>
        <v>2013Y</v>
      </c>
      <c r="R369" s="386" t="str">
        <f>[1]!SNLLabel(287,324662,,"&lt;&gt;360","Options:Curr=Reported currency,Mag=MIstandard,ConvMethod=MIrecommended")</f>
        <v>AR: Analysis of Operations All Lines</v>
      </c>
      <c r="S369" s="365"/>
      <c r="T369" s="387" t="s">
        <v>29</v>
      </c>
    </row>
    <row r="370" spans="15:20" ht="11.25" customHeight="1" x14ac:dyDescent="0.35">
      <c r="O370" s="388" t="s">
        <v>5459</v>
      </c>
      <c r="P370" s="389">
        <v>324662</v>
      </c>
      <c r="Q370" s="389" t="str">
        <f t="shared" si="8"/>
        <v>2013Y</v>
      </c>
      <c r="R370" s="390" t="str">
        <f>[1]!SNLLabel(287,324662,,"&lt;&gt;361","Options:Curr=Reported currency,Mag=MIstandard,ConvMethod=MIrecommended")</f>
        <v>AR: Individual Life</v>
      </c>
      <c r="S370" s="366"/>
      <c r="T370" s="391" t="s">
        <v>29</v>
      </c>
    </row>
    <row r="371" spans="15:20" ht="11.25" customHeight="1" x14ac:dyDescent="0.35">
      <c r="O371" s="388" t="s">
        <v>5459</v>
      </c>
      <c r="P371" s="389">
        <v>324662</v>
      </c>
      <c r="Q371" s="389" t="str">
        <f t="shared" si="8"/>
        <v>2013Y</v>
      </c>
      <c r="R371" s="390" t="str">
        <f>[1]!SNLLabel(287,324662,,"&lt;&gt;362","Options:Curr=Reported currency,Mag=MIstandard,ConvMethod=MIrecommended")</f>
        <v>AR: Group Life</v>
      </c>
      <c r="S371" s="366"/>
      <c r="T371" s="391" t="s">
        <v>29</v>
      </c>
    </row>
    <row r="372" spans="15:20" ht="11.25" customHeight="1" x14ac:dyDescent="0.35">
      <c r="O372" s="388" t="s">
        <v>5459</v>
      </c>
      <c r="P372" s="389">
        <v>324662</v>
      </c>
      <c r="Q372" s="389" t="str">
        <f t="shared" si="8"/>
        <v>2013Y</v>
      </c>
      <c r="R372" s="390" t="str">
        <f>[1]!SNLLabel(287,324662,,"&lt;&gt;363","Options:Curr=Reported currency,Mag=MIstandard,ConvMethod=MIrecommended")</f>
        <v>AR: Individual Annuities</v>
      </c>
      <c r="S372" s="366"/>
      <c r="T372" s="391" t="s">
        <v>29</v>
      </c>
    </row>
    <row r="373" spans="15:20" ht="11.25" customHeight="1" x14ac:dyDescent="0.35">
      <c r="O373" s="388" t="s">
        <v>5459</v>
      </c>
      <c r="P373" s="389">
        <v>324662</v>
      </c>
      <c r="Q373" s="389" t="str">
        <f t="shared" si="8"/>
        <v>2013Y</v>
      </c>
      <c r="R373" s="390" t="str">
        <f>[1]!SNLLabel(287,324662,,"&lt;&gt;364","Options:Curr=Reported currency,Mag=MIstandard,ConvMethod=MIrecommended")</f>
        <v>AR: Group Annuities</v>
      </c>
      <c r="S373" s="366"/>
      <c r="T373" s="391" t="s">
        <v>29</v>
      </c>
    </row>
    <row r="374" spans="15:20" ht="11.25" customHeight="1" x14ac:dyDescent="0.35">
      <c r="O374" s="388" t="s">
        <v>5459</v>
      </c>
      <c r="P374" s="389">
        <v>324662</v>
      </c>
      <c r="Q374" s="389" t="str">
        <f t="shared" si="8"/>
        <v>2013Y</v>
      </c>
      <c r="R374" s="390" t="str">
        <f>[1]!SNLLabel(287,324662,,"&lt;&gt;365","Options:Curr=Reported currency,Mag=MIstandard,ConvMethod=MIrecommended")</f>
        <v>AR: Accident and Health</v>
      </c>
      <c r="S374" s="366"/>
      <c r="T374" s="391" t="s">
        <v>29</v>
      </c>
    </row>
    <row r="375" spans="15:20" ht="11.25" customHeight="1" x14ac:dyDescent="0.35">
      <c r="O375" s="388" t="s">
        <v>5459</v>
      </c>
      <c r="P375" s="389">
        <v>324662</v>
      </c>
      <c r="Q375" s="389" t="str">
        <f t="shared" si="8"/>
        <v>2013Y</v>
      </c>
      <c r="R375" s="390" t="str">
        <f>[1]!SNLLabel(287,324662,,"&lt;&gt;366","Options:Curr=Reported currency,Mag=MIstandard,ConvMethod=MIrecommended")</f>
        <v>AR: Fraternal</v>
      </c>
      <c r="S375" s="366"/>
      <c r="T375" s="391" t="s">
        <v>29</v>
      </c>
    </row>
    <row r="376" spans="15:20" ht="11.25" customHeight="1" x14ac:dyDescent="0.35">
      <c r="O376" s="388" t="s">
        <v>5459</v>
      </c>
      <c r="P376" s="389">
        <v>324662</v>
      </c>
      <c r="Q376" s="389" t="str">
        <f t="shared" si="8"/>
        <v>2013Y</v>
      </c>
      <c r="R376" s="390" t="str">
        <f>[1]!SNLLabel(287,324662,,"&lt;&gt;367","Options:Curr=Reported currency,Mag=MIstandard,ConvMethod=MIrecommended")</f>
        <v>AR: Other Lines of Business</v>
      </c>
      <c r="S376" s="366"/>
      <c r="T376" s="391" t="s">
        <v>29</v>
      </c>
    </row>
    <row r="377" spans="15:20" ht="11.25" customHeight="1" x14ac:dyDescent="0.35">
      <c r="O377" s="388" t="s">
        <v>5459</v>
      </c>
      <c r="P377" s="389">
        <v>324662</v>
      </c>
      <c r="Q377" s="389" t="str">
        <f t="shared" si="8"/>
        <v>2013Y</v>
      </c>
      <c r="R377" s="390" t="str">
        <f>[1]!SNLLabel(287,324662,,"&lt;&gt;368","Options:Curr=Reported currency,Mag=MIstandard,ConvMethod=MIrecommended")</f>
        <v>AR: YRT Mortality Risk Only</v>
      </c>
      <c r="S377" s="366"/>
      <c r="T377" s="391" t="s">
        <v>29</v>
      </c>
    </row>
    <row r="378" spans="15:20" ht="11.25" customHeight="1" x14ac:dyDescent="0.35">
      <c r="O378" s="388" t="s">
        <v>5459</v>
      </c>
      <c r="P378" s="389">
        <v>324662</v>
      </c>
      <c r="Q378" s="389" t="str">
        <f t="shared" si="8"/>
        <v>2013Y</v>
      </c>
      <c r="R378" s="390" t="str">
        <f>[1]!SNLLabel(287,324662,,"&lt;&gt;369","Options:Curr=Reported currency,Mag=MIstandard,ConvMethod=MIrecommended")</f>
        <v>AR: Individual and Group Life</v>
      </c>
      <c r="S378" s="366"/>
      <c r="T378" s="391" t="s">
        <v>29</v>
      </c>
    </row>
    <row r="379" spans="15:20" ht="11.25" customHeight="1" x14ac:dyDescent="0.35">
      <c r="O379" s="367" t="s">
        <v>5459</v>
      </c>
      <c r="P379" s="368">
        <v>324662</v>
      </c>
      <c r="Q379" s="368" t="str">
        <f t="shared" si="8"/>
        <v>2013Y</v>
      </c>
      <c r="R379" s="369" t="str">
        <f>[1]!SNLLabel(287,324662,,"&lt;&gt;370","Options:Curr=Reported currency,Mag=MIstandard,ConvMethod=MIrecommended")</f>
        <v>AR: Individual and Group Annuities</v>
      </c>
      <c r="S379" s="370"/>
      <c r="T379" s="371" t="s">
        <v>29</v>
      </c>
    </row>
    <row r="380" spans="15:20" ht="11.25" customHeight="1" x14ac:dyDescent="0.35">
      <c r="O380" s="384" t="s">
        <v>5459</v>
      </c>
      <c r="P380" s="385">
        <v>324662</v>
      </c>
      <c r="Q380" s="385" t="str">
        <f t="shared" ref="Q380:Q390" si="9">LEFT(Period,4)-2&amp;"Y"</f>
        <v>2012Y</v>
      </c>
      <c r="R380" s="386" t="str">
        <f>[1]!SNLLabel(287,324662,,"&lt;&gt;360","Options:Curr=Reported currency,Mag=MIstandard,ConvMethod=MIrecommended")</f>
        <v>AR: Analysis of Operations All Lines</v>
      </c>
      <c r="S380" s="365"/>
      <c r="T380" s="387" t="s">
        <v>29</v>
      </c>
    </row>
    <row r="381" spans="15:20" ht="11.25" customHeight="1" x14ac:dyDescent="0.35">
      <c r="O381" s="388" t="s">
        <v>5459</v>
      </c>
      <c r="P381" s="389">
        <v>324662</v>
      </c>
      <c r="Q381" s="389" t="str">
        <f t="shared" si="9"/>
        <v>2012Y</v>
      </c>
      <c r="R381" s="390" t="str">
        <f>[1]!SNLLabel(287,324662,,"&lt;&gt;361","Options:Curr=Reported currency,Mag=MIstandard,ConvMethod=MIrecommended")</f>
        <v>AR: Individual Life</v>
      </c>
      <c r="S381" s="366"/>
      <c r="T381" s="391" t="s">
        <v>29</v>
      </c>
    </row>
    <row r="382" spans="15:20" ht="11.25" customHeight="1" x14ac:dyDescent="0.35">
      <c r="O382" s="388" t="s">
        <v>5459</v>
      </c>
      <c r="P382" s="389">
        <v>324662</v>
      </c>
      <c r="Q382" s="389" t="str">
        <f t="shared" si="9"/>
        <v>2012Y</v>
      </c>
      <c r="R382" s="390" t="str">
        <f>[1]!SNLLabel(287,324662,,"&lt;&gt;362","Options:Curr=Reported currency,Mag=MIstandard,ConvMethod=MIrecommended")</f>
        <v>AR: Group Life</v>
      </c>
      <c r="S382" s="366"/>
      <c r="T382" s="391" t="s">
        <v>29</v>
      </c>
    </row>
    <row r="383" spans="15:20" ht="11.25" customHeight="1" x14ac:dyDescent="0.35">
      <c r="O383" s="388" t="s">
        <v>5459</v>
      </c>
      <c r="P383" s="389">
        <v>324662</v>
      </c>
      <c r="Q383" s="389" t="str">
        <f t="shared" si="9"/>
        <v>2012Y</v>
      </c>
      <c r="R383" s="390" t="str">
        <f>[1]!SNLLabel(287,324662,,"&lt;&gt;363","Options:Curr=Reported currency,Mag=MIstandard,ConvMethod=MIrecommended")</f>
        <v>AR: Individual Annuities</v>
      </c>
      <c r="S383" s="366"/>
      <c r="T383" s="391" t="s">
        <v>29</v>
      </c>
    </row>
    <row r="384" spans="15:20" ht="11.25" customHeight="1" x14ac:dyDescent="0.35">
      <c r="O384" s="388" t="s">
        <v>5459</v>
      </c>
      <c r="P384" s="389">
        <v>324662</v>
      </c>
      <c r="Q384" s="389" t="str">
        <f t="shared" si="9"/>
        <v>2012Y</v>
      </c>
      <c r="R384" s="390" t="str">
        <f>[1]!SNLLabel(287,324662,,"&lt;&gt;364","Options:Curr=Reported currency,Mag=MIstandard,ConvMethod=MIrecommended")</f>
        <v>AR: Group Annuities</v>
      </c>
      <c r="S384" s="366"/>
      <c r="T384" s="391" t="s">
        <v>29</v>
      </c>
    </row>
    <row r="385" spans="15:20" ht="11.25" customHeight="1" x14ac:dyDescent="0.35">
      <c r="O385" s="388" t="s">
        <v>5459</v>
      </c>
      <c r="P385" s="389">
        <v>324662</v>
      </c>
      <c r="Q385" s="389" t="str">
        <f t="shared" si="9"/>
        <v>2012Y</v>
      </c>
      <c r="R385" s="390" t="str">
        <f>[1]!SNLLabel(287,324662,,"&lt;&gt;365","Options:Curr=Reported currency,Mag=MIstandard,ConvMethod=MIrecommended")</f>
        <v>AR: Accident and Health</v>
      </c>
      <c r="S385" s="366"/>
      <c r="T385" s="391" t="s">
        <v>29</v>
      </c>
    </row>
    <row r="386" spans="15:20" ht="11.25" customHeight="1" x14ac:dyDescent="0.35">
      <c r="O386" s="388" t="s">
        <v>5459</v>
      </c>
      <c r="P386" s="389">
        <v>324662</v>
      </c>
      <c r="Q386" s="389" t="str">
        <f t="shared" si="9"/>
        <v>2012Y</v>
      </c>
      <c r="R386" s="390" t="str">
        <f>[1]!SNLLabel(287,324662,,"&lt;&gt;366","Options:Curr=Reported currency,Mag=MIstandard,ConvMethod=MIrecommended")</f>
        <v>AR: Fraternal</v>
      </c>
      <c r="S386" s="366"/>
      <c r="T386" s="391" t="s">
        <v>29</v>
      </c>
    </row>
    <row r="387" spans="15:20" ht="11.25" customHeight="1" x14ac:dyDescent="0.35">
      <c r="O387" s="388" t="s">
        <v>5459</v>
      </c>
      <c r="P387" s="389">
        <v>324662</v>
      </c>
      <c r="Q387" s="389" t="str">
        <f t="shared" si="9"/>
        <v>2012Y</v>
      </c>
      <c r="R387" s="390" t="str">
        <f>[1]!SNLLabel(287,324662,,"&lt;&gt;367","Options:Curr=Reported currency,Mag=MIstandard,ConvMethod=MIrecommended")</f>
        <v>AR: Other Lines of Business</v>
      </c>
      <c r="S387" s="366"/>
      <c r="T387" s="391" t="s">
        <v>29</v>
      </c>
    </row>
    <row r="388" spans="15:20" ht="11.25" customHeight="1" x14ac:dyDescent="0.35">
      <c r="O388" s="388" t="s">
        <v>5459</v>
      </c>
      <c r="P388" s="389">
        <v>324662</v>
      </c>
      <c r="Q388" s="389" t="str">
        <f t="shared" si="9"/>
        <v>2012Y</v>
      </c>
      <c r="R388" s="390" t="str">
        <f>[1]!SNLLabel(287,324662,,"&lt;&gt;368","Options:Curr=Reported currency,Mag=MIstandard,ConvMethod=MIrecommended")</f>
        <v>AR: YRT Mortality Risk Only</v>
      </c>
      <c r="S388" s="366"/>
      <c r="T388" s="391" t="s">
        <v>29</v>
      </c>
    </row>
    <row r="389" spans="15:20" ht="11.25" customHeight="1" x14ac:dyDescent="0.35">
      <c r="O389" s="388" t="s">
        <v>5459</v>
      </c>
      <c r="P389" s="389">
        <v>324662</v>
      </c>
      <c r="Q389" s="389" t="str">
        <f t="shared" si="9"/>
        <v>2012Y</v>
      </c>
      <c r="R389" s="390" t="str">
        <f>[1]!SNLLabel(287,324662,,"&lt;&gt;369","Options:Curr=Reported currency,Mag=MIstandard,ConvMethod=MIrecommended")</f>
        <v>AR: Individual and Group Life</v>
      </c>
      <c r="S389" s="366"/>
      <c r="T389" s="391" t="s">
        <v>29</v>
      </c>
    </row>
    <row r="390" spans="15:20" ht="11.25" customHeight="1" x14ac:dyDescent="0.35">
      <c r="O390" s="367" t="s">
        <v>5459</v>
      </c>
      <c r="P390" s="368">
        <v>324662</v>
      </c>
      <c r="Q390" s="368" t="str">
        <f t="shared" si="9"/>
        <v>2012Y</v>
      </c>
      <c r="R390" s="369" t="str">
        <f>[1]!SNLLabel(287,324662,,"&lt;&gt;370","Options:Curr=Reported currency,Mag=MIstandard,ConvMethod=MIrecommended")</f>
        <v>AR: Individual and Group Annuities</v>
      </c>
      <c r="S390" s="370"/>
      <c r="T390" s="371" t="s">
        <v>29</v>
      </c>
    </row>
    <row r="391" spans="15:20" ht="11.25" customHeight="1" x14ac:dyDescent="0.35">
      <c r="O391" s="384" t="s">
        <v>5459</v>
      </c>
      <c r="P391" s="385">
        <v>324662</v>
      </c>
      <c r="Q391" s="385" t="str">
        <f t="shared" ref="Q391:Q401" si="10">LEFT(Period,4)-3&amp;"Y"</f>
        <v>2011Y</v>
      </c>
      <c r="R391" s="386" t="str">
        <f>[1]!SNLLabel(287,324662,,"&lt;&gt;360","Options:Curr=Reported currency,Mag=MIstandard,ConvMethod=MIrecommended")</f>
        <v>AR: Analysis of Operations All Lines</v>
      </c>
      <c r="S391" s="365"/>
      <c r="T391" s="387" t="s">
        <v>29</v>
      </c>
    </row>
    <row r="392" spans="15:20" ht="11.25" customHeight="1" x14ac:dyDescent="0.35">
      <c r="O392" s="388" t="s">
        <v>5459</v>
      </c>
      <c r="P392" s="389">
        <v>324662</v>
      </c>
      <c r="Q392" s="389" t="str">
        <f t="shared" si="10"/>
        <v>2011Y</v>
      </c>
      <c r="R392" s="390" t="str">
        <f>[1]!SNLLabel(287,324662,,"&lt;&gt;361","Options:Curr=Reported currency,Mag=MIstandard,ConvMethod=MIrecommended")</f>
        <v>AR: Individual Life</v>
      </c>
      <c r="S392" s="366"/>
      <c r="T392" s="391" t="s">
        <v>29</v>
      </c>
    </row>
    <row r="393" spans="15:20" ht="11.25" customHeight="1" x14ac:dyDescent="0.35">
      <c r="O393" s="388" t="s">
        <v>5459</v>
      </c>
      <c r="P393" s="389">
        <v>324662</v>
      </c>
      <c r="Q393" s="389" t="str">
        <f t="shared" si="10"/>
        <v>2011Y</v>
      </c>
      <c r="R393" s="390" t="str">
        <f>[1]!SNLLabel(287,324662,,"&lt;&gt;362","Options:Curr=Reported currency,Mag=MIstandard,ConvMethod=MIrecommended")</f>
        <v>AR: Group Life</v>
      </c>
      <c r="S393" s="366"/>
      <c r="T393" s="391" t="s">
        <v>29</v>
      </c>
    </row>
    <row r="394" spans="15:20" ht="11.25" customHeight="1" x14ac:dyDescent="0.35">
      <c r="O394" s="388" t="s">
        <v>5459</v>
      </c>
      <c r="P394" s="389">
        <v>324662</v>
      </c>
      <c r="Q394" s="389" t="str">
        <f t="shared" si="10"/>
        <v>2011Y</v>
      </c>
      <c r="R394" s="390" t="str">
        <f>[1]!SNLLabel(287,324662,,"&lt;&gt;363","Options:Curr=Reported currency,Mag=MIstandard,ConvMethod=MIrecommended")</f>
        <v>AR: Individual Annuities</v>
      </c>
      <c r="S394" s="366"/>
      <c r="T394" s="391" t="s">
        <v>29</v>
      </c>
    </row>
    <row r="395" spans="15:20" ht="11.25" customHeight="1" x14ac:dyDescent="0.35">
      <c r="O395" s="388" t="s">
        <v>5459</v>
      </c>
      <c r="P395" s="389">
        <v>324662</v>
      </c>
      <c r="Q395" s="389" t="str">
        <f t="shared" si="10"/>
        <v>2011Y</v>
      </c>
      <c r="R395" s="390" t="str">
        <f>[1]!SNLLabel(287,324662,,"&lt;&gt;364","Options:Curr=Reported currency,Mag=MIstandard,ConvMethod=MIrecommended")</f>
        <v>AR: Group Annuities</v>
      </c>
      <c r="S395" s="366"/>
      <c r="T395" s="391" t="s">
        <v>29</v>
      </c>
    </row>
    <row r="396" spans="15:20" ht="11.25" customHeight="1" x14ac:dyDescent="0.35">
      <c r="O396" s="388" t="s">
        <v>5459</v>
      </c>
      <c r="P396" s="389">
        <v>324662</v>
      </c>
      <c r="Q396" s="389" t="str">
        <f t="shared" si="10"/>
        <v>2011Y</v>
      </c>
      <c r="R396" s="390" t="str">
        <f>[1]!SNLLabel(287,324662,,"&lt;&gt;365","Options:Curr=Reported currency,Mag=MIstandard,ConvMethod=MIrecommended")</f>
        <v>AR: Accident and Health</v>
      </c>
      <c r="S396" s="366"/>
      <c r="T396" s="391" t="s">
        <v>29</v>
      </c>
    </row>
    <row r="397" spans="15:20" ht="11.25" customHeight="1" x14ac:dyDescent="0.35">
      <c r="O397" s="388" t="s">
        <v>5459</v>
      </c>
      <c r="P397" s="389">
        <v>324662</v>
      </c>
      <c r="Q397" s="389" t="str">
        <f t="shared" si="10"/>
        <v>2011Y</v>
      </c>
      <c r="R397" s="390" t="str">
        <f>[1]!SNLLabel(287,324662,,"&lt;&gt;366","Options:Curr=Reported currency,Mag=MIstandard,ConvMethod=MIrecommended")</f>
        <v>AR: Fraternal</v>
      </c>
      <c r="S397" s="366"/>
      <c r="T397" s="391" t="s">
        <v>29</v>
      </c>
    </row>
    <row r="398" spans="15:20" ht="11.25" customHeight="1" x14ac:dyDescent="0.35">
      <c r="O398" s="388" t="s">
        <v>5459</v>
      </c>
      <c r="P398" s="389">
        <v>324662</v>
      </c>
      <c r="Q398" s="389" t="str">
        <f t="shared" si="10"/>
        <v>2011Y</v>
      </c>
      <c r="R398" s="390" t="str">
        <f>[1]!SNLLabel(287,324662,,"&lt;&gt;367","Options:Curr=Reported currency,Mag=MIstandard,ConvMethod=MIrecommended")</f>
        <v>AR: Other Lines of Business</v>
      </c>
      <c r="S398" s="366"/>
      <c r="T398" s="391" t="s">
        <v>29</v>
      </c>
    </row>
    <row r="399" spans="15:20" ht="11.25" customHeight="1" x14ac:dyDescent="0.35">
      <c r="O399" s="388" t="s">
        <v>5459</v>
      </c>
      <c r="P399" s="389">
        <v>324662</v>
      </c>
      <c r="Q399" s="389" t="str">
        <f t="shared" si="10"/>
        <v>2011Y</v>
      </c>
      <c r="R399" s="390" t="str">
        <f>[1]!SNLLabel(287,324662,,"&lt;&gt;368","Options:Curr=Reported currency,Mag=MIstandard,ConvMethod=MIrecommended")</f>
        <v>AR: YRT Mortality Risk Only</v>
      </c>
      <c r="S399" s="366"/>
      <c r="T399" s="391" t="s">
        <v>29</v>
      </c>
    </row>
    <row r="400" spans="15:20" ht="11.25" customHeight="1" x14ac:dyDescent="0.35">
      <c r="O400" s="388" t="s">
        <v>5459</v>
      </c>
      <c r="P400" s="389">
        <v>324662</v>
      </c>
      <c r="Q400" s="389" t="str">
        <f t="shared" si="10"/>
        <v>2011Y</v>
      </c>
      <c r="R400" s="390" t="str">
        <f>[1]!SNLLabel(287,324662,,"&lt;&gt;369","Options:Curr=Reported currency,Mag=MIstandard,ConvMethod=MIrecommended")</f>
        <v>AR: Individual and Group Life</v>
      </c>
      <c r="S400" s="366"/>
      <c r="T400" s="391" t="s">
        <v>29</v>
      </c>
    </row>
    <row r="401" spans="15:20" ht="11.25" customHeight="1" x14ac:dyDescent="0.35">
      <c r="O401" s="367" t="s">
        <v>5459</v>
      </c>
      <c r="P401" s="368">
        <v>324662</v>
      </c>
      <c r="Q401" s="368" t="str">
        <f t="shared" si="10"/>
        <v>2011Y</v>
      </c>
      <c r="R401" s="369" t="str">
        <f>[1]!SNLLabel(287,324662,,"&lt;&gt;370","Options:Curr=Reported currency,Mag=MIstandard,ConvMethod=MIrecommended")</f>
        <v>AR: Individual and Group Annuities</v>
      </c>
      <c r="S401" s="370"/>
      <c r="T401" s="371" t="s">
        <v>29</v>
      </c>
    </row>
    <row r="402" spans="15:20" ht="11.25" customHeight="1" x14ac:dyDescent="0.35">
      <c r="O402" s="384" t="s">
        <v>5459</v>
      </c>
      <c r="P402" s="385">
        <v>324662</v>
      </c>
      <c r="Q402" s="385" t="str">
        <f t="shared" ref="Q402:Q412" si="11">LEFT(Period,4)-4&amp;"Y"</f>
        <v>2010Y</v>
      </c>
      <c r="R402" s="386" t="str">
        <f>[1]!SNLLabel(287,324662,,"&lt;&gt;360","Options:Curr=Reported currency,Mag=MIstandard,ConvMethod=MIrecommended")</f>
        <v>AR: Analysis of Operations All Lines</v>
      </c>
      <c r="S402" s="365"/>
      <c r="T402" s="387" t="s">
        <v>29</v>
      </c>
    </row>
    <row r="403" spans="15:20" ht="11.25" customHeight="1" x14ac:dyDescent="0.35">
      <c r="O403" s="388" t="s">
        <v>5459</v>
      </c>
      <c r="P403" s="389">
        <v>324662</v>
      </c>
      <c r="Q403" s="389" t="str">
        <f t="shared" si="11"/>
        <v>2010Y</v>
      </c>
      <c r="R403" s="390" t="str">
        <f>[1]!SNLLabel(287,324662,,"&lt;&gt;361","Options:Curr=Reported currency,Mag=MIstandard,ConvMethod=MIrecommended")</f>
        <v>AR: Individual Life</v>
      </c>
      <c r="S403" s="366"/>
      <c r="T403" s="391" t="s">
        <v>29</v>
      </c>
    </row>
    <row r="404" spans="15:20" ht="11.25" customHeight="1" x14ac:dyDescent="0.35">
      <c r="O404" s="388" t="s">
        <v>5459</v>
      </c>
      <c r="P404" s="389">
        <v>324662</v>
      </c>
      <c r="Q404" s="389" t="str">
        <f t="shared" si="11"/>
        <v>2010Y</v>
      </c>
      <c r="R404" s="390" t="str">
        <f>[1]!SNLLabel(287,324662,,"&lt;&gt;362","Options:Curr=Reported currency,Mag=MIstandard,ConvMethod=MIrecommended")</f>
        <v>AR: Group Life</v>
      </c>
      <c r="S404" s="366"/>
      <c r="T404" s="391" t="s">
        <v>29</v>
      </c>
    </row>
    <row r="405" spans="15:20" ht="11.25" customHeight="1" x14ac:dyDescent="0.35">
      <c r="O405" s="388" t="s">
        <v>5459</v>
      </c>
      <c r="P405" s="389">
        <v>324662</v>
      </c>
      <c r="Q405" s="389" t="str">
        <f t="shared" si="11"/>
        <v>2010Y</v>
      </c>
      <c r="R405" s="390" t="str">
        <f>[1]!SNLLabel(287,324662,,"&lt;&gt;363","Options:Curr=Reported currency,Mag=MIstandard,ConvMethod=MIrecommended")</f>
        <v>AR: Individual Annuities</v>
      </c>
      <c r="S405" s="366"/>
      <c r="T405" s="391" t="s">
        <v>29</v>
      </c>
    </row>
    <row r="406" spans="15:20" ht="11.25" customHeight="1" x14ac:dyDescent="0.35">
      <c r="O406" s="388" t="s">
        <v>5459</v>
      </c>
      <c r="P406" s="389">
        <v>324662</v>
      </c>
      <c r="Q406" s="389" t="str">
        <f t="shared" si="11"/>
        <v>2010Y</v>
      </c>
      <c r="R406" s="390" t="str">
        <f>[1]!SNLLabel(287,324662,,"&lt;&gt;364","Options:Curr=Reported currency,Mag=MIstandard,ConvMethod=MIrecommended")</f>
        <v>AR: Group Annuities</v>
      </c>
      <c r="S406" s="366"/>
      <c r="T406" s="391" t="s">
        <v>29</v>
      </c>
    </row>
    <row r="407" spans="15:20" ht="11.25" customHeight="1" x14ac:dyDescent="0.35">
      <c r="O407" s="388" t="s">
        <v>5459</v>
      </c>
      <c r="P407" s="389">
        <v>324662</v>
      </c>
      <c r="Q407" s="389" t="str">
        <f t="shared" si="11"/>
        <v>2010Y</v>
      </c>
      <c r="R407" s="390" t="str">
        <f>[1]!SNLLabel(287,324662,,"&lt;&gt;365","Options:Curr=Reported currency,Mag=MIstandard,ConvMethod=MIrecommended")</f>
        <v>AR: Accident and Health</v>
      </c>
      <c r="S407" s="366"/>
      <c r="T407" s="391" t="s">
        <v>29</v>
      </c>
    </row>
    <row r="408" spans="15:20" ht="11.25" customHeight="1" x14ac:dyDescent="0.35">
      <c r="O408" s="388" t="s">
        <v>5459</v>
      </c>
      <c r="P408" s="389">
        <v>324662</v>
      </c>
      <c r="Q408" s="389" t="str">
        <f t="shared" si="11"/>
        <v>2010Y</v>
      </c>
      <c r="R408" s="390" t="str">
        <f>[1]!SNLLabel(287,324662,,"&lt;&gt;366","Options:Curr=Reported currency,Mag=MIstandard,ConvMethod=MIrecommended")</f>
        <v>AR: Fraternal</v>
      </c>
      <c r="S408" s="366"/>
      <c r="T408" s="391" t="s">
        <v>29</v>
      </c>
    </row>
    <row r="409" spans="15:20" ht="11.25" customHeight="1" x14ac:dyDescent="0.35">
      <c r="O409" s="388" t="s">
        <v>5459</v>
      </c>
      <c r="P409" s="389">
        <v>324662</v>
      </c>
      <c r="Q409" s="389" t="str">
        <f t="shared" si="11"/>
        <v>2010Y</v>
      </c>
      <c r="R409" s="390" t="str">
        <f>[1]!SNLLabel(287,324662,,"&lt;&gt;367","Options:Curr=Reported currency,Mag=MIstandard,ConvMethod=MIrecommended")</f>
        <v>AR: Other Lines of Business</v>
      </c>
      <c r="S409" s="366"/>
      <c r="T409" s="391" t="s">
        <v>29</v>
      </c>
    </row>
    <row r="410" spans="15:20" ht="11.25" customHeight="1" x14ac:dyDescent="0.35">
      <c r="O410" s="388" t="s">
        <v>5459</v>
      </c>
      <c r="P410" s="389">
        <v>324662</v>
      </c>
      <c r="Q410" s="389" t="str">
        <f t="shared" si="11"/>
        <v>2010Y</v>
      </c>
      <c r="R410" s="390" t="str">
        <f>[1]!SNLLabel(287,324662,,"&lt;&gt;368","Options:Curr=Reported currency,Mag=MIstandard,ConvMethod=MIrecommended")</f>
        <v>AR: YRT Mortality Risk Only</v>
      </c>
      <c r="S410" s="366"/>
      <c r="T410" s="391" t="s">
        <v>29</v>
      </c>
    </row>
    <row r="411" spans="15:20" ht="11.25" customHeight="1" x14ac:dyDescent="0.35">
      <c r="O411" s="388" t="s">
        <v>5459</v>
      </c>
      <c r="P411" s="389">
        <v>324662</v>
      </c>
      <c r="Q411" s="389" t="str">
        <f t="shared" si="11"/>
        <v>2010Y</v>
      </c>
      <c r="R411" s="390" t="str">
        <f>[1]!SNLLabel(287,324662,,"&lt;&gt;369","Options:Curr=Reported currency,Mag=MIstandard,ConvMethod=MIrecommended")</f>
        <v>AR: Individual and Group Life</v>
      </c>
      <c r="S411" s="366"/>
      <c r="T411" s="391" t="s">
        <v>29</v>
      </c>
    </row>
    <row r="412" spans="15:20" ht="11.25" customHeight="1" x14ac:dyDescent="0.35">
      <c r="O412" s="367" t="s">
        <v>5459</v>
      </c>
      <c r="P412" s="368">
        <v>324662</v>
      </c>
      <c r="Q412" s="368" t="str">
        <f t="shared" si="11"/>
        <v>2010Y</v>
      </c>
      <c r="R412" s="369" t="str">
        <f>[1]!SNLLabel(287,324662,,"&lt;&gt;370","Options:Curr=Reported currency,Mag=MIstandard,ConvMethod=MIrecommended")</f>
        <v>AR: Individual and Group Annuities</v>
      </c>
      <c r="S412" s="370"/>
      <c r="T412" s="371" t="s">
        <v>29</v>
      </c>
    </row>
    <row r="413" spans="15:20" ht="11.25" customHeight="1" x14ac:dyDescent="0.35">
      <c r="O413" s="377"/>
      <c r="P413" s="378"/>
      <c r="Q413" s="378"/>
      <c r="R413" s="379"/>
      <c r="S413" s="375"/>
      <c r="T413" s="380"/>
    </row>
    <row r="414" spans="15:20" ht="11.25" customHeight="1" x14ac:dyDescent="0.35">
      <c r="O414" s="384" t="s">
        <v>5463</v>
      </c>
      <c r="P414" s="385" t="s">
        <v>5374</v>
      </c>
      <c r="Q414" s="385" t="str">
        <f t="shared" ref="Q414:Q424" si="12">Period</f>
        <v>2014Y</v>
      </c>
      <c r="R414" s="386" t="str">
        <f>[1]!SNLLabel(287,324672,,"&lt;&gt;360")</f>
        <v>AR: Analysis of Operations All Lines</v>
      </c>
      <c r="S414" s="365"/>
      <c r="T414" s="387" t="s">
        <v>29</v>
      </c>
    </row>
    <row r="415" spans="15:20" ht="11.25" customHeight="1" x14ac:dyDescent="0.35">
      <c r="O415" s="388" t="s">
        <v>5463</v>
      </c>
      <c r="P415" s="389" t="s">
        <v>5374</v>
      </c>
      <c r="Q415" s="389" t="str">
        <f t="shared" si="12"/>
        <v>2014Y</v>
      </c>
      <c r="R415" s="390" t="str">
        <f>[1]!SNLLabel(287,324672,,"&lt;&gt;361")</f>
        <v>AR: Individual Life</v>
      </c>
      <c r="S415" s="366"/>
      <c r="T415" s="391" t="s">
        <v>29</v>
      </c>
    </row>
    <row r="416" spans="15:20" ht="11.25" customHeight="1" x14ac:dyDescent="0.35">
      <c r="O416" s="388" t="s">
        <v>5463</v>
      </c>
      <c r="P416" s="389" t="s">
        <v>5374</v>
      </c>
      <c r="Q416" s="389" t="str">
        <f t="shared" si="12"/>
        <v>2014Y</v>
      </c>
      <c r="R416" s="390" t="str">
        <f>[1]!SNLLabel(287,324672,,"&lt;&gt;362")</f>
        <v>AR: Group Life</v>
      </c>
      <c r="S416" s="366"/>
      <c r="T416" s="391" t="s">
        <v>29</v>
      </c>
    </row>
    <row r="417" spans="15:20" ht="11.25" customHeight="1" x14ac:dyDescent="0.35">
      <c r="O417" s="388" t="s">
        <v>5463</v>
      </c>
      <c r="P417" s="389" t="s">
        <v>5374</v>
      </c>
      <c r="Q417" s="389" t="str">
        <f t="shared" si="12"/>
        <v>2014Y</v>
      </c>
      <c r="R417" s="390" t="str">
        <f>[1]!SNLLabel(287,324672,,"&lt;&gt;363")</f>
        <v>AR: Individual Annuities</v>
      </c>
      <c r="S417" s="366"/>
      <c r="T417" s="391" t="s">
        <v>29</v>
      </c>
    </row>
    <row r="418" spans="15:20" ht="11.25" customHeight="1" x14ac:dyDescent="0.35">
      <c r="O418" s="388" t="s">
        <v>5463</v>
      </c>
      <c r="P418" s="389" t="s">
        <v>5374</v>
      </c>
      <c r="Q418" s="389" t="str">
        <f t="shared" si="12"/>
        <v>2014Y</v>
      </c>
      <c r="R418" s="390" t="str">
        <f>[1]!SNLLabel(287,324672,,"&lt;&gt;364")</f>
        <v>AR: Group Annuities</v>
      </c>
      <c r="S418" s="366"/>
      <c r="T418" s="391" t="s">
        <v>29</v>
      </c>
    </row>
    <row r="419" spans="15:20" ht="11.25" customHeight="1" x14ac:dyDescent="0.35">
      <c r="O419" s="388" t="s">
        <v>5463</v>
      </c>
      <c r="P419" s="389" t="s">
        <v>5374</v>
      </c>
      <c r="Q419" s="389" t="str">
        <f t="shared" si="12"/>
        <v>2014Y</v>
      </c>
      <c r="R419" s="390" t="str">
        <f>[1]!SNLLabel(287,324672,,"&lt;&gt;365")</f>
        <v>AR: Accident and Health</v>
      </c>
      <c r="S419" s="366"/>
      <c r="T419" s="391" t="s">
        <v>29</v>
      </c>
    </row>
    <row r="420" spans="15:20" ht="11.25" customHeight="1" x14ac:dyDescent="0.35">
      <c r="O420" s="388" t="s">
        <v>5463</v>
      </c>
      <c r="P420" s="389" t="s">
        <v>5374</v>
      </c>
      <c r="Q420" s="389" t="str">
        <f t="shared" si="12"/>
        <v>2014Y</v>
      </c>
      <c r="R420" s="390" t="str">
        <f>[1]!SNLLabel(287,324672,,"&lt;&gt;366")</f>
        <v>AR: Fraternal</v>
      </c>
      <c r="S420" s="366"/>
      <c r="T420" s="391" t="s">
        <v>29</v>
      </c>
    </row>
    <row r="421" spans="15:20" ht="11.25" customHeight="1" x14ac:dyDescent="0.35">
      <c r="O421" s="388" t="s">
        <v>5463</v>
      </c>
      <c r="P421" s="389" t="s">
        <v>5374</v>
      </c>
      <c r="Q421" s="389" t="str">
        <f t="shared" si="12"/>
        <v>2014Y</v>
      </c>
      <c r="R421" s="390" t="str">
        <f>[1]!SNLLabel(287,324672,,"&lt;&gt;367")</f>
        <v>AR: Other Lines of Business</v>
      </c>
      <c r="S421" s="366"/>
      <c r="T421" s="391" t="s">
        <v>29</v>
      </c>
    </row>
    <row r="422" spans="15:20" ht="11.25" customHeight="1" x14ac:dyDescent="0.35">
      <c r="O422" s="388" t="s">
        <v>5463</v>
      </c>
      <c r="P422" s="389" t="s">
        <v>5374</v>
      </c>
      <c r="Q422" s="389" t="str">
        <f t="shared" si="12"/>
        <v>2014Y</v>
      </c>
      <c r="R422" s="390" t="str">
        <f>[1]!SNLLabel(287,324672,,"&lt;&gt;368")</f>
        <v>AR: YRT Mortality Risk Only</v>
      </c>
      <c r="S422" s="366"/>
      <c r="T422" s="391" t="s">
        <v>29</v>
      </c>
    </row>
    <row r="423" spans="15:20" ht="11.25" customHeight="1" x14ac:dyDescent="0.35">
      <c r="O423" s="388" t="s">
        <v>5463</v>
      </c>
      <c r="P423" s="389" t="s">
        <v>5374</v>
      </c>
      <c r="Q423" s="389" t="str">
        <f t="shared" si="12"/>
        <v>2014Y</v>
      </c>
      <c r="R423" s="390" t="str">
        <f>[1]!SNLLabel(287,324672,,"&lt;&gt;369")</f>
        <v>AR: Individual and Group Life</v>
      </c>
      <c r="S423" s="366"/>
      <c r="T423" s="391" t="s">
        <v>29</v>
      </c>
    </row>
    <row r="424" spans="15:20" ht="11.25" customHeight="1" x14ac:dyDescent="0.35">
      <c r="O424" s="367" t="s">
        <v>5463</v>
      </c>
      <c r="P424" s="368" t="s">
        <v>5374</v>
      </c>
      <c r="Q424" s="368" t="str">
        <f t="shared" si="12"/>
        <v>2014Y</v>
      </c>
      <c r="R424" s="369" t="str">
        <f>[1]!SNLLabel(287,324672,,"&lt;&gt;370")</f>
        <v>AR: Individual and Group Annuities</v>
      </c>
      <c r="S424" s="370"/>
      <c r="T424" s="371" t="s">
        <v>29</v>
      </c>
    </row>
    <row r="425" spans="15:20" ht="11.25" customHeight="1" x14ac:dyDescent="0.35">
      <c r="O425" s="384" t="s">
        <v>5463</v>
      </c>
      <c r="P425" s="385" t="s">
        <v>5374</v>
      </c>
      <c r="Q425" s="385" t="str">
        <f t="shared" ref="Q425:Q435" si="13">LEFT(Period,4)-1&amp;"Y"</f>
        <v>2013Y</v>
      </c>
      <c r="R425" s="386" t="str">
        <f>[1]!SNLLabel(287,324672,,"&lt;&gt;360")</f>
        <v>AR: Analysis of Operations All Lines</v>
      </c>
      <c r="S425" s="365"/>
      <c r="T425" s="387" t="s">
        <v>29</v>
      </c>
    </row>
    <row r="426" spans="15:20" ht="11.25" customHeight="1" x14ac:dyDescent="0.35">
      <c r="O426" s="388" t="s">
        <v>5463</v>
      </c>
      <c r="P426" s="389" t="s">
        <v>5374</v>
      </c>
      <c r="Q426" s="389" t="str">
        <f t="shared" si="13"/>
        <v>2013Y</v>
      </c>
      <c r="R426" s="390" t="str">
        <f>[1]!SNLLabel(287,324672,,"&lt;&gt;361")</f>
        <v>AR: Individual Life</v>
      </c>
      <c r="S426" s="366"/>
      <c r="T426" s="391" t="s">
        <v>29</v>
      </c>
    </row>
    <row r="427" spans="15:20" ht="11.25" customHeight="1" x14ac:dyDescent="0.35">
      <c r="O427" s="388" t="s">
        <v>5463</v>
      </c>
      <c r="P427" s="389" t="s">
        <v>5374</v>
      </c>
      <c r="Q427" s="389" t="str">
        <f t="shared" si="13"/>
        <v>2013Y</v>
      </c>
      <c r="R427" s="390" t="str">
        <f>[1]!SNLLabel(287,324672,,"&lt;&gt;362")</f>
        <v>AR: Group Life</v>
      </c>
      <c r="S427" s="366"/>
      <c r="T427" s="391" t="s">
        <v>29</v>
      </c>
    </row>
    <row r="428" spans="15:20" ht="11.25" customHeight="1" x14ac:dyDescent="0.35">
      <c r="O428" s="388" t="s">
        <v>5463</v>
      </c>
      <c r="P428" s="389" t="s">
        <v>5374</v>
      </c>
      <c r="Q428" s="389" t="str">
        <f t="shared" si="13"/>
        <v>2013Y</v>
      </c>
      <c r="R428" s="390" t="str">
        <f>[1]!SNLLabel(287,324672,,"&lt;&gt;363")</f>
        <v>AR: Individual Annuities</v>
      </c>
      <c r="S428" s="366"/>
      <c r="T428" s="391" t="s">
        <v>29</v>
      </c>
    </row>
    <row r="429" spans="15:20" ht="11.25" customHeight="1" x14ac:dyDescent="0.35">
      <c r="O429" s="388" t="s">
        <v>5463</v>
      </c>
      <c r="P429" s="389" t="s">
        <v>5374</v>
      </c>
      <c r="Q429" s="389" t="str">
        <f t="shared" si="13"/>
        <v>2013Y</v>
      </c>
      <c r="R429" s="390" t="str">
        <f>[1]!SNLLabel(287,324672,,"&lt;&gt;364")</f>
        <v>AR: Group Annuities</v>
      </c>
      <c r="S429" s="366"/>
      <c r="T429" s="391" t="s">
        <v>29</v>
      </c>
    </row>
    <row r="430" spans="15:20" ht="11.25" customHeight="1" x14ac:dyDescent="0.35">
      <c r="O430" s="388" t="s">
        <v>5463</v>
      </c>
      <c r="P430" s="389" t="s">
        <v>5374</v>
      </c>
      <c r="Q430" s="389" t="str">
        <f t="shared" si="13"/>
        <v>2013Y</v>
      </c>
      <c r="R430" s="390" t="str">
        <f>[1]!SNLLabel(287,324672,,"&lt;&gt;365")</f>
        <v>AR: Accident and Health</v>
      </c>
      <c r="S430" s="366"/>
      <c r="T430" s="391" t="s">
        <v>29</v>
      </c>
    </row>
    <row r="431" spans="15:20" ht="11.25" customHeight="1" x14ac:dyDescent="0.35">
      <c r="O431" s="388" t="s">
        <v>5463</v>
      </c>
      <c r="P431" s="389" t="s">
        <v>5374</v>
      </c>
      <c r="Q431" s="389" t="str">
        <f t="shared" si="13"/>
        <v>2013Y</v>
      </c>
      <c r="R431" s="390" t="str">
        <f>[1]!SNLLabel(287,324672,,"&lt;&gt;366")</f>
        <v>AR: Fraternal</v>
      </c>
      <c r="S431" s="366"/>
      <c r="T431" s="391" t="s">
        <v>29</v>
      </c>
    </row>
    <row r="432" spans="15:20" ht="11.25" customHeight="1" x14ac:dyDescent="0.35">
      <c r="O432" s="388" t="s">
        <v>5463</v>
      </c>
      <c r="P432" s="389" t="s">
        <v>5374</v>
      </c>
      <c r="Q432" s="389" t="str">
        <f t="shared" si="13"/>
        <v>2013Y</v>
      </c>
      <c r="R432" s="390" t="str">
        <f>[1]!SNLLabel(287,324672,,"&lt;&gt;367")</f>
        <v>AR: Other Lines of Business</v>
      </c>
      <c r="S432" s="366"/>
      <c r="T432" s="391" t="s">
        <v>29</v>
      </c>
    </row>
    <row r="433" spans="15:20" ht="11.25" customHeight="1" x14ac:dyDescent="0.35">
      <c r="O433" s="388" t="s">
        <v>5463</v>
      </c>
      <c r="P433" s="389" t="s">
        <v>5374</v>
      </c>
      <c r="Q433" s="389" t="str">
        <f t="shared" si="13"/>
        <v>2013Y</v>
      </c>
      <c r="R433" s="390" t="str">
        <f>[1]!SNLLabel(287,324672,,"&lt;&gt;368")</f>
        <v>AR: YRT Mortality Risk Only</v>
      </c>
      <c r="S433" s="366"/>
      <c r="T433" s="391" t="s">
        <v>29</v>
      </c>
    </row>
    <row r="434" spans="15:20" ht="11.25" customHeight="1" x14ac:dyDescent="0.35">
      <c r="O434" s="388" t="s">
        <v>5463</v>
      </c>
      <c r="P434" s="389" t="s">
        <v>5374</v>
      </c>
      <c r="Q434" s="389" t="str">
        <f t="shared" si="13"/>
        <v>2013Y</v>
      </c>
      <c r="R434" s="390" t="str">
        <f>[1]!SNLLabel(287,324672,,"&lt;&gt;369")</f>
        <v>AR: Individual and Group Life</v>
      </c>
      <c r="S434" s="366"/>
      <c r="T434" s="391" t="s">
        <v>29</v>
      </c>
    </row>
    <row r="435" spans="15:20" ht="11.25" customHeight="1" x14ac:dyDescent="0.35">
      <c r="O435" s="367" t="s">
        <v>5463</v>
      </c>
      <c r="P435" s="368" t="s">
        <v>5374</v>
      </c>
      <c r="Q435" s="368" t="str">
        <f t="shared" si="13"/>
        <v>2013Y</v>
      </c>
      <c r="R435" s="369" t="str">
        <f>[1]!SNLLabel(287,324672,,"&lt;&gt;370")</f>
        <v>AR: Individual and Group Annuities</v>
      </c>
      <c r="S435" s="370"/>
      <c r="T435" s="371" t="s">
        <v>29</v>
      </c>
    </row>
    <row r="436" spans="15:20" ht="11.25" customHeight="1" x14ac:dyDescent="0.35">
      <c r="O436" s="384" t="s">
        <v>5463</v>
      </c>
      <c r="P436" s="385" t="s">
        <v>5374</v>
      </c>
      <c r="Q436" s="385" t="str">
        <f t="shared" ref="Q436:Q446" si="14">LEFT(Period,4)-2&amp;"Y"</f>
        <v>2012Y</v>
      </c>
      <c r="R436" s="386" t="str">
        <f>[1]!SNLLabel(287,324672,,"&lt;&gt;360")</f>
        <v>AR: Analysis of Operations All Lines</v>
      </c>
      <c r="S436" s="365"/>
      <c r="T436" s="387" t="s">
        <v>29</v>
      </c>
    </row>
    <row r="437" spans="15:20" ht="11.25" customHeight="1" x14ac:dyDescent="0.35">
      <c r="O437" s="388" t="s">
        <v>5463</v>
      </c>
      <c r="P437" s="389" t="s">
        <v>5374</v>
      </c>
      <c r="Q437" s="389" t="str">
        <f t="shared" si="14"/>
        <v>2012Y</v>
      </c>
      <c r="R437" s="390" t="str">
        <f>[1]!SNLLabel(287,324672,,"&lt;&gt;361")</f>
        <v>AR: Individual Life</v>
      </c>
      <c r="S437" s="366"/>
      <c r="T437" s="391" t="s">
        <v>29</v>
      </c>
    </row>
    <row r="438" spans="15:20" ht="11.25" customHeight="1" x14ac:dyDescent="0.35">
      <c r="O438" s="388" t="s">
        <v>5463</v>
      </c>
      <c r="P438" s="389" t="s">
        <v>5374</v>
      </c>
      <c r="Q438" s="389" t="str">
        <f t="shared" si="14"/>
        <v>2012Y</v>
      </c>
      <c r="R438" s="390" t="str">
        <f>[1]!SNLLabel(287,324672,,"&lt;&gt;362")</f>
        <v>AR: Group Life</v>
      </c>
      <c r="S438" s="366"/>
      <c r="T438" s="391" t="s">
        <v>29</v>
      </c>
    </row>
    <row r="439" spans="15:20" ht="11.25" customHeight="1" x14ac:dyDescent="0.35">
      <c r="O439" s="388" t="s">
        <v>5463</v>
      </c>
      <c r="P439" s="389" t="s">
        <v>5374</v>
      </c>
      <c r="Q439" s="389" t="str">
        <f t="shared" si="14"/>
        <v>2012Y</v>
      </c>
      <c r="R439" s="390" t="str">
        <f>[1]!SNLLabel(287,324672,,"&lt;&gt;363")</f>
        <v>AR: Individual Annuities</v>
      </c>
      <c r="S439" s="366"/>
      <c r="T439" s="391" t="s">
        <v>29</v>
      </c>
    </row>
    <row r="440" spans="15:20" ht="11.25" customHeight="1" x14ac:dyDescent="0.35">
      <c r="O440" s="388" t="s">
        <v>5463</v>
      </c>
      <c r="P440" s="389" t="s">
        <v>5374</v>
      </c>
      <c r="Q440" s="389" t="str">
        <f t="shared" si="14"/>
        <v>2012Y</v>
      </c>
      <c r="R440" s="390" t="str">
        <f>[1]!SNLLabel(287,324672,,"&lt;&gt;364")</f>
        <v>AR: Group Annuities</v>
      </c>
      <c r="S440" s="366"/>
      <c r="T440" s="391" t="s">
        <v>29</v>
      </c>
    </row>
    <row r="441" spans="15:20" ht="11.25" customHeight="1" x14ac:dyDescent="0.35">
      <c r="O441" s="388" t="s">
        <v>5463</v>
      </c>
      <c r="P441" s="389" t="s">
        <v>5374</v>
      </c>
      <c r="Q441" s="389" t="str">
        <f t="shared" si="14"/>
        <v>2012Y</v>
      </c>
      <c r="R441" s="390" t="str">
        <f>[1]!SNLLabel(287,324672,,"&lt;&gt;365")</f>
        <v>AR: Accident and Health</v>
      </c>
      <c r="S441" s="366"/>
      <c r="T441" s="391" t="s">
        <v>29</v>
      </c>
    </row>
    <row r="442" spans="15:20" ht="11.25" customHeight="1" x14ac:dyDescent="0.35">
      <c r="O442" s="388" t="s">
        <v>5463</v>
      </c>
      <c r="P442" s="389" t="s">
        <v>5374</v>
      </c>
      <c r="Q442" s="389" t="str">
        <f t="shared" si="14"/>
        <v>2012Y</v>
      </c>
      <c r="R442" s="390" t="str">
        <f>[1]!SNLLabel(287,324672,,"&lt;&gt;366")</f>
        <v>AR: Fraternal</v>
      </c>
      <c r="S442" s="366"/>
      <c r="T442" s="391" t="s">
        <v>29</v>
      </c>
    </row>
    <row r="443" spans="15:20" ht="11.25" customHeight="1" x14ac:dyDescent="0.35">
      <c r="O443" s="388" t="s">
        <v>5463</v>
      </c>
      <c r="P443" s="389" t="s">
        <v>5374</v>
      </c>
      <c r="Q443" s="389" t="str">
        <f t="shared" si="14"/>
        <v>2012Y</v>
      </c>
      <c r="R443" s="390" t="str">
        <f>[1]!SNLLabel(287,324672,,"&lt;&gt;367")</f>
        <v>AR: Other Lines of Business</v>
      </c>
      <c r="S443" s="366"/>
      <c r="T443" s="391" t="s">
        <v>29</v>
      </c>
    </row>
    <row r="444" spans="15:20" ht="11.25" customHeight="1" x14ac:dyDescent="0.35">
      <c r="O444" s="388" t="s">
        <v>5463</v>
      </c>
      <c r="P444" s="389" t="s">
        <v>5374</v>
      </c>
      <c r="Q444" s="389" t="str">
        <f t="shared" si="14"/>
        <v>2012Y</v>
      </c>
      <c r="R444" s="390" t="str">
        <f>[1]!SNLLabel(287,324672,,"&lt;&gt;368")</f>
        <v>AR: YRT Mortality Risk Only</v>
      </c>
      <c r="S444" s="366"/>
      <c r="T444" s="391" t="s">
        <v>29</v>
      </c>
    </row>
    <row r="445" spans="15:20" ht="11.25" customHeight="1" x14ac:dyDescent="0.35">
      <c r="O445" s="388" t="s">
        <v>5463</v>
      </c>
      <c r="P445" s="389" t="s">
        <v>5374</v>
      </c>
      <c r="Q445" s="389" t="str">
        <f t="shared" si="14"/>
        <v>2012Y</v>
      </c>
      <c r="R445" s="390" t="str">
        <f>[1]!SNLLabel(287,324672,,"&lt;&gt;369")</f>
        <v>AR: Individual and Group Life</v>
      </c>
      <c r="S445" s="366"/>
      <c r="T445" s="391" t="s">
        <v>29</v>
      </c>
    </row>
    <row r="446" spans="15:20" ht="11.25" customHeight="1" x14ac:dyDescent="0.35">
      <c r="O446" s="367" t="s">
        <v>5463</v>
      </c>
      <c r="P446" s="368" t="s">
        <v>5374</v>
      </c>
      <c r="Q446" s="368" t="str">
        <f t="shared" si="14"/>
        <v>2012Y</v>
      </c>
      <c r="R446" s="369" t="str">
        <f>[1]!SNLLabel(287,324672,,"&lt;&gt;370")</f>
        <v>AR: Individual and Group Annuities</v>
      </c>
      <c r="S446" s="370"/>
      <c r="T446" s="371" t="s">
        <v>29</v>
      </c>
    </row>
    <row r="447" spans="15:20" ht="11.25" customHeight="1" x14ac:dyDescent="0.35">
      <c r="O447" s="384" t="s">
        <v>5463</v>
      </c>
      <c r="P447" s="385" t="s">
        <v>5374</v>
      </c>
      <c r="Q447" s="385" t="str">
        <f t="shared" ref="Q447:Q457" si="15">LEFT(Period,4)-3&amp;"Y"</f>
        <v>2011Y</v>
      </c>
      <c r="R447" s="386" t="str">
        <f>[1]!SNLLabel(287,324672,,"&lt;&gt;360")</f>
        <v>AR: Analysis of Operations All Lines</v>
      </c>
      <c r="S447" s="365"/>
      <c r="T447" s="387" t="s">
        <v>29</v>
      </c>
    </row>
    <row r="448" spans="15:20" ht="11.25" customHeight="1" x14ac:dyDescent="0.35">
      <c r="O448" s="388" t="s">
        <v>5463</v>
      </c>
      <c r="P448" s="389" t="s">
        <v>5374</v>
      </c>
      <c r="Q448" s="389" t="str">
        <f t="shared" si="15"/>
        <v>2011Y</v>
      </c>
      <c r="R448" s="390" t="str">
        <f>[1]!SNLLabel(287,324672,,"&lt;&gt;361")</f>
        <v>AR: Individual Life</v>
      </c>
      <c r="S448" s="366"/>
      <c r="T448" s="391" t="s">
        <v>29</v>
      </c>
    </row>
    <row r="449" spans="15:20" ht="11.25" customHeight="1" x14ac:dyDescent="0.35">
      <c r="O449" s="388" t="s">
        <v>5463</v>
      </c>
      <c r="P449" s="389" t="s">
        <v>5374</v>
      </c>
      <c r="Q449" s="389" t="str">
        <f t="shared" si="15"/>
        <v>2011Y</v>
      </c>
      <c r="R449" s="390" t="str">
        <f>[1]!SNLLabel(287,324672,,"&lt;&gt;362")</f>
        <v>AR: Group Life</v>
      </c>
      <c r="S449" s="366"/>
      <c r="T449" s="391" t="s">
        <v>29</v>
      </c>
    </row>
    <row r="450" spans="15:20" ht="11.25" customHeight="1" x14ac:dyDescent="0.35">
      <c r="O450" s="388" t="s">
        <v>5463</v>
      </c>
      <c r="P450" s="389" t="s">
        <v>5374</v>
      </c>
      <c r="Q450" s="389" t="str">
        <f t="shared" si="15"/>
        <v>2011Y</v>
      </c>
      <c r="R450" s="390" t="str">
        <f>[1]!SNLLabel(287,324672,,"&lt;&gt;363")</f>
        <v>AR: Individual Annuities</v>
      </c>
      <c r="S450" s="366"/>
      <c r="T450" s="391" t="s">
        <v>29</v>
      </c>
    </row>
    <row r="451" spans="15:20" ht="11.25" customHeight="1" x14ac:dyDescent="0.35">
      <c r="O451" s="388" t="s">
        <v>5463</v>
      </c>
      <c r="P451" s="389" t="s">
        <v>5374</v>
      </c>
      <c r="Q451" s="389" t="str">
        <f t="shared" si="15"/>
        <v>2011Y</v>
      </c>
      <c r="R451" s="390" t="str">
        <f>[1]!SNLLabel(287,324672,,"&lt;&gt;364")</f>
        <v>AR: Group Annuities</v>
      </c>
      <c r="S451" s="366"/>
      <c r="T451" s="391" t="s">
        <v>29</v>
      </c>
    </row>
    <row r="452" spans="15:20" ht="11.25" customHeight="1" x14ac:dyDescent="0.35">
      <c r="O452" s="388" t="s">
        <v>5463</v>
      </c>
      <c r="P452" s="389" t="s">
        <v>5374</v>
      </c>
      <c r="Q452" s="389" t="str">
        <f t="shared" si="15"/>
        <v>2011Y</v>
      </c>
      <c r="R452" s="390" t="str">
        <f>[1]!SNLLabel(287,324672,,"&lt;&gt;365")</f>
        <v>AR: Accident and Health</v>
      </c>
      <c r="S452" s="366"/>
      <c r="T452" s="391" t="s">
        <v>29</v>
      </c>
    </row>
    <row r="453" spans="15:20" ht="11.25" customHeight="1" x14ac:dyDescent="0.35">
      <c r="O453" s="388" t="s">
        <v>5463</v>
      </c>
      <c r="P453" s="389" t="s">
        <v>5374</v>
      </c>
      <c r="Q453" s="389" t="str">
        <f t="shared" si="15"/>
        <v>2011Y</v>
      </c>
      <c r="R453" s="390" t="str">
        <f>[1]!SNLLabel(287,324672,,"&lt;&gt;366")</f>
        <v>AR: Fraternal</v>
      </c>
      <c r="S453" s="366"/>
      <c r="T453" s="391" t="s">
        <v>29</v>
      </c>
    </row>
    <row r="454" spans="15:20" ht="11.25" customHeight="1" x14ac:dyDescent="0.35">
      <c r="O454" s="388" t="s">
        <v>5463</v>
      </c>
      <c r="P454" s="389" t="s">
        <v>5374</v>
      </c>
      <c r="Q454" s="389" t="str">
        <f t="shared" si="15"/>
        <v>2011Y</v>
      </c>
      <c r="R454" s="390" t="str">
        <f>[1]!SNLLabel(287,324672,,"&lt;&gt;367")</f>
        <v>AR: Other Lines of Business</v>
      </c>
      <c r="S454" s="366"/>
      <c r="T454" s="391" t="s">
        <v>29</v>
      </c>
    </row>
    <row r="455" spans="15:20" ht="11.25" customHeight="1" x14ac:dyDescent="0.35">
      <c r="O455" s="388" t="s">
        <v>5463</v>
      </c>
      <c r="P455" s="389" t="s">
        <v>5374</v>
      </c>
      <c r="Q455" s="389" t="str">
        <f t="shared" si="15"/>
        <v>2011Y</v>
      </c>
      <c r="R455" s="390" t="str">
        <f>[1]!SNLLabel(287,324672,,"&lt;&gt;368")</f>
        <v>AR: YRT Mortality Risk Only</v>
      </c>
      <c r="S455" s="366"/>
      <c r="T455" s="391" t="s">
        <v>29</v>
      </c>
    </row>
    <row r="456" spans="15:20" ht="11.25" customHeight="1" x14ac:dyDescent="0.35">
      <c r="O456" s="388" t="s">
        <v>5463</v>
      </c>
      <c r="P456" s="389" t="s">
        <v>5374</v>
      </c>
      <c r="Q456" s="389" t="str">
        <f t="shared" si="15"/>
        <v>2011Y</v>
      </c>
      <c r="R456" s="390" t="str">
        <f>[1]!SNLLabel(287,324672,,"&lt;&gt;369")</f>
        <v>AR: Individual and Group Life</v>
      </c>
      <c r="S456" s="366"/>
      <c r="T456" s="391" t="s">
        <v>29</v>
      </c>
    </row>
    <row r="457" spans="15:20" ht="11.25" customHeight="1" x14ac:dyDescent="0.35">
      <c r="O457" s="367" t="s">
        <v>5463</v>
      </c>
      <c r="P457" s="368" t="s">
        <v>5374</v>
      </c>
      <c r="Q457" s="368" t="str">
        <f t="shared" si="15"/>
        <v>2011Y</v>
      </c>
      <c r="R457" s="369" t="str">
        <f>[1]!SNLLabel(287,324672,,"&lt;&gt;370")</f>
        <v>AR: Individual and Group Annuities</v>
      </c>
      <c r="S457" s="370"/>
      <c r="T457" s="371" t="s">
        <v>29</v>
      </c>
    </row>
    <row r="458" spans="15:20" ht="11.25" customHeight="1" x14ac:dyDescent="0.35">
      <c r="O458" s="384" t="s">
        <v>5463</v>
      </c>
      <c r="P458" s="385" t="s">
        <v>5374</v>
      </c>
      <c r="Q458" s="385" t="str">
        <f t="shared" ref="Q458:Q468" si="16">LEFT(Period,4)-4&amp;"Y"</f>
        <v>2010Y</v>
      </c>
      <c r="R458" s="386" t="str">
        <f>[1]!SNLLabel(287,324672,,"&lt;&gt;360")</f>
        <v>AR: Analysis of Operations All Lines</v>
      </c>
      <c r="S458" s="365"/>
      <c r="T458" s="387" t="s">
        <v>29</v>
      </c>
    </row>
    <row r="459" spans="15:20" ht="11.25" customHeight="1" x14ac:dyDescent="0.35">
      <c r="O459" s="388" t="s">
        <v>5463</v>
      </c>
      <c r="P459" s="389" t="s">
        <v>5374</v>
      </c>
      <c r="Q459" s="389" t="str">
        <f t="shared" si="16"/>
        <v>2010Y</v>
      </c>
      <c r="R459" s="390" t="str">
        <f>[1]!SNLLabel(287,324672,,"&lt;&gt;361")</f>
        <v>AR: Individual Life</v>
      </c>
      <c r="S459" s="366"/>
      <c r="T459" s="391" t="s">
        <v>29</v>
      </c>
    </row>
    <row r="460" spans="15:20" ht="11.25" customHeight="1" x14ac:dyDescent="0.35">
      <c r="O460" s="388" t="s">
        <v>5463</v>
      </c>
      <c r="P460" s="389" t="s">
        <v>5374</v>
      </c>
      <c r="Q460" s="389" t="str">
        <f t="shared" si="16"/>
        <v>2010Y</v>
      </c>
      <c r="R460" s="390" t="str">
        <f>[1]!SNLLabel(287,324672,,"&lt;&gt;362")</f>
        <v>AR: Group Life</v>
      </c>
      <c r="S460" s="366"/>
      <c r="T460" s="391" t="s">
        <v>29</v>
      </c>
    </row>
    <row r="461" spans="15:20" ht="11.25" customHeight="1" x14ac:dyDescent="0.35">
      <c r="O461" s="388" t="s">
        <v>5463</v>
      </c>
      <c r="P461" s="389" t="s">
        <v>5374</v>
      </c>
      <c r="Q461" s="389" t="str">
        <f t="shared" si="16"/>
        <v>2010Y</v>
      </c>
      <c r="R461" s="390" t="str">
        <f>[1]!SNLLabel(287,324672,,"&lt;&gt;363")</f>
        <v>AR: Individual Annuities</v>
      </c>
      <c r="S461" s="366"/>
      <c r="T461" s="391" t="s">
        <v>29</v>
      </c>
    </row>
    <row r="462" spans="15:20" ht="11.25" customHeight="1" x14ac:dyDescent="0.35">
      <c r="O462" s="388" t="s">
        <v>5463</v>
      </c>
      <c r="P462" s="389" t="s">
        <v>5374</v>
      </c>
      <c r="Q462" s="389" t="str">
        <f t="shared" si="16"/>
        <v>2010Y</v>
      </c>
      <c r="R462" s="390" t="str">
        <f>[1]!SNLLabel(287,324672,,"&lt;&gt;364")</f>
        <v>AR: Group Annuities</v>
      </c>
      <c r="S462" s="366"/>
      <c r="T462" s="391" t="s">
        <v>29</v>
      </c>
    </row>
    <row r="463" spans="15:20" ht="11.25" customHeight="1" x14ac:dyDescent="0.35">
      <c r="O463" s="388" t="s">
        <v>5463</v>
      </c>
      <c r="P463" s="389" t="s">
        <v>5374</v>
      </c>
      <c r="Q463" s="389" t="str">
        <f t="shared" si="16"/>
        <v>2010Y</v>
      </c>
      <c r="R463" s="390" t="str">
        <f>[1]!SNLLabel(287,324672,,"&lt;&gt;365")</f>
        <v>AR: Accident and Health</v>
      </c>
      <c r="S463" s="366"/>
      <c r="T463" s="391" t="s">
        <v>29</v>
      </c>
    </row>
    <row r="464" spans="15:20" ht="11.25" customHeight="1" x14ac:dyDescent="0.35">
      <c r="O464" s="388" t="s">
        <v>5463</v>
      </c>
      <c r="P464" s="389" t="s">
        <v>5374</v>
      </c>
      <c r="Q464" s="389" t="str">
        <f t="shared" si="16"/>
        <v>2010Y</v>
      </c>
      <c r="R464" s="390" t="str">
        <f>[1]!SNLLabel(287,324672,,"&lt;&gt;366")</f>
        <v>AR: Fraternal</v>
      </c>
      <c r="S464" s="366"/>
      <c r="T464" s="391" t="s">
        <v>29</v>
      </c>
    </row>
    <row r="465" spans="15:20" ht="11.25" customHeight="1" x14ac:dyDescent="0.35">
      <c r="O465" s="388" t="s">
        <v>5463</v>
      </c>
      <c r="P465" s="389" t="s">
        <v>5374</v>
      </c>
      <c r="Q465" s="389" t="str">
        <f t="shared" si="16"/>
        <v>2010Y</v>
      </c>
      <c r="R465" s="390" t="str">
        <f>[1]!SNLLabel(287,324672,,"&lt;&gt;367")</f>
        <v>AR: Other Lines of Business</v>
      </c>
      <c r="S465" s="366"/>
      <c r="T465" s="391" t="s">
        <v>29</v>
      </c>
    </row>
    <row r="466" spans="15:20" ht="11.25" customHeight="1" x14ac:dyDescent="0.35">
      <c r="O466" s="388" t="s">
        <v>5463</v>
      </c>
      <c r="P466" s="389" t="s">
        <v>5374</v>
      </c>
      <c r="Q466" s="389" t="str">
        <f t="shared" si="16"/>
        <v>2010Y</v>
      </c>
      <c r="R466" s="390" t="str">
        <f>[1]!SNLLabel(287,324672,,"&lt;&gt;368")</f>
        <v>AR: YRT Mortality Risk Only</v>
      </c>
      <c r="S466" s="366"/>
      <c r="T466" s="391" t="s">
        <v>29</v>
      </c>
    </row>
    <row r="467" spans="15:20" ht="11.25" customHeight="1" x14ac:dyDescent="0.35">
      <c r="O467" s="388" t="s">
        <v>5463</v>
      </c>
      <c r="P467" s="389" t="s">
        <v>5374</v>
      </c>
      <c r="Q467" s="389" t="str">
        <f t="shared" si="16"/>
        <v>2010Y</v>
      </c>
      <c r="R467" s="390" t="str">
        <f>[1]!SNLLabel(287,324672,,"&lt;&gt;369")</f>
        <v>AR: Individual and Group Life</v>
      </c>
      <c r="S467" s="366"/>
      <c r="T467" s="391" t="s">
        <v>29</v>
      </c>
    </row>
    <row r="468" spans="15:20" ht="11.25" customHeight="1" x14ac:dyDescent="0.35">
      <c r="O468" s="367" t="s">
        <v>5463</v>
      </c>
      <c r="P468" s="368" t="s">
        <v>5374</v>
      </c>
      <c r="Q468" s="368" t="str">
        <f t="shared" si="16"/>
        <v>2010Y</v>
      </c>
      <c r="R468" s="369" t="str">
        <f>[1]!SNLLabel(287,324672,,"&lt;&gt;370")</f>
        <v>AR: Individual and Group Annuities</v>
      </c>
      <c r="S468" s="370"/>
      <c r="T468" s="371" t="s">
        <v>29</v>
      </c>
    </row>
    <row r="469" spans="15:20" ht="11.25" customHeight="1" x14ac:dyDescent="0.35">
      <c r="O469" s="377"/>
      <c r="P469" s="378"/>
      <c r="Q469" s="378"/>
      <c r="R469" s="379"/>
      <c r="S469" s="375"/>
      <c r="T469" s="380"/>
    </row>
    <row r="470" spans="15:20" ht="11.25" customHeight="1" x14ac:dyDescent="0.35">
      <c r="O470" s="384" t="s">
        <v>5464</v>
      </c>
      <c r="P470" s="385" t="s">
        <v>5375</v>
      </c>
      <c r="Q470" s="385" t="str">
        <f t="shared" ref="Q470:Q480" si="17">Period</f>
        <v>2014Y</v>
      </c>
      <c r="R470" s="386" t="str">
        <f>[1]!SNLLabel(287,324673,,"&lt;&gt;360")</f>
        <v>AR: Analysis of Operations All Lines</v>
      </c>
      <c r="S470" s="365"/>
      <c r="T470" s="387" t="s">
        <v>29</v>
      </c>
    </row>
    <row r="471" spans="15:20" ht="11.25" customHeight="1" x14ac:dyDescent="0.35">
      <c r="O471" s="388" t="s">
        <v>5464</v>
      </c>
      <c r="P471" s="389" t="s">
        <v>5375</v>
      </c>
      <c r="Q471" s="389" t="str">
        <f t="shared" si="17"/>
        <v>2014Y</v>
      </c>
      <c r="R471" s="390" t="str">
        <f>[1]!SNLLabel(287,324673,,"&lt;&gt;361")</f>
        <v>AR: Individual Life</v>
      </c>
      <c r="S471" s="366"/>
      <c r="T471" s="391" t="s">
        <v>29</v>
      </c>
    </row>
    <row r="472" spans="15:20" ht="11.25" customHeight="1" x14ac:dyDescent="0.35">
      <c r="O472" s="388" t="s">
        <v>5464</v>
      </c>
      <c r="P472" s="389" t="s">
        <v>5375</v>
      </c>
      <c r="Q472" s="389" t="str">
        <f t="shared" si="17"/>
        <v>2014Y</v>
      </c>
      <c r="R472" s="390" t="str">
        <f>[1]!SNLLabel(287,324673,,"&lt;&gt;362")</f>
        <v>AR: Group Life</v>
      </c>
      <c r="S472" s="366"/>
      <c r="T472" s="391" t="s">
        <v>29</v>
      </c>
    </row>
    <row r="473" spans="15:20" ht="11.25" customHeight="1" x14ac:dyDescent="0.35">
      <c r="O473" s="388" t="s">
        <v>5464</v>
      </c>
      <c r="P473" s="389" t="s">
        <v>5375</v>
      </c>
      <c r="Q473" s="389" t="str">
        <f t="shared" si="17"/>
        <v>2014Y</v>
      </c>
      <c r="R473" s="390" t="str">
        <f>[1]!SNLLabel(287,324673,,"&lt;&gt;363")</f>
        <v>AR: Individual Annuities</v>
      </c>
      <c r="S473" s="366"/>
      <c r="T473" s="391" t="s">
        <v>29</v>
      </c>
    </row>
    <row r="474" spans="15:20" ht="11.25" customHeight="1" x14ac:dyDescent="0.35">
      <c r="O474" s="388" t="s">
        <v>5464</v>
      </c>
      <c r="P474" s="389" t="s">
        <v>5375</v>
      </c>
      <c r="Q474" s="389" t="str">
        <f t="shared" si="17"/>
        <v>2014Y</v>
      </c>
      <c r="R474" s="390" t="str">
        <f>[1]!SNLLabel(287,324673,,"&lt;&gt;364")</f>
        <v>AR: Group Annuities</v>
      </c>
      <c r="S474" s="366"/>
      <c r="T474" s="391" t="s">
        <v>29</v>
      </c>
    </row>
    <row r="475" spans="15:20" ht="11.25" customHeight="1" x14ac:dyDescent="0.35">
      <c r="O475" s="388" t="s">
        <v>5464</v>
      </c>
      <c r="P475" s="389" t="s">
        <v>5375</v>
      </c>
      <c r="Q475" s="389" t="str">
        <f t="shared" si="17"/>
        <v>2014Y</v>
      </c>
      <c r="R475" s="390" t="str">
        <f>[1]!SNLLabel(287,324673,,"&lt;&gt;365")</f>
        <v>AR: Accident and Health</v>
      </c>
      <c r="S475" s="366"/>
      <c r="T475" s="391" t="s">
        <v>29</v>
      </c>
    </row>
    <row r="476" spans="15:20" ht="11.25" customHeight="1" x14ac:dyDescent="0.35">
      <c r="O476" s="388" t="s">
        <v>5464</v>
      </c>
      <c r="P476" s="389" t="s">
        <v>5375</v>
      </c>
      <c r="Q476" s="389" t="str">
        <f t="shared" si="17"/>
        <v>2014Y</v>
      </c>
      <c r="R476" s="390" t="str">
        <f>[1]!SNLLabel(287,324673,,"&lt;&gt;366")</f>
        <v>AR: Fraternal</v>
      </c>
      <c r="S476" s="366"/>
      <c r="T476" s="391" t="s">
        <v>29</v>
      </c>
    </row>
    <row r="477" spans="15:20" ht="11.25" customHeight="1" x14ac:dyDescent="0.35">
      <c r="O477" s="388" t="s">
        <v>5464</v>
      </c>
      <c r="P477" s="389" t="s">
        <v>5375</v>
      </c>
      <c r="Q477" s="389" t="str">
        <f t="shared" si="17"/>
        <v>2014Y</v>
      </c>
      <c r="R477" s="390" t="str">
        <f>[1]!SNLLabel(287,324673,,"&lt;&gt;367")</f>
        <v>AR: Other Lines of Business</v>
      </c>
      <c r="S477" s="366"/>
      <c r="T477" s="391" t="s">
        <v>29</v>
      </c>
    </row>
    <row r="478" spans="15:20" ht="11.25" customHeight="1" x14ac:dyDescent="0.35">
      <c r="O478" s="388" t="s">
        <v>5464</v>
      </c>
      <c r="P478" s="389" t="s">
        <v>5375</v>
      </c>
      <c r="Q478" s="389" t="str">
        <f t="shared" si="17"/>
        <v>2014Y</v>
      </c>
      <c r="R478" s="390" t="str">
        <f>[1]!SNLLabel(287,324673,,"&lt;&gt;368")</f>
        <v>AR: YRT Mortality Risk Only</v>
      </c>
      <c r="S478" s="366"/>
      <c r="T478" s="391" t="s">
        <v>29</v>
      </c>
    </row>
    <row r="479" spans="15:20" ht="11.25" customHeight="1" x14ac:dyDescent="0.35">
      <c r="O479" s="388" t="s">
        <v>5464</v>
      </c>
      <c r="P479" s="389" t="s">
        <v>5375</v>
      </c>
      <c r="Q479" s="389" t="str">
        <f t="shared" si="17"/>
        <v>2014Y</v>
      </c>
      <c r="R479" s="390" t="str">
        <f>[1]!SNLLabel(287,324673,,"&lt;&gt;369")</f>
        <v>AR: Individual and Group Life</v>
      </c>
      <c r="S479" s="366"/>
      <c r="T479" s="391" t="s">
        <v>29</v>
      </c>
    </row>
    <row r="480" spans="15:20" ht="11.25" customHeight="1" x14ac:dyDescent="0.35">
      <c r="O480" s="367" t="s">
        <v>5464</v>
      </c>
      <c r="P480" s="368" t="s">
        <v>5375</v>
      </c>
      <c r="Q480" s="368" t="str">
        <f t="shared" si="17"/>
        <v>2014Y</v>
      </c>
      <c r="R480" s="369" t="str">
        <f>[1]!SNLLabel(287,324673,,"&lt;&gt;370")</f>
        <v>AR: Individual and Group Annuities</v>
      </c>
      <c r="S480" s="370"/>
      <c r="T480" s="371" t="s">
        <v>29</v>
      </c>
    </row>
    <row r="481" spans="15:20" ht="11.25" customHeight="1" x14ac:dyDescent="0.35">
      <c r="O481" s="384" t="s">
        <v>5464</v>
      </c>
      <c r="P481" s="385" t="s">
        <v>5375</v>
      </c>
      <c r="Q481" s="385" t="str">
        <f t="shared" ref="Q481:Q491" si="18">LEFT(Period,4)-1&amp;"Y"</f>
        <v>2013Y</v>
      </c>
      <c r="R481" s="386" t="str">
        <f>[1]!SNLLabel(287,324673,,"&lt;&gt;360")</f>
        <v>AR: Analysis of Operations All Lines</v>
      </c>
      <c r="S481" s="365"/>
      <c r="T481" s="387" t="s">
        <v>29</v>
      </c>
    </row>
    <row r="482" spans="15:20" ht="11.25" customHeight="1" x14ac:dyDescent="0.35">
      <c r="O482" s="388" t="s">
        <v>5464</v>
      </c>
      <c r="P482" s="389" t="s">
        <v>5375</v>
      </c>
      <c r="Q482" s="389" t="str">
        <f t="shared" si="18"/>
        <v>2013Y</v>
      </c>
      <c r="R482" s="390" t="str">
        <f>[1]!SNLLabel(287,324673,,"&lt;&gt;361")</f>
        <v>AR: Individual Life</v>
      </c>
      <c r="S482" s="366"/>
      <c r="T482" s="391" t="s">
        <v>29</v>
      </c>
    </row>
    <row r="483" spans="15:20" ht="11.25" customHeight="1" x14ac:dyDescent="0.35">
      <c r="O483" s="388" t="s">
        <v>5464</v>
      </c>
      <c r="P483" s="389" t="s">
        <v>5375</v>
      </c>
      <c r="Q483" s="389" t="str">
        <f t="shared" si="18"/>
        <v>2013Y</v>
      </c>
      <c r="R483" s="390" t="str">
        <f>[1]!SNLLabel(287,324673,,"&lt;&gt;362")</f>
        <v>AR: Group Life</v>
      </c>
      <c r="S483" s="366"/>
      <c r="T483" s="391" t="s">
        <v>29</v>
      </c>
    </row>
    <row r="484" spans="15:20" ht="11.25" customHeight="1" x14ac:dyDescent="0.35">
      <c r="O484" s="388" t="s">
        <v>5464</v>
      </c>
      <c r="P484" s="389" t="s">
        <v>5375</v>
      </c>
      <c r="Q484" s="389" t="str">
        <f t="shared" si="18"/>
        <v>2013Y</v>
      </c>
      <c r="R484" s="390" t="str">
        <f>[1]!SNLLabel(287,324673,,"&lt;&gt;363")</f>
        <v>AR: Individual Annuities</v>
      </c>
      <c r="S484" s="366"/>
      <c r="T484" s="391" t="s">
        <v>29</v>
      </c>
    </row>
    <row r="485" spans="15:20" ht="11.25" customHeight="1" x14ac:dyDescent="0.35">
      <c r="O485" s="388" t="s">
        <v>5464</v>
      </c>
      <c r="P485" s="389" t="s">
        <v>5375</v>
      </c>
      <c r="Q485" s="389" t="str">
        <f t="shared" si="18"/>
        <v>2013Y</v>
      </c>
      <c r="R485" s="390" t="str">
        <f>[1]!SNLLabel(287,324673,,"&lt;&gt;364")</f>
        <v>AR: Group Annuities</v>
      </c>
      <c r="S485" s="366"/>
      <c r="T485" s="391" t="s">
        <v>29</v>
      </c>
    </row>
    <row r="486" spans="15:20" ht="11.25" customHeight="1" x14ac:dyDescent="0.35">
      <c r="O486" s="388" t="s">
        <v>5464</v>
      </c>
      <c r="P486" s="389" t="s">
        <v>5375</v>
      </c>
      <c r="Q486" s="389" t="str">
        <f t="shared" si="18"/>
        <v>2013Y</v>
      </c>
      <c r="R486" s="390" t="str">
        <f>[1]!SNLLabel(287,324673,,"&lt;&gt;365")</f>
        <v>AR: Accident and Health</v>
      </c>
      <c r="S486" s="366"/>
      <c r="T486" s="391" t="s">
        <v>29</v>
      </c>
    </row>
    <row r="487" spans="15:20" ht="11.25" customHeight="1" x14ac:dyDescent="0.35">
      <c r="O487" s="388" t="s">
        <v>5464</v>
      </c>
      <c r="P487" s="389" t="s">
        <v>5375</v>
      </c>
      <c r="Q487" s="389" t="str">
        <f t="shared" si="18"/>
        <v>2013Y</v>
      </c>
      <c r="R487" s="390" t="str">
        <f>[1]!SNLLabel(287,324673,,"&lt;&gt;366")</f>
        <v>AR: Fraternal</v>
      </c>
      <c r="S487" s="366"/>
      <c r="T487" s="391" t="s">
        <v>29</v>
      </c>
    </row>
    <row r="488" spans="15:20" ht="11.25" customHeight="1" x14ac:dyDescent="0.35">
      <c r="O488" s="388" t="s">
        <v>5464</v>
      </c>
      <c r="P488" s="389" t="s">
        <v>5375</v>
      </c>
      <c r="Q488" s="389" t="str">
        <f t="shared" si="18"/>
        <v>2013Y</v>
      </c>
      <c r="R488" s="390" t="str">
        <f>[1]!SNLLabel(287,324673,,"&lt;&gt;367")</f>
        <v>AR: Other Lines of Business</v>
      </c>
      <c r="S488" s="366"/>
      <c r="T488" s="391" t="s">
        <v>29</v>
      </c>
    </row>
    <row r="489" spans="15:20" ht="11.25" customHeight="1" x14ac:dyDescent="0.35">
      <c r="O489" s="388" t="s">
        <v>5464</v>
      </c>
      <c r="P489" s="389" t="s">
        <v>5375</v>
      </c>
      <c r="Q489" s="389" t="str">
        <f t="shared" si="18"/>
        <v>2013Y</v>
      </c>
      <c r="R489" s="390" t="str">
        <f>[1]!SNLLabel(287,324673,,"&lt;&gt;368")</f>
        <v>AR: YRT Mortality Risk Only</v>
      </c>
      <c r="S489" s="366"/>
      <c r="T489" s="391" t="s">
        <v>29</v>
      </c>
    </row>
    <row r="490" spans="15:20" ht="11.25" customHeight="1" x14ac:dyDescent="0.35">
      <c r="O490" s="388" t="s">
        <v>5464</v>
      </c>
      <c r="P490" s="389" t="s">
        <v>5375</v>
      </c>
      <c r="Q490" s="389" t="str">
        <f t="shared" si="18"/>
        <v>2013Y</v>
      </c>
      <c r="R490" s="390" t="str">
        <f>[1]!SNLLabel(287,324673,,"&lt;&gt;369")</f>
        <v>AR: Individual and Group Life</v>
      </c>
      <c r="S490" s="366"/>
      <c r="T490" s="391" t="s">
        <v>29</v>
      </c>
    </row>
    <row r="491" spans="15:20" ht="11.25" customHeight="1" x14ac:dyDescent="0.35">
      <c r="O491" s="367" t="s">
        <v>5464</v>
      </c>
      <c r="P491" s="368" t="s">
        <v>5375</v>
      </c>
      <c r="Q491" s="368" t="str">
        <f t="shared" si="18"/>
        <v>2013Y</v>
      </c>
      <c r="R491" s="369" t="str">
        <f>[1]!SNLLabel(287,324673,,"&lt;&gt;370")</f>
        <v>AR: Individual and Group Annuities</v>
      </c>
      <c r="S491" s="370"/>
      <c r="T491" s="371" t="s">
        <v>29</v>
      </c>
    </row>
    <row r="492" spans="15:20" ht="11.25" customHeight="1" x14ac:dyDescent="0.35">
      <c r="O492" s="384" t="s">
        <v>5464</v>
      </c>
      <c r="P492" s="385" t="s">
        <v>5375</v>
      </c>
      <c r="Q492" s="385" t="str">
        <f t="shared" ref="Q492:Q502" si="19">LEFT(Period,4)-2&amp;"Y"</f>
        <v>2012Y</v>
      </c>
      <c r="R492" s="386" t="str">
        <f>[1]!SNLLabel(287,324673,,"&lt;&gt;360")</f>
        <v>AR: Analysis of Operations All Lines</v>
      </c>
      <c r="S492" s="365"/>
      <c r="T492" s="387" t="s">
        <v>29</v>
      </c>
    </row>
    <row r="493" spans="15:20" ht="11.25" customHeight="1" x14ac:dyDescent="0.35">
      <c r="O493" s="388" t="s">
        <v>5464</v>
      </c>
      <c r="P493" s="389" t="s">
        <v>5375</v>
      </c>
      <c r="Q493" s="389" t="str">
        <f t="shared" si="19"/>
        <v>2012Y</v>
      </c>
      <c r="R493" s="390" t="str">
        <f>[1]!SNLLabel(287,324673,,"&lt;&gt;361")</f>
        <v>AR: Individual Life</v>
      </c>
      <c r="S493" s="366"/>
      <c r="T493" s="391" t="s">
        <v>29</v>
      </c>
    </row>
    <row r="494" spans="15:20" ht="11.25" customHeight="1" x14ac:dyDescent="0.35">
      <c r="O494" s="388" t="s">
        <v>5464</v>
      </c>
      <c r="P494" s="389" t="s">
        <v>5375</v>
      </c>
      <c r="Q494" s="389" t="str">
        <f t="shared" si="19"/>
        <v>2012Y</v>
      </c>
      <c r="R494" s="390" t="str">
        <f>[1]!SNLLabel(287,324673,,"&lt;&gt;362")</f>
        <v>AR: Group Life</v>
      </c>
      <c r="S494" s="366"/>
      <c r="T494" s="391" t="s">
        <v>29</v>
      </c>
    </row>
    <row r="495" spans="15:20" ht="11.25" customHeight="1" x14ac:dyDescent="0.35">
      <c r="O495" s="388" t="s">
        <v>5464</v>
      </c>
      <c r="P495" s="389" t="s">
        <v>5375</v>
      </c>
      <c r="Q495" s="389" t="str">
        <f t="shared" si="19"/>
        <v>2012Y</v>
      </c>
      <c r="R495" s="390" t="str">
        <f>[1]!SNLLabel(287,324673,,"&lt;&gt;363")</f>
        <v>AR: Individual Annuities</v>
      </c>
      <c r="S495" s="366"/>
      <c r="T495" s="391" t="s">
        <v>29</v>
      </c>
    </row>
    <row r="496" spans="15:20" ht="11.25" customHeight="1" x14ac:dyDescent="0.35">
      <c r="O496" s="388" t="s">
        <v>5464</v>
      </c>
      <c r="P496" s="389" t="s">
        <v>5375</v>
      </c>
      <c r="Q496" s="389" t="str">
        <f t="shared" si="19"/>
        <v>2012Y</v>
      </c>
      <c r="R496" s="390" t="str">
        <f>[1]!SNLLabel(287,324673,,"&lt;&gt;364")</f>
        <v>AR: Group Annuities</v>
      </c>
      <c r="S496" s="366"/>
      <c r="T496" s="391" t="s">
        <v>29</v>
      </c>
    </row>
    <row r="497" spans="15:20" ht="11.25" customHeight="1" x14ac:dyDescent="0.35">
      <c r="O497" s="388" t="s">
        <v>5464</v>
      </c>
      <c r="P497" s="389" t="s">
        <v>5375</v>
      </c>
      <c r="Q497" s="389" t="str">
        <f t="shared" si="19"/>
        <v>2012Y</v>
      </c>
      <c r="R497" s="390" t="str">
        <f>[1]!SNLLabel(287,324673,,"&lt;&gt;365")</f>
        <v>AR: Accident and Health</v>
      </c>
      <c r="S497" s="366"/>
      <c r="T497" s="391" t="s">
        <v>29</v>
      </c>
    </row>
    <row r="498" spans="15:20" ht="11.25" customHeight="1" x14ac:dyDescent="0.35">
      <c r="O498" s="388" t="s">
        <v>5464</v>
      </c>
      <c r="P498" s="389" t="s">
        <v>5375</v>
      </c>
      <c r="Q498" s="389" t="str">
        <f t="shared" si="19"/>
        <v>2012Y</v>
      </c>
      <c r="R498" s="390" t="str">
        <f>[1]!SNLLabel(287,324673,,"&lt;&gt;366")</f>
        <v>AR: Fraternal</v>
      </c>
      <c r="S498" s="366"/>
      <c r="T498" s="391" t="s">
        <v>29</v>
      </c>
    </row>
    <row r="499" spans="15:20" ht="11.25" customHeight="1" x14ac:dyDescent="0.35">
      <c r="O499" s="388" t="s">
        <v>5464</v>
      </c>
      <c r="P499" s="389" t="s">
        <v>5375</v>
      </c>
      <c r="Q499" s="389" t="str">
        <f t="shared" si="19"/>
        <v>2012Y</v>
      </c>
      <c r="R499" s="390" t="str">
        <f>[1]!SNLLabel(287,324673,,"&lt;&gt;367")</f>
        <v>AR: Other Lines of Business</v>
      </c>
      <c r="S499" s="366"/>
      <c r="T499" s="391" t="s">
        <v>29</v>
      </c>
    </row>
    <row r="500" spans="15:20" ht="11.25" customHeight="1" x14ac:dyDescent="0.35">
      <c r="O500" s="388" t="s">
        <v>5464</v>
      </c>
      <c r="P500" s="389" t="s">
        <v>5375</v>
      </c>
      <c r="Q500" s="389" t="str">
        <f t="shared" si="19"/>
        <v>2012Y</v>
      </c>
      <c r="R500" s="390" t="str">
        <f>[1]!SNLLabel(287,324673,,"&lt;&gt;368")</f>
        <v>AR: YRT Mortality Risk Only</v>
      </c>
      <c r="S500" s="366"/>
      <c r="T500" s="391" t="s">
        <v>29</v>
      </c>
    </row>
    <row r="501" spans="15:20" ht="11.25" customHeight="1" x14ac:dyDescent="0.35">
      <c r="O501" s="388" t="s">
        <v>5464</v>
      </c>
      <c r="P501" s="389" t="s">
        <v>5375</v>
      </c>
      <c r="Q501" s="389" t="str">
        <f t="shared" si="19"/>
        <v>2012Y</v>
      </c>
      <c r="R501" s="390" t="str">
        <f>[1]!SNLLabel(287,324673,,"&lt;&gt;369")</f>
        <v>AR: Individual and Group Life</v>
      </c>
      <c r="S501" s="366"/>
      <c r="T501" s="391" t="s">
        <v>29</v>
      </c>
    </row>
    <row r="502" spans="15:20" ht="11.25" customHeight="1" x14ac:dyDescent="0.35">
      <c r="O502" s="367" t="s">
        <v>5464</v>
      </c>
      <c r="P502" s="368" t="s">
        <v>5375</v>
      </c>
      <c r="Q502" s="368" t="str">
        <f t="shared" si="19"/>
        <v>2012Y</v>
      </c>
      <c r="R502" s="369" t="str">
        <f>[1]!SNLLabel(287,324673,,"&lt;&gt;370")</f>
        <v>AR: Individual and Group Annuities</v>
      </c>
      <c r="S502" s="370"/>
      <c r="T502" s="371" t="s">
        <v>29</v>
      </c>
    </row>
    <row r="503" spans="15:20" ht="11.25" customHeight="1" x14ac:dyDescent="0.35">
      <c r="O503" s="384" t="s">
        <v>5464</v>
      </c>
      <c r="P503" s="385" t="s">
        <v>5375</v>
      </c>
      <c r="Q503" s="385" t="str">
        <f t="shared" ref="Q503:Q513" si="20">LEFT(Period,4)-3&amp;"Y"</f>
        <v>2011Y</v>
      </c>
      <c r="R503" s="386" t="str">
        <f>[1]!SNLLabel(287,324673,,"&lt;&gt;360")</f>
        <v>AR: Analysis of Operations All Lines</v>
      </c>
      <c r="S503" s="365"/>
      <c r="T503" s="387" t="s">
        <v>29</v>
      </c>
    </row>
    <row r="504" spans="15:20" ht="11.25" customHeight="1" x14ac:dyDescent="0.35">
      <c r="O504" s="388" t="s">
        <v>5464</v>
      </c>
      <c r="P504" s="389" t="s">
        <v>5375</v>
      </c>
      <c r="Q504" s="389" t="str">
        <f t="shared" si="20"/>
        <v>2011Y</v>
      </c>
      <c r="R504" s="390" t="str">
        <f>[1]!SNLLabel(287,324673,,"&lt;&gt;361")</f>
        <v>AR: Individual Life</v>
      </c>
      <c r="S504" s="366"/>
      <c r="T504" s="391" t="s">
        <v>29</v>
      </c>
    </row>
    <row r="505" spans="15:20" ht="11.25" customHeight="1" x14ac:dyDescent="0.35">
      <c r="O505" s="388" t="s">
        <v>5464</v>
      </c>
      <c r="P505" s="389" t="s">
        <v>5375</v>
      </c>
      <c r="Q505" s="389" t="str">
        <f t="shared" si="20"/>
        <v>2011Y</v>
      </c>
      <c r="R505" s="390" t="str">
        <f>[1]!SNLLabel(287,324673,,"&lt;&gt;362")</f>
        <v>AR: Group Life</v>
      </c>
      <c r="S505" s="366"/>
      <c r="T505" s="391" t="s">
        <v>29</v>
      </c>
    </row>
    <row r="506" spans="15:20" ht="11.25" customHeight="1" x14ac:dyDescent="0.35">
      <c r="O506" s="388" t="s">
        <v>5464</v>
      </c>
      <c r="P506" s="389" t="s">
        <v>5375</v>
      </c>
      <c r="Q506" s="389" t="str">
        <f t="shared" si="20"/>
        <v>2011Y</v>
      </c>
      <c r="R506" s="390" t="str">
        <f>[1]!SNLLabel(287,324673,,"&lt;&gt;363")</f>
        <v>AR: Individual Annuities</v>
      </c>
      <c r="S506" s="366"/>
      <c r="T506" s="391" t="s">
        <v>29</v>
      </c>
    </row>
    <row r="507" spans="15:20" ht="11.25" customHeight="1" x14ac:dyDescent="0.35">
      <c r="O507" s="388" t="s">
        <v>5464</v>
      </c>
      <c r="P507" s="389" t="s">
        <v>5375</v>
      </c>
      <c r="Q507" s="389" t="str">
        <f t="shared" si="20"/>
        <v>2011Y</v>
      </c>
      <c r="R507" s="390" t="str">
        <f>[1]!SNLLabel(287,324673,,"&lt;&gt;364")</f>
        <v>AR: Group Annuities</v>
      </c>
      <c r="S507" s="366"/>
      <c r="T507" s="391" t="s">
        <v>29</v>
      </c>
    </row>
    <row r="508" spans="15:20" ht="11.25" customHeight="1" x14ac:dyDescent="0.35">
      <c r="O508" s="388" t="s">
        <v>5464</v>
      </c>
      <c r="P508" s="389" t="s">
        <v>5375</v>
      </c>
      <c r="Q508" s="389" t="str">
        <f t="shared" si="20"/>
        <v>2011Y</v>
      </c>
      <c r="R508" s="390" t="str">
        <f>[1]!SNLLabel(287,324673,,"&lt;&gt;365")</f>
        <v>AR: Accident and Health</v>
      </c>
      <c r="S508" s="366"/>
      <c r="T508" s="391" t="s">
        <v>29</v>
      </c>
    </row>
    <row r="509" spans="15:20" ht="11.25" customHeight="1" x14ac:dyDescent="0.35">
      <c r="O509" s="388" t="s">
        <v>5464</v>
      </c>
      <c r="P509" s="389" t="s">
        <v>5375</v>
      </c>
      <c r="Q509" s="389" t="str">
        <f t="shared" si="20"/>
        <v>2011Y</v>
      </c>
      <c r="R509" s="390" t="str">
        <f>[1]!SNLLabel(287,324673,,"&lt;&gt;366")</f>
        <v>AR: Fraternal</v>
      </c>
      <c r="S509" s="366"/>
      <c r="T509" s="391" t="s">
        <v>29</v>
      </c>
    </row>
    <row r="510" spans="15:20" ht="11.25" customHeight="1" x14ac:dyDescent="0.35">
      <c r="O510" s="388" t="s">
        <v>5464</v>
      </c>
      <c r="P510" s="389" t="s">
        <v>5375</v>
      </c>
      <c r="Q510" s="389" t="str">
        <f t="shared" si="20"/>
        <v>2011Y</v>
      </c>
      <c r="R510" s="390" t="str">
        <f>[1]!SNLLabel(287,324673,,"&lt;&gt;367")</f>
        <v>AR: Other Lines of Business</v>
      </c>
      <c r="S510" s="366"/>
      <c r="T510" s="391" t="s">
        <v>29</v>
      </c>
    </row>
    <row r="511" spans="15:20" ht="11.25" customHeight="1" x14ac:dyDescent="0.35">
      <c r="O511" s="388" t="s">
        <v>5464</v>
      </c>
      <c r="P511" s="389" t="s">
        <v>5375</v>
      </c>
      <c r="Q511" s="389" t="str">
        <f t="shared" si="20"/>
        <v>2011Y</v>
      </c>
      <c r="R511" s="390" t="str">
        <f>[1]!SNLLabel(287,324673,,"&lt;&gt;368")</f>
        <v>AR: YRT Mortality Risk Only</v>
      </c>
      <c r="S511" s="366"/>
      <c r="T511" s="391" t="s">
        <v>29</v>
      </c>
    </row>
    <row r="512" spans="15:20" ht="11.25" customHeight="1" x14ac:dyDescent="0.35">
      <c r="O512" s="388" t="s">
        <v>5464</v>
      </c>
      <c r="P512" s="389" t="s">
        <v>5375</v>
      </c>
      <c r="Q512" s="389" t="str">
        <f t="shared" si="20"/>
        <v>2011Y</v>
      </c>
      <c r="R512" s="390" t="str">
        <f>[1]!SNLLabel(287,324673,,"&lt;&gt;369")</f>
        <v>AR: Individual and Group Life</v>
      </c>
      <c r="S512" s="366"/>
      <c r="T512" s="391" t="s">
        <v>29</v>
      </c>
    </row>
    <row r="513" spans="15:20" ht="11.25" customHeight="1" x14ac:dyDescent="0.35">
      <c r="O513" s="367" t="s">
        <v>5464</v>
      </c>
      <c r="P513" s="368" t="s">
        <v>5375</v>
      </c>
      <c r="Q513" s="368" t="str">
        <f t="shared" si="20"/>
        <v>2011Y</v>
      </c>
      <c r="R513" s="369" t="str">
        <f>[1]!SNLLabel(287,324673,,"&lt;&gt;370")</f>
        <v>AR: Individual and Group Annuities</v>
      </c>
      <c r="S513" s="370"/>
      <c r="T513" s="371" t="s">
        <v>29</v>
      </c>
    </row>
    <row r="514" spans="15:20" ht="11.25" customHeight="1" x14ac:dyDescent="0.35">
      <c r="O514" s="384" t="s">
        <v>5464</v>
      </c>
      <c r="P514" s="385" t="s">
        <v>5375</v>
      </c>
      <c r="Q514" s="385" t="str">
        <f t="shared" ref="Q514:Q524" si="21">LEFT(Period,4)-4&amp;"Y"</f>
        <v>2010Y</v>
      </c>
      <c r="R514" s="386" t="str">
        <f>[1]!SNLLabel(287,324673,,"&lt;&gt;360")</f>
        <v>AR: Analysis of Operations All Lines</v>
      </c>
      <c r="S514" s="365"/>
      <c r="T514" s="387" t="s">
        <v>29</v>
      </c>
    </row>
    <row r="515" spans="15:20" ht="11.25" customHeight="1" x14ac:dyDescent="0.35">
      <c r="O515" s="388" t="s">
        <v>5464</v>
      </c>
      <c r="P515" s="389" t="s">
        <v>5375</v>
      </c>
      <c r="Q515" s="389" t="str">
        <f t="shared" si="21"/>
        <v>2010Y</v>
      </c>
      <c r="R515" s="390" t="str">
        <f>[1]!SNLLabel(287,324673,,"&lt;&gt;361")</f>
        <v>AR: Individual Life</v>
      </c>
      <c r="S515" s="366"/>
      <c r="T515" s="391" t="s">
        <v>29</v>
      </c>
    </row>
    <row r="516" spans="15:20" ht="11.25" customHeight="1" x14ac:dyDescent="0.35">
      <c r="O516" s="388" t="s">
        <v>5464</v>
      </c>
      <c r="P516" s="389" t="s">
        <v>5375</v>
      </c>
      <c r="Q516" s="389" t="str">
        <f t="shared" si="21"/>
        <v>2010Y</v>
      </c>
      <c r="R516" s="390" t="str">
        <f>[1]!SNLLabel(287,324673,,"&lt;&gt;362")</f>
        <v>AR: Group Life</v>
      </c>
      <c r="S516" s="366"/>
      <c r="T516" s="391" t="s">
        <v>29</v>
      </c>
    </row>
    <row r="517" spans="15:20" ht="11.25" customHeight="1" x14ac:dyDescent="0.35">
      <c r="O517" s="388" t="s">
        <v>5464</v>
      </c>
      <c r="P517" s="389" t="s">
        <v>5375</v>
      </c>
      <c r="Q517" s="389" t="str">
        <f t="shared" si="21"/>
        <v>2010Y</v>
      </c>
      <c r="R517" s="390" t="str">
        <f>[1]!SNLLabel(287,324673,,"&lt;&gt;363")</f>
        <v>AR: Individual Annuities</v>
      </c>
      <c r="S517" s="366"/>
      <c r="T517" s="391" t="s">
        <v>29</v>
      </c>
    </row>
    <row r="518" spans="15:20" ht="11.25" customHeight="1" x14ac:dyDescent="0.35">
      <c r="O518" s="388" t="s">
        <v>5464</v>
      </c>
      <c r="P518" s="389" t="s">
        <v>5375</v>
      </c>
      <c r="Q518" s="389" t="str">
        <f t="shared" si="21"/>
        <v>2010Y</v>
      </c>
      <c r="R518" s="390" t="str">
        <f>[1]!SNLLabel(287,324673,,"&lt;&gt;364")</f>
        <v>AR: Group Annuities</v>
      </c>
      <c r="S518" s="366"/>
      <c r="T518" s="391" t="s">
        <v>29</v>
      </c>
    </row>
    <row r="519" spans="15:20" ht="11.25" customHeight="1" x14ac:dyDescent="0.35">
      <c r="O519" s="388" t="s">
        <v>5464</v>
      </c>
      <c r="P519" s="389" t="s">
        <v>5375</v>
      </c>
      <c r="Q519" s="389" t="str">
        <f t="shared" si="21"/>
        <v>2010Y</v>
      </c>
      <c r="R519" s="390" t="str">
        <f>[1]!SNLLabel(287,324673,,"&lt;&gt;365")</f>
        <v>AR: Accident and Health</v>
      </c>
      <c r="S519" s="366"/>
      <c r="T519" s="391" t="s">
        <v>29</v>
      </c>
    </row>
    <row r="520" spans="15:20" ht="11.25" customHeight="1" x14ac:dyDescent="0.35">
      <c r="O520" s="388" t="s">
        <v>5464</v>
      </c>
      <c r="P520" s="389" t="s">
        <v>5375</v>
      </c>
      <c r="Q520" s="389" t="str">
        <f t="shared" si="21"/>
        <v>2010Y</v>
      </c>
      <c r="R520" s="390" t="str">
        <f>[1]!SNLLabel(287,324673,,"&lt;&gt;366")</f>
        <v>AR: Fraternal</v>
      </c>
      <c r="S520" s="366"/>
      <c r="T520" s="391" t="s">
        <v>29</v>
      </c>
    </row>
    <row r="521" spans="15:20" ht="11.25" customHeight="1" x14ac:dyDescent="0.35">
      <c r="O521" s="388" t="s">
        <v>5464</v>
      </c>
      <c r="P521" s="389" t="s">
        <v>5375</v>
      </c>
      <c r="Q521" s="389" t="str">
        <f t="shared" si="21"/>
        <v>2010Y</v>
      </c>
      <c r="R521" s="390" t="str">
        <f>[1]!SNLLabel(287,324673,,"&lt;&gt;367")</f>
        <v>AR: Other Lines of Business</v>
      </c>
      <c r="S521" s="366"/>
      <c r="T521" s="391" t="s">
        <v>29</v>
      </c>
    </row>
    <row r="522" spans="15:20" ht="11.25" customHeight="1" x14ac:dyDescent="0.35">
      <c r="O522" s="388" t="s">
        <v>5464</v>
      </c>
      <c r="P522" s="389" t="s">
        <v>5375</v>
      </c>
      <c r="Q522" s="389" t="str">
        <f t="shared" si="21"/>
        <v>2010Y</v>
      </c>
      <c r="R522" s="390" t="str">
        <f>[1]!SNLLabel(287,324673,,"&lt;&gt;368")</f>
        <v>AR: YRT Mortality Risk Only</v>
      </c>
      <c r="S522" s="366"/>
      <c r="T522" s="391" t="s">
        <v>29</v>
      </c>
    </row>
    <row r="523" spans="15:20" ht="11.25" customHeight="1" x14ac:dyDescent="0.35">
      <c r="O523" s="388" t="s">
        <v>5464</v>
      </c>
      <c r="P523" s="389" t="s">
        <v>5375</v>
      </c>
      <c r="Q523" s="389" t="str">
        <f t="shared" si="21"/>
        <v>2010Y</v>
      </c>
      <c r="R523" s="390" t="str">
        <f>[1]!SNLLabel(287,324673,,"&lt;&gt;369")</f>
        <v>AR: Individual and Group Life</v>
      </c>
      <c r="S523" s="366"/>
      <c r="T523" s="391" t="s">
        <v>29</v>
      </c>
    </row>
    <row r="524" spans="15:20" ht="11.25" customHeight="1" x14ac:dyDescent="0.35">
      <c r="O524" s="367" t="s">
        <v>5464</v>
      </c>
      <c r="P524" s="368" t="s">
        <v>5375</v>
      </c>
      <c r="Q524" s="368" t="str">
        <f t="shared" si="21"/>
        <v>2010Y</v>
      </c>
      <c r="R524" s="369" t="str">
        <f>[1]!SNLLabel(287,324673,,"&lt;&gt;370")</f>
        <v>AR: Individual and Group Annuities</v>
      </c>
      <c r="S524" s="370"/>
      <c r="T524" s="371" t="s">
        <v>29</v>
      </c>
    </row>
    <row r="525" spans="15:20" ht="11.25" customHeight="1" x14ac:dyDescent="0.35">
      <c r="O525" s="377"/>
      <c r="P525" s="378"/>
      <c r="Q525" s="378"/>
      <c r="R525" s="379"/>
      <c r="S525" s="375"/>
      <c r="T525" s="380"/>
    </row>
    <row r="526" spans="15:20" ht="11.25" customHeight="1" x14ac:dyDescent="0.35">
      <c r="O526" s="384" t="s">
        <v>5465</v>
      </c>
      <c r="P526" s="385" t="s">
        <v>5376</v>
      </c>
      <c r="Q526" s="385" t="str">
        <f t="shared" ref="Q526:Q536" si="22">Period</f>
        <v>2014Y</v>
      </c>
      <c r="R526" s="386" t="str">
        <f>[1]!SNLLabel(287,324674,,"&lt;&gt;360")</f>
        <v>AR: Analysis of Operations All Lines</v>
      </c>
      <c r="S526" s="365"/>
      <c r="T526" s="387" t="s">
        <v>29</v>
      </c>
    </row>
    <row r="527" spans="15:20" ht="11.25" customHeight="1" x14ac:dyDescent="0.35">
      <c r="O527" s="388" t="s">
        <v>5465</v>
      </c>
      <c r="P527" s="389" t="s">
        <v>5376</v>
      </c>
      <c r="Q527" s="389" t="str">
        <f t="shared" si="22"/>
        <v>2014Y</v>
      </c>
      <c r="R527" s="390" t="str">
        <f>[1]!SNLLabel(287,324674,,"&lt;&gt;361")</f>
        <v>AR: Individual Life</v>
      </c>
      <c r="S527" s="366"/>
      <c r="T527" s="391" t="s">
        <v>29</v>
      </c>
    </row>
    <row r="528" spans="15:20" ht="11.25" customHeight="1" x14ac:dyDescent="0.35">
      <c r="O528" s="388" t="s">
        <v>5465</v>
      </c>
      <c r="P528" s="389" t="s">
        <v>5376</v>
      </c>
      <c r="Q528" s="389" t="str">
        <f t="shared" si="22"/>
        <v>2014Y</v>
      </c>
      <c r="R528" s="390" t="str">
        <f>[1]!SNLLabel(287,324674,,"&lt;&gt;362")</f>
        <v>AR: Group Life</v>
      </c>
      <c r="S528" s="366"/>
      <c r="T528" s="391" t="s">
        <v>29</v>
      </c>
    </row>
    <row r="529" spans="15:20" ht="11.25" customHeight="1" x14ac:dyDescent="0.35">
      <c r="O529" s="388" t="s">
        <v>5465</v>
      </c>
      <c r="P529" s="389" t="s">
        <v>5376</v>
      </c>
      <c r="Q529" s="389" t="str">
        <f t="shared" si="22"/>
        <v>2014Y</v>
      </c>
      <c r="R529" s="390" t="str">
        <f>[1]!SNLLabel(287,324674,,"&lt;&gt;363")</f>
        <v>AR: Individual Annuities</v>
      </c>
      <c r="S529" s="366"/>
      <c r="T529" s="391" t="s">
        <v>29</v>
      </c>
    </row>
    <row r="530" spans="15:20" ht="11.25" customHeight="1" x14ac:dyDescent="0.35">
      <c r="O530" s="388" t="s">
        <v>5465</v>
      </c>
      <c r="P530" s="389" t="s">
        <v>5376</v>
      </c>
      <c r="Q530" s="389" t="str">
        <f t="shared" si="22"/>
        <v>2014Y</v>
      </c>
      <c r="R530" s="390" t="str">
        <f>[1]!SNLLabel(287,324674,,"&lt;&gt;364")</f>
        <v>AR: Group Annuities</v>
      </c>
      <c r="S530" s="366"/>
      <c r="T530" s="391" t="s">
        <v>29</v>
      </c>
    </row>
    <row r="531" spans="15:20" ht="11.25" customHeight="1" x14ac:dyDescent="0.35">
      <c r="O531" s="388" t="s">
        <v>5465</v>
      </c>
      <c r="P531" s="389" t="s">
        <v>5376</v>
      </c>
      <c r="Q531" s="389" t="str">
        <f t="shared" si="22"/>
        <v>2014Y</v>
      </c>
      <c r="R531" s="390" t="str">
        <f>[1]!SNLLabel(287,324674,,"&lt;&gt;365")</f>
        <v>AR: Accident and Health</v>
      </c>
      <c r="S531" s="366"/>
      <c r="T531" s="391" t="s">
        <v>29</v>
      </c>
    </row>
    <row r="532" spans="15:20" ht="11.25" customHeight="1" x14ac:dyDescent="0.35">
      <c r="O532" s="388" t="s">
        <v>5465</v>
      </c>
      <c r="P532" s="389" t="s">
        <v>5376</v>
      </c>
      <c r="Q532" s="389" t="str">
        <f t="shared" si="22"/>
        <v>2014Y</v>
      </c>
      <c r="R532" s="390" t="str">
        <f>[1]!SNLLabel(287,324674,,"&lt;&gt;366")</f>
        <v>AR: Fraternal</v>
      </c>
      <c r="S532" s="366"/>
      <c r="T532" s="391" t="s">
        <v>29</v>
      </c>
    </row>
    <row r="533" spans="15:20" ht="11.25" customHeight="1" x14ac:dyDescent="0.35">
      <c r="O533" s="388" t="s">
        <v>5465</v>
      </c>
      <c r="P533" s="389" t="s">
        <v>5376</v>
      </c>
      <c r="Q533" s="389" t="str">
        <f t="shared" si="22"/>
        <v>2014Y</v>
      </c>
      <c r="R533" s="390" t="str">
        <f>[1]!SNLLabel(287,324674,,"&lt;&gt;367")</f>
        <v>AR: Other Lines of Business</v>
      </c>
      <c r="S533" s="366"/>
      <c r="T533" s="391" t="s">
        <v>29</v>
      </c>
    </row>
    <row r="534" spans="15:20" ht="11.25" customHeight="1" x14ac:dyDescent="0.35">
      <c r="O534" s="388" t="s">
        <v>5465</v>
      </c>
      <c r="P534" s="389" t="s">
        <v>5376</v>
      </c>
      <c r="Q534" s="389" t="str">
        <f t="shared" si="22"/>
        <v>2014Y</v>
      </c>
      <c r="R534" s="390" t="str">
        <f>[1]!SNLLabel(287,324674,,"&lt;&gt;368")</f>
        <v>AR: YRT Mortality Risk Only</v>
      </c>
      <c r="S534" s="366"/>
      <c r="T534" s="391" t="s">
        <v>29</v>
      </c>
    </row>
    <row r="535" spans="15:20" ht="11.25" customHeight="1" x14ac:dyDescent="0.35">
      <c r="O535" s="388" t="s">
        <v>5465</v>
      </c>
      <c r="P535" s="389" t="s">
        <v>5376</v>
      </c>
      <c r="Q535" s="389" t="str">
        <f t="shared" si="22"/>
        <v>2014Y</v>
      </c>
      <c r="R535" s="390" t="str">
        <f>[1]!SNLLabel(287,324674,,"&lt;&gt;369")</f>
        <v>AR: Individual and Group Life</v>
      </c>
      <c r="S535" s="366"/>
      <c r="T535" s="391" t="s">
        <v>29</v>
      </c>
    </row>
    <row r="536" spans="15:20" ht="11.25" customHeight="1" x14ac:dyDescent="0.35">
      <c r="O536" s="367" t="s">
        <v>5465</v>
      </c>
      <c r="P536" s="368" t="s">
        <v>5376</v>
      </c>
      <c r="Q536" s="368" t="str">
        <f t="shared" si="22"/>
        <v>2014Y</v>
      </c>
      <c r="R536" s="369" t="str">
        <f>[1]!SNLLabel(287,324674,,"&lt;&gt;370")</f>
        <v>AR: Individual and Group Annuities</v>
      </c>
      <c r="S536" s="370"/>
      <c r="T536" s="371" t="s">
        <v>29</v>
      </c>
    </row>
    <row r="537" spans="15:20" ht="11.25" customHeight="1" x14ac:dyDescent="0.35">
      <c r="O537" s="384" t="s">
        <v>5465</v>
      </c>
      <c r="P537" s="385" t="s">
        <v>5376</v>
      </c>
      <c r="Q537" s="385" t="str">
        <f t="shared" ref="Q537:Q547" si="23">LEFT(Period,4)-1&amp;"Y"</f>
        <v>2013Y</v>
      </c>
      <c r="R537" s="386" t="str">
        <f>[1]!SNLLabel(287,324674,,"&lt;&gt;360")</f>
        <v>AR: Analysis of Operations All Lines</v>
      </c>
      <c r="S537" s="365"/>
      <c r="T537" s="387" t="s">
        <v>29</v>
      </c>
    </row>
    <row r="538" spans="15:20" ht="11.25" customHeight="1" x14ac:dyDescent="0.35">
      <c r="O538" s="388" t="s">
        <v>5465</v>
      </c>
      <c r="P538" s="389" t="s">
        <v>5376</v>
      </c>
      <c r="Q538" s="389" t="str">
        <f t="shared" si="23"/>
        <v>2013Y</v>
      </c>
      <c r="R538" s="390" t="str">
        <f>[1]!SNLLabel(287,324674,,"&lt;&gt;361")</f>
        <v>AR: Individual Life</v>
      </c>
      <c r="S538" s="366"/>
      <c r="T538" s="391" t="s">
        <v>29</v>
      </c>
    </row>
    <row r="539" spans="15:20" ht="11.25" customHeight="1" x14ac:dyDescent="0.35">
      <c r="O539" s="388" t="s">
        <v>5465</v>
      </c>
      <c r="P539" s="389" t="s">
        <v>5376</v>
      </c>
      <c r="Q539" s="389" t="str">
        <f t="shared" si="23"/>
        <v>2013Y</v>
      </c>
      <c r="R539" s="390" t="str">
        <f>[1]!SNLLabel(287,324674,,"&lt;&gt;362")</f>
        <v>AR: Group Life</v>
      </c>
      <c r="S539" s="366"/>
      <c r="T539" s="391" t="s">
        <v>29</v>
      </c>
    </row>
    <row r="540" spans="15:20" ht="11.25" customHeight="1" x14ac:dyDescent="0.35">
      <c r="O540" s="388" t="s">
        <v>5465</v>
      </c>
      <c r="P540" s="389" t="s">
        <v>5376</v>
      </c>
      <c r="Q540" s="389" t="str">
        <f t="shared" si="23"/>
        <v>2013Y</v>
      </c>
      <c r="R540" s="390" t="str">
        <f>[1]!SNLLabel(287,324674,,"&lt;&gt;363")</f>
        <v>AR: Individual Annuities</v>
      </c>
      <c r="S540" s="366"/>
      <c r="T540" s="391" t="s">
        <v>29</v>
      </c>
    </row>
    <row r="541" spans="15:20" ht="11.25" customHeight="1" x14ac:dyDescent="0.35">
      <c r="O541" s="388" t="s">
        <v>5465</v>
      </c>
      <c r="P541" s="389" t="s">
        <v>5376</v>
      </c>
      <c r="Q541" s="389" t="str">
        <f t="shared" si="23"/>
        <v>2013Y</v>
      </c>
      <c r="R541" s="390" t="str">
        <f>[1]!SNLLabel(287,324674,,"&lt;&gt;364")</f>
        <v>AR: Group Annuities</v>
      </c>
      <c r="S541" s="366"/>
      <c r="T541" s="391" t="s">
        <v>29</v>
      </c>
    </row>
    <row r="542" spans="15:20" ht="11.25" customHeight="1" x14ac:dyDescent="0.35">
      <c r="O542" s="388" t="s">
        <v>5465</v>
      </c>
      <c r="P542" s="389" t="s">
        <v>5376</v>
      </c>
      <c r="Q542" s="389" t="str">
        <f t="shared" si="23"/>
        <v>2013Y</v>
      </c>
      <c r="R542" s="390" t="str">
        <f>[1]!SNLLabel(287,324674,,"&lt;&gt;365")</f>
        <v>AR: Accident and Health</v>
      </c>
      <c r="S542" s="366"/>
      <c r="T542" s="391" t="s">
        <v>29</v>
      </c>
    </row>
    <row r="543" spans="15:20" ht="11.25" customHeight="1" x14ac:dyDescent="0.35">
      <c r="O543" s="388" t="s">
        <v>5465</v>
      </c>
      <c r="P543" s="389" t="s">
        <v>5376</v>
      </c>
      <c r="Q543" s="389" t="str">
        <f t="shared" si="23"/>
        <v>2013Y</v>
      </c>
      <c r="R543" s="390" t="str">
        <f>[1]!SNLLabel(287,324674,,"&lt;&gt;366")</f>
        <v>AR: Fraternal</v>
      </c>
      <c r="S543" s="366"/>
      <c r="T543" s="391" t="s">
        <v>29</v>
      </c>
    </row>
    <row r="544" spans="15:20" ht="11.25" customHeight="1" x14ac:dyDescent="0.35">
      <c r="O544" s="388" t="s">
        <v>5465</v>
      </c>
      <c r="P544" s="389" t="s">
        <v>5376</v>
      </c>
      <c r="Q544" s="389" t="str">
        <f t="shared" si="23"/>
        <v>2013Y</v>
      </c>
      <c r="R544" s="390" t="str">
        <f>[1]!SNLLabel(287,324674,,"&lt;&gt;367")</f>
        <v>AR: Other Lines of Business</v>
      </c>
      <c r="S544" s="366"/>
      <c r="T544" s="391" t="s">
        <v>29</v>
      </c>
    </row>
    <row r="545" spans="15:20" ht="11.25" customHeight="1" x14ac:dyDescent="0.35">
      <c r="O545" s="388" t="s">
        <v>5465</v>
      </c>
      <c r="P545" s="389" t="s">
        <v>5376</v>
      </c>
      <c r="Q545" s="389" t="str">
        <f t="shared" si="23"/>
        <v>2013Y</v>
      </c>
      <c r="R545" s="390" t="str">
        <f>[1]!SNLLabel(287,324674,,"&lt;&gt;368")</f>
        <v>AR: YRT Mortality Risk Only</v>
      </c>
      <c r="S545" s="366"/>
      <c r="T545" s="391" t="s">
        <v>29</v>
      </c>
    </row>
    <row r="546" spans="15:20" ht="11.25" customHeight="1" x14ac:dyDescent="0.35">
      <c r="O546" s="388" t="s">
        <v>5465</v>
      </c>
      <c r="P546" s="389" t="s">
        <v>5376</v>
      </c>
      <c r="Q546" s="389" t="str">
        <f t="shared" si="23"/>
        <v>2013Y</v>
      </c>
      <c r="R546" s="390" t="str">
        <f>[1]!SNLLabel(287,324674,,"&lt;&gt;369")</f>
        <v>AR: Individual and Group Life</v>
      </c>
      <c r="S546" s="366"/>
      <c r="T546" s="391" t="s">
        <v>29</v>
      </c>
    </row>
    <row r="547" spans="15:20" ht="11.25" customHeight="1" x14ac:dyDescent="0.35">
      <c r="O547" s="367" t="s">
        <v>5465</v>
      </c>
      <c r="P547" s="368" t="s">
        <v>5376</v>
      </c>
      <c r="Q547" s="368" t="str">
        <f t="shared" si="23"/>
        <v>2013Y</v>
      </c>
      <c r="R547" s="369" t="str">
        <f>[1]!SNLLabel(287,324674,,"&lt;&gt;370")</f>
        <v>AR: Individual and Group Annuities</v>
      </c>
      <c r="S547" s="370"/>
      <c r="T547" s="371" t="s">
        <v>29</v>
      </c>
    </row>
    <row r="548" spans="15:20" ht="11.25" customHeight="1" x14ac:dyDescent="0.35">
      <c r="O548" s="384" t="s">
        <v>5465</v>
      </c>
      <c r="P548" s="385" t="s">
        <v>5376</v>
      </c>
      <c r="Q548" s="385" t="str">
        <f t="shared" ref="Q548:Q558" si="24">LEFT(Period,4)-2&amp;"Y"</f>
        <v>2012Y</v>
      </c>
      <c r="R548" s="386" t="str">
        <f>[1]!SNLLabel(287,324674,,"&lt;&gt;360")</f>
        <v>AR: Analysis of Operations All Lines</v>
      </c>
      <c r="S548" s="365"/>
      <c r="T548" s="387" t="s">
        <v>29</v>
      </c>
    </row>
    <row r="549" spans="15:20" ht="11.25" customHeight="1" x14ac:dyDescent="0.35">
      <c r="O549" s="388" t="s">
        <v>5465</v>
      </c>
      <c r="P549" s="389" t="s">
        <v>5376</v>
      </c>
      <c r="Q549" s="389" t="str">
        <f t="shared" si="24"/>
        <v>2012Y</v>
      </c>
      <c r="R549" s="390" t="str">
        <f>[1]!SNLLabel(287,324674,,"&lt;&gt;361")</f>
        <v>AR: Individual Life</v>
      </c>
      <c r="S549" s="366"/>
      <c r="T549" s="391" t="s">
        <v>29</v>
      </c>
    </row>
    <row r="550" spans="15:20" ht="11.25" customHeight="1" x14ac:dyDescent="0.35">
      <c r="O550" s="388" t="s">
        <v>5465</v>
      </c>
      <c r="P550" s="389" t="s">
        <v>5376</v>
      </c>
      <c r="Q550" s="389" t="str">
        <f t="shared" si="24"/>
        <v>2012Y</v>
      </c>
      <c r="R550" s="390" t="str">
        <f>[1]!SNLLabel(287,324674,,"&lt;&gt;362")</f>
        <v>AR: Group Life</v>
      </c>
      <c r="S550" s="366"/>
      <c r="T550" s="391" t="s">
        <v>29</v>
      </c>
    </row>
    <row r="551" spans="15:20" ht="11.25" customHeight="1" x14ac:dyDescent="0.35">
      <c r="O551" s="388" t="s">
        <v>5465</v>
      </c>
      <c r="P551" s="389" t="s">
        <v>5376</v>
      </c>
      <c r="Q551" s="389" t="str">
        <f t="shared" si="24"/>
        <v>2012Y</v>
      </c>
      <c r="R551" s="390" t="str">
        <f>[1]!SNLLabel(287,324674,,"&lt;&gt;363")</f>
        <v>AR: Individual Annuities</v>
      </c>
      <c r="S551" s="366"/>
      <c r="T551" s="391" t="s">
        <v>29</v>
      </c>
    </row>
    <row r="552" spans="15:20" ht="11.25" customHeight="1" x14ac:dyDescent="0.35">
      <c r="O552" s="388" t="s">
        <v>5465</v>
      </c>
      <c r="P552" s="389" t="s">
        <v>5376</v>
      </c>
      <c r="Q552" s="389" t="str">
        <f t="shared" si="24"/>
        <v>2012Y</v>
      </c>
      <c r="R552" s="390" t="str">
        <f>[1]!SNLLabel(287,324674,,"&lt;&gt;364")</f>
        <v>AR: Group Annuities</v>
      </c>
      <c r="S552" s="366"/>
      <c r="T552" s="391" t="s">
        <v>29</v>
      </c>
    </row>
    <row r="553" spans="15:20" ht="11.25" customHeight="1" x14ac:dyDescent="0.35">
      <c r="O553" s="388" t="s">
        <v>5465</v>
      </c>
      <c r="P553" s="389" t="s">
        <v>5376</v>
      </c>
      <c r="Q553" s="389" t="str">
        <f t="shared" si="24"/>
        <v>2012Y</v>
      </c>
      <c r="R553" s="390" t="str">
        <f>[1]!SNLLabel(287,324674,,"&lt;&gt;365")</f>
        <v>AR: Accident and Health</v>
      </c>
      <c r="S553" s="366"/>
      <c r="T553" s="391" t="s">
        <v>29</v>
      </c>
    </row>
    <row r="554" spans="15:20" ht="11.25" customHeight="1" x14ac:dyDescent="0.35">
      <c r="O554" s="388" t="s">
        <v>5465</v>
      </c>
      <c r="P554" s="389" t="s">
        <v>5376</v>
      </c>
      <c r="Q554" s="389" t="str">
        <f t="shared" si="24"/>
        <v>2012Y</v>
      </c>
      <c r="R554" s="390" t="str">
        <f>[1]!SNLLabel(287,324674,,"&lt;&gt;366")</f>
        <v>AR: Fraternal</v>
      </c>
      <c r="S554" s="366"/>
      <c r="T554" s="391" t="s">
        <v>29</v>
      </c>
    </row>
    <row r="555" spans="15:20" ht="11.25" customHeight="1" x14ac:dyDescent="0.35">
      <c r="O555" s="388" t="s">
        <v>5465</v>
      </c>
      <c r="P555" s="389" t="s">
        <v>5376</v>
      </c>
      <c r="Q555" s="389" t="str">
        <f t="shared" si="24"/>
        <v>2012Y</v>
      </c>
      <c r="R555" s="390" t="str">
        <f>[1]!SNLLabel(287,324674,,"&lt;&gt;367")</f>
        <v>AR: Other Lines of Business</v>
      </c>
      <c r="S555" s="366"/>
      <c r="T555" s="391" t="s">
        <v>29</v>
      </c>
    </row>
    <row r="556" spans="15:20" ht="11.25" customHeight="1" x14ac:dyDescent="0.35">
      <c r="O556" s="388" t="s">
        <v>5465</v>
      </c>
      <c r="P556" s="389" t="s">
        <v>5376</v>
      </c>
      <c r="Q556" s="389" t="str">
        <f t="shared" si="24"/>
        <v>2012Y</v>
      </c>
      <c r="R556" s="390" t="str">
        <f>[1]!SNLLabel(287,324674,,"&lt;&gt;368")</f>
        <v>AR: YRT Mortality Risk Only</v>
      </c>
      <c r="S556" s="366"/>
      <c r="T556" s="391" t="s">
        <v>29</v>
      </c>
    </row>
    <row r="557" spans="15:20" ht="11.25" customHeight="1" x14ac:dyDescent="0.35">
      <c r="O557" s="388" t="s">
        <v>5465</v>
      </c>
      <c r="P557" s="389" t="s">
        <v>5376</v>
      </c>
      <c r="Q557" s="389" t="str">
        <f t="shared" si="24"/>
        <v>2012Y</v>
      </c>
      <c r="R557" s="390" t="str">
        <f>[1]!SNLLabel(287,324674,,"&lt;&gt;369")</f>
        <v>AR: Individual and Group Life</v>
      </c>
      <c r="S557" s="366"/>
      <c r="T557" s="391" t="s">
        <v>29</v>
      </c>
    </row>
    <row r="558" spans="15:20" ht="11.25" customHeight="1" x14ac:dyDescent="0.35">
      <c r="O558" s="367" t="s">
        <v>5465</v>
      </c>
      <c r="P558" s="368" t="s">
        <v>5376</v>
      </c>
      <c r="Q558" s="368" t="str">
        <f t="shared" si="24"/>
        <v>2012Y</v>
      </c>
      <c r="R558" s="369" t="str">
        <f>[1]!SNLLabel(287,324674,,"&lt;&gt;370")</f>
        <v>AR: Individual and Group Annuities</v>
      </c>
      <c r="S558" s="370"/>
      <c r="T558" s="371" t="s">
        <v>29</v>
      </c>
    </row>
    <row r="559" spans="15:20" ht="11.25" customHeight="1" x14ac:dyDescent="0.35">
      <c r="O559" s="384" t="s">
        <v>5465</v>
      </c>
      <c r="P559" s="385" t="s">
        <v>5376</v>
      </c>
      <c r="Q559" s="385" t="str">
        <f t="shared" ref="Q559:Q569" si="25">LEFT(Period,4)-3&amp;"Y"</f>
        <v>2011Y</v>
      </c>
      <c r="R559" s="386" t="str">
        <f>[1]!SNLLabel(287,324674,,"&lt;&gt;360")</f>
        <v>AR: Analysis of Operations All Lines</v>
      </c>
      <c r="S559" s="365"/>
      <c r="T559" s="387" t="s">
        <v>29</v>
      </c>
    </row>
    <row r="560" spans="15:20" ht="11.25" customHeight="1" x14ac:dyDescent="0.35">
      <c r="O560" s="388" t="s">
        <v>5465</v>
      </c>
      <c r="P560" s="389" t="s">
        <v>5376</v>
      </c>
      <c r="Q560" s="389" t="str">
        <f t="shared" si="25"/>
        <v>2011Y</v>
      </c>
      <c r="R560" s="390" t="str">
        <f>[1]!SNLLabel(287,324674,,"&lt;&gt;361")</f>
        <v>AR: Individual Life</v>
      </c>
      <c r="S560" s="366"/>
      <c r="T560" s="391" t="s">
        <v>29</v>
      </c>
    </row>
    <row r="561" spans="15:20" ht="11.25" customHeight="1" x14ac:dyDescent="0.35">
      <c r="O561" s="388" t="s">
        <v>5465</v>
      </c>
      <c r="P561" s="389" t="s">
        <v>5376</v>
      </c>
      <c r="Q561" s="389" t="str">
        <f t="shared" si="25"/>
        <v>2011Y</v>
      </c>
      <c r="R561" s="390" t="str">
        <f>[1]!SNLLabel(287,324674,,"&lt;&gt;362")</f>
        <v>AR: Group Life</v>
      </c>
      <c r="S561" s="366"/>
      <c r="T561" s="391" t="s">
        <v>29</v>
      </c>
    </row>
    <row r="562" spans="15:20" ht="11.25" customHeight="1" x14ac:dyDescent="0.35">
      <c r="O562" s="388" t="s">
        <v>5465</v>
      </c>
      <c r="P562" s="389" t="s">
        <v>5376</v>
      </c>
      <c r="Q562" s="389" t="str">
        <f t="shared" si="25"/>
        <v>2011Y</v>
      </c>
      <c r="R562" s="390" t="str">
        <f>[1]!SNLLabel(287,324674,,"&lt;&gt;363")</f>
        <v>AR: Individual Annuities</v>
      </c>
      <c r="S562" s="366"/>
      <c r="T562" s="391" t="s">
        <v>29</v>
      </c>
    </row>
    <row r="563" spans="15:20" ht="11.25" customHeight="1" x14ac:dyDescent="0.35">
      <c r="O563" s="388" t="s">
        <v>5465</v>
      </c>
      <c r="P563" s="389" t="s">
        <v>5376</v>
      </c>
      <c r="Q563" s="389" t="str">
        <f t="shared" si="25"/>
        <v>2011Y</v>
      </c>
      <c r="R563" s="390" t="str">
        <f>[1]!SNLLabel(287,324674,,"&lt;&gt;364")</f>
        <v>AR: Group Annuities</v>
      </c>
      <c r="S563" s="366"/>
      <c r="T563" s="391" t="s">
        <v>29</v>
      </c>
    </row>
    <row r="564" spans="15:20" ht="11.25" customHeight="1" x14ac:dyDescent="0.35">
      <c r="O564" s="388" t="s">
        <v>5465</v>
      </c>
      <c r="P564" s="389" t="s">
        <v>5376</v>
      </c>
      <c r="Q564" s="389" t="str">
        <f t="shared" si="25"/>
        <v>2011Y</v>
      </c>
      <c r="R564" s="390" t="str">
        <f>[1]!SNLLabel(287,324674,,"&lt;&gt;365")</f>
        <v>AR: Accident and Health</v>
      </c>
      <c r="S564" s="366"/>
      <c r="T564" s="391" t="s">
        <v>29</v>
      </c>
    </row>
    <row r="565" spans="15:20" ht="11.25" customHeight="1" x14ac:dyDescent="0.35">
      <c r="O565" s="388" t="s">
        <v>5465</v>
      </c>
      <c r="P565" s="389" t="s">
        <v>5376</v>
      </c>
      <c r="Q565" s="389" t="str">
        <f t="shared" si="25"/>
        <v>2011Y</v>
      </c>
      <c r="R565" s="390" t="str">
        <f>[1]!SNLLabel(287,324674,,"&lt;&gt;366")</f>
        <v>AR: Fraternal</v>
      </c>
      <c r="S565" s="366"/>
      <c r="T565" s="391" t="s">
        <v>29</v>
      </c>
    </row>
    <row r="566" spans="15:20" ht="11.25" customHeight="1" x14ac:dyDescent="0.35">
      <c r="O566" s="388" t="s">
        <v>5465</v>
      </c>
      <c r="P566" s="389" t="s">
        <v>5376</v>
      </c>
      <c r="Q566" s="389" t="str">
        <f t="shared" si="25"/>
        <v>2011Y</v>
      </c>
      <c r="R566" s="390" t="str">
        <f>[1]!SNLLabel(287,324674,,"&lt;&gt;367")</f>
        <v>AR: Other Lines of Business</v>
      </c>
      <c r="S566" s="366"/>
      <c r="T566" s="391" t="s">
        <v>29</v>
      </c>
    </row>
    <row r="567" spans="15:20" ht="11.25" customHeight="1" x14ac:dyDescent="0.35">
      <c r="O567" s="388" t="s">
        <v>5465</v>
      </c>
      <c r="P567" s="389" t="s">
        <v>5376</v>
      </c>
      <c r="Q567" s="389" t="str">
        <f t="shared" si="25"/>
        <v>2011Y</v>
      </c>
      <c r="R567" s="390" t="str">
        <f>[1]!SNLLabel(287,324674,,"&lt;&gt;368")</f>
        <v>AR: YRT Mortality Risk Only</v>
      </c>
      <c r="S567" s="366"/>
      <c r="T567" s="391" t="s">
        <v>29</v>
      </c>
    </row>
    <row r="568" spans="15:20" ht="11.25" customHeight="1" x14ac:dyDescent="0.35">
      <c r="O568" s="388" t="s">
        <v>5465</v>
      </c>
      <c r="P568" s="389" t="s">
        <v>5376</v>
      </c>
      <c r="Q568" s="389" t="str">
        <f t="shared" si="25"/>
        <v>2011Y</v>
      </c>
      <c r="R568" s="390" t="str">
        <f>[1]!SNLLabel(287,324674,,"&lt;&gt;369")</f>
        <v>AR: Individual and Group Life</v>
      </c>
      <c r="S568" s="366"/>
      <c r="T568" s="391" t="s">
        <v>29</v>
      </c>
    </row>
    <row r="569" spans="15:20" ht="11.25" customHeight="1" x14ac:dyDescent="0.35">
      <c r="O569" s="367" t="s">
        <v>5465</v>
      </c>
      <c r="P569" s="368" t="s">
        <v>5376</v>
      </c>
      <c r="Q569" s="368" t="str">
        <f t="shared" si="25"/>
        <v>2011Y</v>
      </c>
      <c r="R569" s="369" t="str">
        <f>[1]!SNLLabel(287,324674,,"&lt;&gt;370")</f>
        <v>AR: Individual and Group Annuities</v>
      </c>
      <c r="S569" s="370"/>
      <c r="T569" s="371" t="s">
        <v>29</v>
      </c>
    </row>
    <row r="570" spans="15:20" ht="11.25" customHeight="1" x14ac:dyDescent="0.35">
      <c r="O570" s="384" t="s">
        <v>5465</v>
      </c>
      <c r="P570" s="385" t="s">
        <v>5376</v>
      </c>
      <c r="Q570" s="385" t="str">
        <f t="shared" ref="Q570:Q580" si="26">LEFT(Period,4)-4&amp;"Y"</f>
        <v>2010Y</v>
      </c>
      <c r="R570" s="386" t="str">
        <f>[1]!SNLLabel(287,324674,,"&lt;&gt;360")</f>
        <v>AR: Analysis of Operations All Lines</v>
      </c>
      <c r="S570" s="365"/>
      <c r="T570" s="387" t="s">
        <v>29</v>
      </c>
    </row>
    <row r="571" spans="15:20" ht="11.25" customHeight="1" x14ac:dyDescent="0.35">
      <c r="O571" s="388" t="s">
        <v>5465</v>
      </c>
      <c r="P571" s="389" t="s">
        <v>5376</v>
      </c>
      <c r="Q571" s="389" t="str">
        <f t="shared" si="26"/>
        <v>2010Y</v>
      </c>
      <c r="R571" s="390" t="str">
        <f>[1]!SNLLabel(287,324674,,"&lt;&gt;361")</f>
        <v>AR: Individual Life</v>
      </c>
      <c r="S571" s="366"/>
      <c r="T571" s="391" t="s">
        <v>29</v>
      </c>
    </row>
    <row r="572" spans="15:20" ht="11.25" customHeight="1" x14ac:dyDescent="0.35">
      <c r="O572" s="388" t="s">
        <v>5465</v>
      </c>
      <c r="P572" s="389" t="s">
        <v>5376</v>
      </c>
      <c r="Q572" s="389" t="str">
        <f t="shared" si="26"/>
        <v>2010Y</v>
      </c>
      <c r="R572" s="390" t="str">
        <f>[1]!SNLLabel(287,324674,,"&lt;&gt;362")</f>
        <v>AR: Group Life</v>
      </c>
      <c r="S572" s="366"/>
      <c r="T572" s="391" t="s">
        <v>29</v>
      </c>
    </row>
    <row r="573" spans="15:20" ht="11.25" customHeight="1" x14ac:dyDescent="0.35">
      <c r="O573" s="388" t="s">
        <v>5465</v>
      </c>
      <c r="P573" s="389" t="s">
        <v>5376</v>
      </c>
      <c r="Q573" s="389" t="str">
        <f t="shared" si="26"/>
        <v>2010Y</v>
      </c>
      <c r="R573" s="390" t="str">
        <f>[1]!SNLLabel(287,324674,,"&lt;&gt;363")</f>
        <v>AR: Individual Annuities</v>
      </c>
      <c r="S573" s="366"/>
      <c r="T573" s="391" t="s">
        <v>29</v>
      </c>
    </row>
    <row r="574" spans="15:20" ht="11.25" customHeight="1" x14ac:dyDescent="0.35">
      <c r="O574" s="388" t="s">
        <v>5465</v>
      </c>
      <c r="P574" s="389" t="s">
        <v>5376</v>
      </c>
      <c r="Q574" s="389" t="str">
        <f t="shared" si="26"/>
        <v>2010Y</v>
      </c>
      <c r="R574" s="390" t="str">
        <f>[1]!SNLLabel(287,324674,,"&lt;&gt;364")</f>
        <v>AR: Group Annuities</v>
      </c>
      <c r="S574" s="366"/>
      <c r="T574" s="391" t="s">
        <v>29</v>
      </c>
    </row>
    <row r="575" spans="15:20" ht="11.25" customHeight="1" x14ac:dyDescent="0.35">
      <c r="O575" s="388" t="s">
        <v>5465</v>
      </c>
      <c r="P575" s="389" t="s">
        <v>5376</v>
      </c>
      <c r="Q575" s="389" t="str">
        <f t="shared" si="26"/>
        <v>2010Y</v>
      </c>
      <c r="R575" s="390" t="str">
        <f>[1]!SNLLabel(287,324674,,"&lt;&gt;365")</f>
        <v>AR: Accident and Health</v>
      </c>
      <c r="S575" s="366"/>
      <c r="T575" s="391" t="s">
        <v>29</v>
      </c>
    </row>
    <row r="576" spans="15:20" ht="11.25" customHeight="1" x14ac:dyDescent="0.35">
      <c r="O576" s="388" t="s">
        <v>5465</v>
      </c>
      <c r="P576" s="389" t="s">
        <v>5376</v>
      </c>
      <c r="Q576" s="389" t="str">
        <f t="shared" si="26"/>
        <v>2010Y</v>
      </c>
      <c r="R576" s="390" t="str">
        <f>[1]!SNLLabel(287,324674,,"&lt;&gt;366")</f>
        <v>AR: Fraternal</v>
      </c>
      <c r="S576" s="366"/>
      <c r="T576" s="391" t="s">
        <v>29</v>
      </c>
    </row>
    <row r="577" spans="15:20" ht="11.25" customHeight="1" x14ac:dyDescent="0.35">
      <c r="O577" s="388" t="s">
        <v>5465</v>
      </c>
      <c r="P577" s="389" t="s">
        <v>5376</v>
      </c>
      <c r="Q577" s="389" t="str">
        <f t="shared" si="26"/>
        <v>2010Y</v>
      </c>
      <c r="R577" s="390" t="str">
        <f>[1]!SNLLabel(287,324674,,"&lt;&gt;367")</f>
        <v>AR: Other Lines of Business</v>
      </c>
      <c r="S577" s="366"/>
      <c r="T577" s="391" t="s">
        <v>29</v>
      </c>
    </row>
    <row r="578" spans="15:20" ht="11.25" customHeight="1" x14ac:dyDescent="0.35">
      <c r="O578" s="388" t="s">
        <v>5465</v>
      </c>
      <c r="P578" s="389" t="s">
        <v>5376</v>
      </c>
      <c r="Q578" s="389" t="str">
        <f t="shared" si="26"/>
        <v>2010Y</v>
      </c>
      <c r="R578" s="390" t="str">
        <f>[1]!SNLLabel(287,324674,,"&lt;&gt;368")</f>
        <v>AR: YRT Mortality Risk Only</v>
      </c>
      <c r="S578" s="366"/>
      <c r="T578" s="391" t="s">
        <v>29</v>
      </c>
    </row>
    <row r="579" spans="15:20" ht="11.25" customHeight="1" x14ac:dyDescent="0.35">
      <c r="O579" s="388" t="s">
        <v>5465</v>
      </c>
      <c r="P579" s="389" t="s">
        <v>5376</v>
      </c>
      <c r="Q579" s="389" t="str">
        <f t="shared" si="26"/>
        <v>2010Y</v>
      </c>
      <c r="R579" s="390" t="str">
        <f>[1]!SNLLabel(287,324674,,"&lt;&gt;369")</f>
        <v>AR: Individual and Group Life</v>
      </c>
      <c r="S579" s="366"/>
      <c r="T579" s="391" t="s">
        <v>29</v>
      </c>
    </row>
    <row r="580" spans="15:20" ht="11.25" customHeight="1" x14ac:dyDescent="0.35">
      <c r="O580" s="367" t="s">
        <v>5465</v>
      </c>
      <c r="P580" s="368" t="s">
        <v>5376</v>
      </c>
      <c r="Q580" s="368" t="str">
        <f t="shared" si="26"/>
        <v>2010Y</v>
      </c>
      <c r="R580" s="369" t="str">
        <f>[1]!SNLLabel(287,324674,,"&lt;&gt;370")</f>
        <v>AR: Individual and Group Annuities</v>
      </c>
      <c r="S580" s="370"/>
      <c r="T580" s="371" t="s">
        <v>29</v>
      </c>
    </row>
    <row r="581" spans="15:20" ht="11.25" customHeight="1" x14ac:dyDescent="0.35">
      <c r="O581" s="377"/>
      <c r="P581" s="378"/>
      <c r="Q581" s="378"/>
      <c r="R581" s="379"/>
      <c r="S581" s="375"/>
      <c r="T581" s="380"/>
    </row>
    <row r="582" spans="15:20" ht="11.25" customHeight="1" x14ac:dyDescent="0.35">
      <c r="O582" s="384" t="s">
        <v>5466</v>
      </c>
      <c r="P582" s="385" t="s">
        <v>5377</v>
      </c>
      <c r="Q582" s="385" t="str">
        <f t="shared" ref="Q582:Q592" si="27">Period</f>
        <v>2014Y</v>
      </c>
      <c r="R582" s="386" t="str">
        <f>[1]!SNLLabel(287,324675,,"&lt;&gt;360")</f>
        <v>AR: Analysis of Operations All Lines</v>
      </c>
      <c r="S582" s="365"/>
      <c r="T582" s="387" t="s">
        <v>29</v>
      </c>
    </row>
    <row r="583" spans="15:20" ht="11.25" customHeight="1" x14ac:dyDescent="0.35">
      <c r="O583" s="388" t="s">
        <v>5466</v>
      </c>
      <c r="P583" s="389" t="s">
        <v>5377</v>
      </c>
      <c r="Q583" s="389" t="str">
        <f t="shared" si="27"/>
        <v>2014Y</v>
      </c>
      <c r="R583" s="390" t="str">
        <f>[1]!SNLLabel(287,324675,,"&lt;&gt;361")</f>
        <v>AR: Individual Life</v>
      </c>
      <c r="S583" s="366"/>
      <c r="T583" s="391" t="s">
        <v>29</v>
      </c>
    </row>
    <row r="584" spans="15:20" ht="11.25" customHeight="1" x14ac:dyDescent="0.35">
      <c r="O584" s="388" t="s">
        <v>5466</v>
      </c>
      <c r="P584" s="389" t="s">
        <v>5377</v>
      </c>
      <c r="Q584" s="389" t="str">
        <f t="shared" si="27"/>
        <v>2014Y</v>
      </c>
      <c r="R584" s="390" t="str">
        <f>[1]!SNLLabel(287,324675,,"&lt;&gt;362")</f>
        <v>AR: Group Life</v>
      </c>
      <c r="S584" s="366"/>
      <c r="T584" s="391" t="s">
        <v>29</v>
      </c>
    </row>
    <row r="585" spans="15:20" ht="11.25" customHeight="1" x14ac:dyDescent="0.35">
      <c r="O585" s="388" t="s">
        <v>5466</v>
      </c>
      <c r="P585" s="389" t="s">
        <v>5377</v>
      </c>
      <c r="Q585" s="389" t="str">
        <f t="shared" si="27"/>
        <v>2014Y</v>
      </c>
      <c r="R585" s="390" t="str">
        <f>[1]!SNLLabel(287,324675,,"&lt;&gt;363")</f>
        <v>AR: Individual Annuities</v>
      </c>
      <c r="S585" s="366"/>
      <c r="T585" s="391" t="s">
        <v>29</v>
      </c>
    </row>
    <row r="586" spans="15:20" ht="11.25" customHeight="1" x14ac:dyDescent="0.35">
      <c r="O586" s="388" t="s">
        <v>5466</v>
      </c>
      <c r="P586" s="389" t="s">
        <v>5377</v>
      </c>
      <c r="Q586" s="389" t="str">
        <f t="shared" si="27"/>
        <v>2014Y</v>
      </c>
      <c r="R586" s="390" t="str">
        <f>[1]!SNLLabel(287,324675,,"&lt;&gt;364")</f>
        <v>AR: Group Annuities</v>
      </c>
      <c r="S586" s="366"/>
      <c r="T586" s="391" t="s">
        <v>29</v>
      </c>
    </row>
    <row r="587" spans="15:20" ht="11.25" customHeight="1" x14ac:dyDescent="0.35">
      <c r="O587" s="388" t="s">
        <v>5466</v>
      </c>
      <c r="P587" s="389" t="s">
        <v>5377</v>
      </c>
      <c r="Q587" s="389" t="str">
        <f t="shared" si="27"/>
        <v>2014Y</v>
      </c>
      <c r="R587" s="390" t="str">
        <f>[1]!SNLLabel(287,324675,,"&lt;&gt;365")</f>
        <v>AR: Accident and Health</v>
      </c>
      <c r="S587" s="366"/>
      <c r="T587" s="391" t="s">
        <v>29</v>
      </c>
    </row>
    <row r="588" spans="15:20" ht="11.25" customHeight="1" x14ac:dyDescent="0.35">
      <c r="O588" s="388" t="s">
        <v>5466</v>
      </c>
      <c r="P588" s="389" t="s">
        <v>5377</v>
      </c>
      <c r="Q588" s="389" t="str">
        <f t="shared" si="27"/>
        <v>2014Y</v>
      </c>
      <c r="R588" s="390" t="str">
        <f>[1]!SNLLabel(287,324675,,"&lt;&gt;366")</f>
        <v>AR: Fraternal</v>
      </c>
      <c r="S588" s="366"/>
      <c r="T588" s="391" t="s">
        <v>29</v>
      </c>
    </row>
    <row r="589" spans="15:20" ht="11.25" customHeight="1" x14ac:dyDescent="0.35">
      <c r="O589" s="388" t="s">
        <v>5466</v>
      </c>
      <c r="P589" s="389" t="s">
        <v>5377</v>
      </c>
      <c r="Q589" s="389" t="str">
        <f t="shared" si="27"/>
        <v>2014Y</v>
      </c>
      <c r="R589" s="390" t="str">
        <f>[1]!SNLLabel(287,324675,,"&lt;&gt;367")</f>
        <v>AR: Other Lines of Business</v>
      </c>
      <c r="S589" s="366"/>
      <c r="T589" s="391" t="s">
        <v>29</v>
      </c>
    </row>
    <row r="590" spans="15:20" ht="11.25" customHeight="1" x14ac:dyDescent="0.35">
      <c r="O590" s="388" t="s">
        <v>5466</v>
      </c>
      <c r="P590" s="389" t="s">
        <v>5377</v>
      </c>
      <c r="Q590" s="389" t="str">
        <f t="shared" si="27"/>
        <v>2014Y</v>
      </c>
      <c r="R590" s="390" t="str">
        <f>[1]!SNLLabel(287,324675,,"&lt;&gt;368")</f>
        <v>AR: YRT Mortality Risk Only</v>
      </c>
      <c r="S590" s="366"/>
      <c r="T590" s="391" t="s">
        <v>29</v>
      </c>
    </row>
    <row r="591" spans="15:20" ht="11.25" customHeight="1" x14ac:dyDescent="0.35">
      <c r="O591" s="388" t="s">
        <v>5466</v>
      </c>
      <c r="P591" s="389" t="s">
        <v>5377</v>
      </c>
      <c r="Q591" s="389" t="str">
        <f t="shared" si="27"/>
        <v>2014Y</v>
      </c>
      <c r="R591" s="390" t="str">
        <f>[1]!SNLLabel(287,324675,,"&lt;&gt;369")</f>
        <v>AR: Individual and Group Life</v>
      </c>
      <c r="S591" s="366"/>
      <c r="T591" s="391" t="s">
        <v>29</v>
      </c>
    </row>
    <row r="592" spans="15:20" ht="11.25" customHeight="1" x14ac:dyDescent="0.35">
      <c r="O592" s="367" t="s">
        <v>5466</v>
      </c>
      <c r="P592" s="368" t="s">
        <v>5377</v>
      </c>
      <c r="Q592" s="368" t="str">
        <f t="shared" si="27"/>
        <v>2014Y</v>
      </c>
      <c r="R592" s="369" t="str">
        <f>[1]!SNLLabel(287,324675,,"&lt;&gt;370")</f>
        <v>AR: Individual and Group Annuities</v>
      </c>
      <c r="S592" s="370"/>
      <c r="T592" s="371" t="s">
        <v>29</v>
      </c>
    </row>
    <row r="593" spans="15:20" ht="11.25" customHeight="1" x14ac:dyDescent="0.35">
      <c r="O593" s="384" t="s">
        <v>5466</v>
      </c>
      <c r="P593" s="385" t="s">
        <v>5377</v>
      </c>
      <c r="Q593" s="385" t="str">
        <f t="shared" ref="Q593:Q603" si="28">LEFT(Period,4)-1&amp;"Y"</f>
        <v>2013Y</v>
      </c>
      <c r="R593" s="386" t="str">
        <f>[1]!SNLLabel(287,324675,,"&lt;&gt;360")</f>
        <v>AR: Analysis of Operations All Lines</v>
      </c>
      <c r="S593" s="365"/>
      <c r="T593" s="387" t="s">
        <v>29</v>
      </c>
    </row>
    <row r="594" spans="15:20" ht="11.25" customHeight="1" x14ac:dyDescent="0.35">
      <c r="O594" s="388" t="s">
        <v>5466</v>
      </c>
      <c r="P594" s="389" t="s">
        <v>5377</v>
      </c>
      <c r="Q594" s="389" t="str">
        <f t="shared" si="28"/>
        <v>2013Y</v>
      </c>
      <c r="R594" s="390" t="str">
        <f>[1]!SNLLabel(287,324675,,"&lt;&gt;361")</f>
        <v>AR: Individual Life</v>
      </c>
      <c r="S594" s="366"/>
      <c r="T594" s="391" t="s">
        <v>29</v>
      </c>
    </row>
    <row r="595" spans="15:20" ht="11.25" customHeight="1" x14ac:dyDescent="0.35">
      <c r="O595" s="388" t="s">
        <v>5466</v>
      </c>
      <c r="P595" s="389" t="s">
        <v>5377</v>
      </c>
      <c r="Q595" s="389" t="str">
        <f t="shared" si="28"/>
        <v>2013Y</v>
      </c>
      <c r="R595" s="390" t="str">
        <f>[1]!SNLLabel(287,324675,,"&lt;&gt;362")</f>
        <v>AR: Group Life</v>
      </c>
      <c r="S595" s="366"/>
      <c r="T595" s="391" t="s">
        <v>29</v>
      </c>
    </row>
    <row r="596" spans="15:20" ht="11.25" customHeight="1" x14ac:dyDescent="0.35">
      <c r="O596" s="388" t="s">
        <v>5466</v>
      </c>
      <c r="P596" s="389" t="s">
        <v>5377</v>
      </c>
      <c r="Q596" s="389" t="str">
        <f t="shared" si="28"/>
        <v>2013Y</v>
      </c>
      <c r="R596" s="390" t="str">
        <f>[1]!SNLLabel(287,324675,,"&lt;&gt;363")</f>
        <v>AR: Individual Annuities</v>
      </c>
      <c r="S596" s="366"/>
      <c r="T596" s="391" t="s">
        <v>29</v>
      </c>
    </row>
    <row r="597" spans="15:20" ht="11.25" customHeight="1" x14ac:dyDescent="0.35">
      <c r="O597" s="388" t="s">
        <v>5466</v>
      </c>
      <c r="P597" s="389" t="s">
        <v>5377</v>
      </c>
      <c r="Q597" s="389" t="str">
        <f t="shared" si="28"/>
        <v>2013Y</v>
      </c>
      <c r="R597" s="390" t="str">
        <f>[1]!SNLLabel(287,324675,,"&lt;&gt;364")</f>
        <v>AR: Group Annuities</v>
      </c>
      <c r="S597" s="366"/>
      <c r="T597" s="391" t="s">
        <v>29</v>
      </c>
    </row>
    <row r="598" spans="15:20" ht="11.25" customHeight="1" x14ac:dyDescent="0.35">
      <c r="O598" s="388" t="s">
        <v>5466</v>
      </c>
      <c r="P598" s="389" t="s">
        <v>5377</v>
      </c>
      <c r="Q598" s="389" t="str">
        <f t="shared" si="28"/>
        <v>2013Y</v>
      </c>
      <c r="R598" s="390" t="str">
        <f>[1]!SNLLabel(287,324675,,"&lt;&gt;365")</f>
        <v>AR: Accident and Health</v>
      </c>
      <c r="S598" s="366"/>
      <c r="T598" s="391" t="s">
        <v>29</v>
      </c>
    </row>
    <row r="599" spans="15:20" ht="11.25" customHeight="1" x14ac:dyDescent="0.35">
      <c r="O599" s="388" t="s">
        <v>5466</v>
      </c>
      <c r="P599" s="389" t="s">
        <v>5377</v>
      </c>
      <c r="Q599" s="389" t="str">
        <f t="shared" si="28"/>
        <v>2013Y</v>
      </c>
      <c r="R599" s="390" t="str">
        <f>[1]!SNLLabel(287,324675,,"&lt;&gt;366")</f>
        <v>AR: Fraternal</v>
      </c>
      <c r="S599" s="366"/>
      <c r="T599" s="391" t="s">
        <v>29</v>
      </c>
    </row>
    <row r="600" spans="15:20" ht="11.25" customHeight="1" x14ac:dyDescent="0.35">
      <c r="O600" s="388" t="s">
        <v>5466</v>
      </c>
      <c r="P600" s="389" t="s">
        <v>5377</v>
      </c>
      <c r="Q600" s="389" t="str">
        <f t="shared" si="28"/>
        <v>2013Y</v>
      </c>
      <c r="R600" s="390" t="str">
        <f>[1]!SNLLabel(287,324675,,"&lt;&gt;367")</f>
        <v>AR: Other Lines of Business</v>
      </c>
      <c r="S600" s="366"/>
      <c r="T600" s="391" t="s">
        <v>29</v>
      </c>
    </row>
    <row r="601" spans="15:20" ht="11.25" customHeight="1" x14ac:dyDescent="0.35">
      <c r="O601" s="388" t="s">
        <v>5466</v>
      </c>
      <c r="P601" s="389" t="s">
        <v>5377</v>
      </c>
      <c r="Q601" s="389" t="str">
        <f t="shared" si="28"/>
        <v>2013Y</v>
      </c>
      <c r="R601" s="390" t="str">
        <f>[1]!SNLLabel(287,324675,,"&lt;&gt;368")</f>
        <v>AR: YRT Mortality Risk Only</v>
      </c>
      <c r="S601" s="366"/>
      <c r="T601" s="391" t="s">
        <v>29</v>
      </c>
    </row>
    <row r="602" spans="15:20" ht="11.25" customHeight="1" x14ac:dyDescent="0.35">
      <c r="O602" s="388" t="s">
        <v>5466</v>
      </c>
      <c r="P602" s="389" t="s">
        <v>5377</v>
      </c>
      <c r="Q602" s="389" t="str">
        <f t="shared" si="28"/>
        <v>2013Y</v>
      </c>
      <c r="R602" s="390" t="str">
        <f>[1]!SNLLabel(287,324675,,"&lt;&gt;369")</f>
        <v>AR: Individual and Group Life</v>
      </c>
      <c r="S602" s="366"/>
      <c r="T602" s="391" t="s">
        <v>29</v>
      </c>
    </row>
    <row r="603" spans="15:20" ht="11.25" customHeight="1" x14ac:dyDescent="0.35">
      <c r="O603" s="367" t="s">
        <v>5466</v>
      </c>
      <c r="P603" s="368" t="s">
        <v>5377</v>
      </c>
      <c r="Q603" s="368" t="str">
        <f t="shared" si="28"/>
        <v>2013Y</v>
      </c>
      <c r="R603" s="369" t="str">
        <f>[1]!SNLLabel(287,324675,,"&lt;&gt;370")</f>
        <v>AR: Individual and Group Annuities</v>
      </c>
      <c r="S603" s="370"/>
      <c r="T603" s="371" t="s">
        <v>29</v>
      </c>
    </row>
    <row r="604" spans="15:20" ht="11.25" customHeight="1" x14ac:dyDescent="0.35">
      <c r="O604" s="384" t="s">
        <v>5466</v>
      </c>
      <c r="P604" s="385" t="s">
        <v>5377</v>
      </c>
      <c r="Q604" s="385" t="str">
        <f t="shared" ref="Q604:Q614" si="29">LEFT(Period,4)-2&amp;"Y"</f>
        <v>2012Y</v>
      </c>
      <c r="R604" s="386" t="str">
        <f>[1]!SNLLabel(287,324675,,"&lt;&gt;360")</f>
        <v>AR: Analysis of Operations All Lines</v>
      </c>
      <c r="S604" s="365"/>
      <c r="T604" s="387" t="s">
        <v>29</v>
      </c>
    </row>
    <row r="605" spans="15:20" ht="11.25" customHeight="1" x14ac:dyDescent="0.35">
      <c r="O605" s="388" t="s">
        <v>5466</v>
      </c>
      <c r="P605" s="389" t="s">
        <v>5377</v>
      </c>
      <c r="Q605" s="389" t="str">
        <f t="shared" si="29"/>
        <v>2012Y</v>
      </c>
      <c r="R605" s="390" t="str">
        <f>[1]!SNLLabel(287,324675,,"&lt;&gt;361")</f>
        <v>AR: Individual Life</v>
      </c>
      <c r="S605" s="366"/>
      <c r="T605" s="391" t="s">
        <v>29</v>
      </c>
    </row>
    <row r="606" spans="15:20" ht="11.25" customHeight="1" x14ac:dyDescent="0.35">
      <c r="O606" s="388" t="s">
        <v>5466</v>
      </c>
      <c r="P606" s="389" t="s">
        <v>5377</v>
      </c>
      <c r="Q606" s="389" t="str">
        <f t="shared" si="29"/>
        <v>2012Y</v>
      </c>
      <c r="R606" s="390" t="str">
        <f>[1]!SNLLabel(287,324675,,"&lt;&gt;362")</f>
        <v>AR: Group Life</v>
      </c>
      <c r="S606" s="366"/>
      <c r="T606" s="391" t="s">
        <v>29</v>
      </c>
    </row>
    <row r="607" spans="15:20" ht="11.25" customHeight="1" x14ac:dyDescent="0.35">
      <c r="O607" s="388" t="s">
        <v>5466</v>
      </c>
      <c r="P607" s="389" t="s">
        <v>5377</v>
      </c>
      <c r="Q607" s="389" t="str">
        <f t="shared" si="29"/>
        <v>2012Y</v>
      </c>
      <c r="R607" s="390" t="str">
        <f>[1]!SNLLabel(287,324675,,"&lt;&gt;363")</f>
        <v>AR: Individual Annuities</v>
      </c>
      <c r="S607" s="366"/>
      <c r="T607" s="391" t="s">
        <v>29</v>
      </c>
    </row>
    <row r="608" spans="15:20" ht="11.25" customHeight="1" x14ac:dyDescent="0.35">
      <c r="O608" s="388" t="s">
        <v>5466</v>
      </c>
      <c r="P608" s="389" t="s">
        <v>5377</v>
      </c>
      <c r="Q608" s="389" t="str">
        <f t="shared" si="29"/>
        <v>2012Y</v>
      </c>
      <c r="R608" s="390" t="str">
        <f>[1]!SNLLabel(287,324675,,"&lt;&gt;364")</f>
        <v>AR: Group Annuities</v>
      </c>
      <c r="S608" s="366"/>
      <c r="T608" s="391" t="s">
        <v>29</v>
      </c>
    </row>
    <row r="609" spans="15:20" ht="11.25" customHeight="1" x14ac:dyDescent="0.35">
      <c r="O609" s="388" t="s">
        <v>5466</v>
      </c>
      <c r="P609" s="389" t="s">
        <v>5377</v>
      </c>
      <c r="Q609" s="389" t="str">
        <f t="shared" si="29"/>
        <v>2012Y</v>
      </c>
      <c r="R609" s="390" t="str">
        <f>[1]!SNLLabel(287,324675,,"&lt;&gt;365")</f>
        <v>AR: Accident and Health</v>
      </c>
      <c r="S609" s="366"/>
      <c r="T609" s="391" t="s">
        <v>29</v>
      </c>
    </row>
    <row r="610" spans="15:20" ht="11.25" customHeight="1" x14ac:dyDescent="0.35">
      <c r="O610" s="388" t="s">
        <v>5466</v>
      </c>
      <c r="P610" s="389" t="s">
        <v>5377</v>
      </c>
      <c r="Q610" s="389" t="str">
        <f t="shared" si="29"/>
        <v>2012Y</v>
      </c>
      <c r="R610" s="390" t="str">
        <f>[1]!SNLLabel(287,324675,,"&lt;&gt;366")</f>
        <v>AR: Fraternal</v>
      </c>
      <c r="S610" s="366"/>
      <c r="T610" s="391" t="s">
        <v>29</v>
      </c>
    </row>
    <row r="611" spans="15:20" ht="11.25" customHeight="1" x14ac:dyDescent="0.35">
      <c r="O611" s="388" t="s">
        <v>5466</v>
      </c>
      <c r="P611" s="389" t="s">
        <v>5377</v>
      </c>
      <c r="Q611" s="389" t="str">
        <f t="shared" si="29"/>
        <v>2012Y</v>
      </c>
      <c r="R611" s="390" t="str">
        <f>[1]!SNLLabel(287,324675,,"&lt;&gt;367")</f>
        <v>AR: Other Lines of Business</v>
      </c>
      <c r="S611" s="366"/>
      <c r="T611" s="391" t="s">
        <v>29</v>
      </c>
    </row>
    <row r="612" spans="15:20" ht="11.25" customHeight="1" x14ac:dyDescent="0.35">
      <c r="O612" s="388" t="s">
        <v>5466</v>
      </c>
      <c r="P612" s="389" t="s">
        <v>5377</v>
      </c>
      <c r="Q612" s="389" t="str">
        <f t="shared" si="29"/>
        <v>2012Y</v>
      </c>
      <c r="R612" s="390" t="str">
        <f>[1]!SNLLabel(287,324675,,"&lt;&gt;368")</f>
        <v>AR: YRT Mortality Risk Only</v>
      </c>
      <c r="S612" s="366"/>
      <c r="T612" s="391" t="s">
        <v>29</v>
      </c>
    </row>
    <row r="613" spans="15:20" ht="11.25" customHeight="1" x14ac:dyDescent="0.35">
      <c r="O613" s="388" t="s">
        <v>5466</v>
      </c>
      <c r="P613" s="389" t="s">
        <v>5377</v>
      </c>
      <c r="Q613" s="389" t="str">
        <f t="shared" si="29"/>
        <v>2012Y</v>
      </c>
      <c r="R613" s="390" t="str">
        <f>[1]!SNLLabel(287,324675,,"&lt;&gt;369")</f>
        <v>AR: Individual and Group Life</v>
      </c>
      <c r="S613" s="366"/>
      <c r="T613" s="391" t="s">
        <v>29</v>
      </c>
    </row>
    <row r="614" spans="15:20" ht="11.25" customHeight="1" x14ac:dyDescent="0.35">
      <c r="O614" s="367" t="s">
        <v>5466</v>
      </c>
      <c r="P614" s="368" t="s">
        <v>5377</v>
      </c>
      <c r="Q614" s="368" t="str">
        <f t="shared" si="29"/>
        <v>2012Y</v>
      </c>
      <c r="R614" s="369" t="str">
        <f>[1]!SNLLabel(287,324675,,"&lt;&gt;370")</f>
        <v>AR: Individual and Group Annuities</v>
      </c>
      <c r="S614" s="370"/>
      <c r="T614" s="371" t="s">
        <v>29</v>
      </c>
    </row>
    <row r="615" spans="15:20" ht="11.25" customHeight="1" x14ac:dyDescent="0.35">
      <c r="O615" s="384" t="s">
        <v>5466</v>
      </c>
      <c r="P615" s="385" t="s">
        <v>5377</v>
      </c>
      <c r="Q615" s="385" t="str">
        <f t="shared" ref="Q615:Q625" si="30">LEFT(Period,4)-3&amp;"Y"</f>
        <v>2011Y</v>
      </c>
      <c r="R615" s="386" t="str">
        <f>[1]!SNLLabel(287,324675,,"&lt;&gt;360")</f>
        <v>AR: Analysis of Operations All Lines</v>
      </c>
      <c r="S615" s="365"/>
      <c r="T615" s="387" t="s">
        <v>29</v>
      </c>
    </row>
    <row r="616" spans="15:20" ht="11.25" customHeight="1" x14ac:dyDescent="0.35">
      <c r="O616" s="388" t="s">
        <v>5466</v>
      </c>
      <c r="P616" s="389" t="s">
        <v>5377</v>
      </c>
      <c r="Q616" s="389" t="str">
        <f t="shared" si="30"/>
        <v>2011Y</v>
      </c>
      <c r="R616" s="390" t="str">
        <f>[1]!SNLLabel(287,324675,,"&lt;&gt;361")</f>
        <v>AR: Individual Life</v>
      </c>
      <c r="S616" s="366"/>
      <c r="T616" s="391" t="s">
        <v>29</v>
      </c>
    </row>
    <row r="617" spans="15:20" ht="11.25" customHeight="1" x14ac:dyDescent="0.35">
      <c r="O617" s="388" t="s">
        <v>5466</v>
      </c>
      <c r="P617" s="389" t="s">
        <v>5377</v>
      </c>
      <c r="Q617" s="389" t="str">
        <f t="shared" si="30"/>
        <v>2011Y</v>
      </c>
      <c r="R617" s="390" t="str">
        <f>[1]!SNLLabel(287,324675,,"&lt;&gt;362")</f>
        <v>AR: Group Life</v>
      </c>
      <c r="S617" s="366"/>
      <c r="T617" s="391" t="s">
        <v>29</v>
      </c>
    </row>
    <row r="618" spans="15:20" ht="11.25" customHeight="1" x14ac:dyDescent="0.35">
      <c r="O618" s="388" t="s">
        <v>5466</v>
      </c>
      <c r="P618" s="389" t="s">
        <v>5377</v>
      </c>
      <c r="Q618" s="389" t="str">
        <f t="shared" si="30"/>
        <v>2011Y</v>
      </c>
      <c r="R618" s="390" t="str">
        <f>[1]!SNLLabel(287,324675,,"&lt;&gt;363")</f>
        <v>AR: Individual Annuities</v>
      </c>
      <c r="S618" s="366"/>
      <c r="T618" s="391" t="s">
        <v>29</v>
      </c>
    </row>
    <row r="619" spans="15:20" ht="11.25" customHeight="1" x14ac:dyDescent="0.35">
      <c r="O619" s="388" t="s">
        <v>5466</v>
      </c>
      <c r="P619" s="389" t="s">
        <v>5377</v>
      </c>
      <c r="Q619" s="389" t="str">
        <f t="shared" si="30"/>
        <v>2011Y</v>
      </c>
      <c r="R619" s="390" t="str">
        <f>[1]!SNLLabel(287,324675,,"&lt;&gt;364")</f>
        <v>AR: Group Annuities</v>
      </c>
      <c r="S619" s="366"/>
      <c r="T619" s="391" t="s">
        <v>29</v>
      </c>
    </row>
    <row r="620" spans="15:20" ht="11.25" customHeight="1" x14ac:dyDescent="0.35">
      <c r="O620" s="388" t="s">
        <v>5466</v>
      </c>
      <c r="P620" s="389" t="s">
        <v>5377</v>
      </c>
      <c r="Q620" s="389" t="str">
        <f t="shared" si="30"/>
        <v>2011Y</v>
      </c>
      <c r="R620" s="390" t="str">
        <f>[1]!SNLLabel(287,324675,,"&lt;&gt;365")</f>
        <v>AR: Accident and Health</v>
      </c>
      <c r="S620" s="366"/>
      <c r="T620" s="391" t="s">
        <v>29</v>
      </c>
    </row>
    <row r="621" spans="15:20" ht="11.25" customHeight="1" x14ac:dyDescent="0.35">
      <c r="O621" s="388" t="s">
        <v>5466</v>
      </c>
      <c r="P621" s="389" t="s">
        <v>5377</v>
      </c>
      <c r="Q621" s="389" t="str">
        <f t="shared" si="30"/>
        <v>2011Y</v>
      </c>
      <c r="R621" s="390" t="str">
        <f>[1]!SNLLabel(287,324675,,"&lt;&gt;366")</f>
        <v>AR: Fraternal</v>
      </c>
      <c r="S621" s="366"/>
      <c r="T621" s="391" t="s">
        <v>29</v>
      </c>
    </row>
    <row r="622" spans="15:20" ht="11.25" customHeight="1" x14ac:dyDescent="0.35">
      <c r="O622" s="388" t="s">
        <v>5466</v>
      </c>
      <c r="P622" s="389" t="s">
        <v>5377</v>
      </c>
      <c r="Q622" s="389" t="str">
        <f t="shared" si="30"/>
        <v>2011Y</v>
      </c>
      <c r="R622" s="390" t="str">
        <f>[1]!SNLLabel(287,324675,,"&lt;&gt;367")</f>
        <v>AR: Other Lines of Business</v>
      </c>
      <c r="S622" s="366"/>
      <c r="T622" s="391" t="s">
        <v>29</v>
      </c>
    </row>
    <row r="623" spans="15:20" ht="11.25" customHeight="1" x14ac:dyDescent="0.35">
      <c r="O623" s="388" t="s">
        <v>5466</v>
      </c>
      <c r="P623" s="389" t="s">
        <v>5377</v>
      </c>
      <c r="Q623" s="389" t="str">
        <f t="shared" si="30"/>
        <v>2011Y</v>
      </c>
      <c r="R623" s="390" t="str">
        <f>[1]!SNLLabel(287,324675,,"&lt;&gt;368")</f>
        <v>AR: YRT Mortality Risk Only</v>
      </c>
      <c r="S623" s="366"/>
      <c r="T623" s="391" t="s">
        <v>29</v>
      </c>
    </row>
    <row r="624" spans="15:20" ht="11.25" customHeight="1" x14ac:dyDescent="0.35">
      <c r="O624" s="388" t="s">
        <v>5466</v>
      </c>
      <c r="P624" s="389" t="s">
        <v>5377</v>
      </c>
      <c r="Q624" s="389" t="str">
        <f t="shared" si="30"/>
        <v>2011Y</v>
      </c>
      <c r="R624" s="390" t="str">
        <f>[1]!SNLLabel(287,324675,,"&lt;&gt;369")</f>
        <v>AR: Individual and Group Life</v>
      </c>
      <c r="S624" s="366"/>
      <c r="T624" s="391" t="s">
        <v>29</v>
      </c>
    </row>
    <row r="625" spans="15:20" ht="11.25" customHeight="1" x14ac:dyDescent="0.35">
      <c r="O625" s="367" t="s">
        <v>5466</v>
      </c>
      <c r="P625" s="368" t="s">
        <v>5377</v>
      </c>
      <c r="Q625" s="368" t="str">
        <f t="shared" si="30"/>
        <v>2011Y</v>
      </c>
      <c r="R625" s="369" t="str">
        <f>[1]!SNLLabel(287,324675,,"&lt;&gt;370")</f>
        <v>AR: Individual and Group Annuities</v>
      </c>
      <c r="S625" s="370"/>
      <c r="T625" s="371" t="s">
        <v>29</v>
      </c>
    </row>
    <row r="626" spans="15:20" ht="11.25" customHeight="1" x14ac:dyDescent="0.35">
      <c r="O626" s="384" t="s">
        <v>5466</v>
      </c>
      <c r="P626" s="385" t="s">
        <v>5377</v>
      </c>
      <c r="Q626" s="385" t="str">
        <f t="shared" ref="Q626:Q636" si="31">LEFT(Period,4)-4&amp;"Y"</f>
        <v>2010Y</v>
      </c>
      <c r="R626" s="386" t="str">
        <f>[1]!SNLLabel(287,324675,,"&lt;&gt;360")</f>
        <v>AR: Analysis of Operations All Lines</v>
      </c>
      <c r="S626" s="365"/>
      <c r="T626" s="387" t="s">
        <v>29</v>
      </c>
    </row>
    <row r="627" spans="15:20" ht="11.25" customHeight="1" x14ac:dyDescent="0.35">
      <c r="O627" s="388" t="s">
        <v>5466</v>
      </c>
      <c r="P627" s="389" t="s">
        <v>5377</v>
      </c>
      <c r="Q627" s="389" t="str">
        <f t="shared" si="31"/>
        <v>2010Y</v>
      </c>
      <c r="R627" s="390" t="str">
        <f>[1]!SNLLabel(287,324675,,"&lt;&gt;361")</f>
        <v>AR: Individual Life</v>
      </c>
      <c r="S627" s="366"/>
      <c r="T627" s="391" t="s">
        <v>29</v>
      </c>
    </row>
    <row r="628" spans="15:20" ht="11.25" customHeight="1" x14ac:dyDescent="0.35">
      <c r="O628" s="388" t="s">
        <v>5466</v>
      </c>
      <c r="P628" s="389" t="s">
        <v>5377</v>
      </c>
      <c r="Q628" s="389" t="str">
        <f t="shared" si="31"/>
        <v>2010Y</v>
      </c>
      <c r="R628" s="390" t="str">
        <f>[1]!SNLLabel(287,324675,,"&lt;&gt;362")</f>
        <v>AR: Group Life</v>
      </c>
      <c r="S628" s="366"/>
      <c r="T628" s="391" t="s">
        <v>29</v>
      </c>
    </row>
    <row r="629" spans="15:20" ht="11.25" customHeight="1" x14ac:dyDescent="0.35">
      <c r="O629" s="388" t="s">
        <v>5466</v>
      </c>
      <c r="P629" s="389" t="s">
        <v>5377</v>
      </c>
      <c r="Q629" s="389" t="str">
        <f t="shared" si="31"/>
        <v>2010Y</v>
      </c>
      <c r="R629" s="390" t="str">
        <f>[1]!SNLLabel(287,324675,,"&lt;&gt;363")</f>
        <v>AR: Individual Annuities</v>
      </c>
      <c r="S629" s="366"/>
      <c r="T629" s="391" t="s">
        <v>29</v>
      </c>
    </row>
    <row r="630" spans="15:20" ht="11.25" customHeight="1" x14ac:dyDescent="0.35">
      <c r="O630" s="388" t="s">
        <v>5466</v>
      </c>
      <c r="P630" s="389" t="s">
        <v>5377</v>
      </c>
      <c r="Q630" s="389" t="str">
        <f t="shared" si="31"/>
        <v>2010Y</v>
      </c>
      <c r="R630" s="390" t="str">
        <f>[1]!SNLLabel(287,324675,,"&lt;&gt;364")</f>
        <v>AR: Group Annuities</v>
      </c>
      <c r="S630" s="366"/>
      <c r="T630" s="391" t="s">
        <v>29</v>
      </c>
    </row>
    <row r="631" spans="15:20" ht="11.25" customHeight="1" x14ac:dyDescent="0.35">
      <c r="O631" s="388" t="s">
        <v>5466</v>
      </c>
      <c r="P631" s="389" t="s">
        <v>5377</v>
      </c>
      <c r="Q631" s="389" t="str">
        <f t="shared" si="31"/>
        <v>2010Y</v>
      </c>
      <c r="R631" s="390" t="str">
        <f>[1]!SNLLabel(287,324675,,"&lt;&gt;365")</f>
        <v>AR: Accident and Health</v>
      </c>
      <c r="S631" s="366"/>
      <c r="T631" s="391" t="s">
        <v>29</v>
      </c>
    </row>
    <row r="632" spans="15:20" ht="11.25" customHeight="1" x14ac:dyDescent="0.35">
      <c r="O632" s="388" t="s">
        <v>5466</v>
      </c>
      <c r="P632" s="389" t="s">
        <v>5377</v>
      </c>
      <c r="Q632" s="389" t="str">
        <f t="shared" si="31"/>
        <v>2010Y</v>
      </c>
      <c r="R632" s="390" t="str">
        <f>[1]!SNLLabel(287,324675,,"&lt;&gt;366")</f>
        <v>AR: Fraternal</v>
      </c>
      <c r="S632" s="366"/>
      <c r="T632" s="391" t="s">
        <v>29</v>
      </c>
    </row>
    <row r="633" spans="15:20" ht="11.25" customHeight="1" x14ac:dyDescent="0.35">
      <c r="O633" s="388" t="s">
        <v>5466</v>
      </c>
      <c r="P633" s="389" t="s">
        <v>5377</v>
      </c>
      <c r="Q633" s="389" t="str">
        <f t="shared" si="31"/>
        <v>2010Y</v>
      </c>
      <c r="R633" s="390" t="str">
        <f>[1]!SNLLabel(287,324675,,"&lt;&gt;367")</f>
        <v>AR: Other Lines of Business</v>
      </c>
      <c r="S633" s="366"/>
      <c r="T633" s="391" t="s">
        <v>29</v>
      </c>
    </row>
    <row r="634" spans="15:20" ht="11.25" customHeight="1" x14ac:dyDescent="0.35">
      <c r="O634" s="388" t="s">
        <v>5466</v>
      </c>
      <c r="P634" s="389" t="s">
        <v>5377</v>
      </c>
      <c r="Q634" s="389" t="str">
        <f t="shared" si="31"/>
        <v>2010Y</v>
      </c>
      <c r="R634" s="390" t="str">
        <f>[1]!SNLLabel(287,324675,,"&lt;&gt;368")</f>
        <v>AR: YRT Mortality Risk Only</v>
      </c>
      <c r="S634" s="366"/>
      <c r="T634" s="391" t="s">
        <v>29</v>
      </c>
    </row>
    <row r="635" spans="15:20" ht="11.25" customHeight="1" x14ac:dyDescent="0.35">
      <c r="O635" s="388" t="s">
        <v>5466</v>
      </c>
      <c r="P635" s="389" t="s">
        <v>5377</v>
      </c>
      <c r="Q635" s="389" t="str">
        <f t="shared" si="31"/>
        <v>2010Y</v>
      </c>
      <c r="R635" s="390" t="str">
        <f>[1]!SNLLabel(287,324675,,"&lt;&gt;369")</f>
        <v>AR: Individual and Group Life</v>
      </c>
      <c r="S635" s="366"/>
      <c r="T635" s="391" t="s">
        <v>29</v>
      </c>
    </row>
    <row r="636" spans="15:20" ht="11.25" customHeight="1" x14ac:dyDescent="0.35">
      <c r="O636" s="367" t="s">
        <v>5466</v>
      </c>
      <c r="P636" s="368" t="s">
        <v>5377</v>
      </c>
      <c r="Q636" s="368" t="str">
        <f t="shared" si="31"/>
        <v>2010Y</v>
      </c>
      <c r="R636" s="369" t="str">
        <f>[1]!SNLLabel(287,324675,,"&lt;&gt;370")</f>
        <v>AR: Individual and Group Annuities</v>
      </c>
      <c r="S636" s="370"/>
      <c r="T636" s="371" t="s">
        <v>29</v>
      </c>
    </row>
    <row r="637" spans="15:20" ht="11.25" customHeight="1" x14ac:dyDescent="0.35">
      <c r="O637" s="377"/>
      <c r="P637" s="378"/>
      <c r="Q637" s="378"/>
      <c r="R637" s="379"/>
      <c r="S637" s="375"/>
      <c r="T637" s="380"/>
    </row>
    <row r="638" spans="15:20" ht="11.25" customHeight="1" x14ac:dyDescent="0.35">
      <c r="O638" s="384" t="s">
        <v>5467</v>
      </c>
      <c r="P638" s="385" t="s">
        <v>5378</v>
      </c>
      <c r="Q638" s="385" t="str">
        <f t="shared" ref="Q638:Q648" si="32">Period</f>
        <v>2014Y</v>
      </c>
      <c r="R638" s="386" t="str">
        <f>[1]!SNLLabel(287,324676,,"&lt;&gt;360")</f>
        <v>AR: Analysis of Operations All Lines</v>
      </c>
      <c r="S638" s="365"/>
      <c r="T638" s="387" t="s">
        <v>29</v>
      </c>
    </row>
    <row r="639" spans="15:20" ht="11.25" customHeight="1" x14ac:dyDescent="0.35">
      <c r="O639" s="388" t="s">
        <v>5467</v>
      </c>
      <c r="P639" s="389" t="s">
        <v>5378</v>
      </c>
      <c r="Q639" s="389" t="str">
        <f t="shared" si="32"/>
        <v>2014Y</v>
      </c>
      <c r="R639" s="390" t="str">
        <f>[1]!SNLLabel(287,324676,,"&lt;&gt;361")</f>
        <v>AR: Individual Life</v>
      </c>
      <c r="S639" s="366"/>
      <c r="T639" s="391" t="s">
        <v>29</v>
      </c>
    </row>
    <row r="640" spans="15:20" ht="11.25" customHeight="1" x14ac:dyDescent="0.35">
      <c r="O640" s="388" t="s">
        <v>5467</v>
      </c>
      <c r="P640" s="389" t="s">
        <v>5378</v>
      </c>
      <c r="Q640" s="389" t="str">
        <f t="shared" si="32"/>
        <v>2014Y</v>
      </c>
      <c r="R640" s="390" t="str">
        <f>[1]!SNLLabel(287,324676,,"&lt;&gt;362")</f>
        <v>AR: Group Life</v>
      </c>
      <c r="S640" s="366"/>
      <c r="T640" s="391" t="s">
        <v>29</v>
      </c>
    </row>
    <row r="641" spans="15:20" ht="11.25" customHeight="1" x14ac:dyDescent="0.35">
      <c r="O641" s="388" t="s">
        <v>5467</v>
      </c>
      <c r="P641" s="389" t="s">
        <v>5378</v>
      </c>
      <c r="Q641" s="389" t="str">
        <f t="shared" si="32"/>
        <v>2014Y</v>
      </c>
      <c r="R641" s="390" t="str">
        <f>[1]!SNLLabel(287,324676,,"&lt;&gt;363")</f>
        <v>AR: Individual Annuities</v>
      </c>
      <c r="S641" s="366"/>
      <c r="T641" s="391" t="s">
        <v>29</v>
      </c>
    </row>
    <row r="642" spans="15:20" ht="11.25" customHeight="1" x14ac:dyDescent="0.35">
      <c r="O642" s="388" t="s">
        <v>5467</v>
      </c>
      <c r="P642" s="389" t="s">
        <v>5378</v>
      </c>
      <c r="Q642" s="389" t="str">
        <f t="shared" si="32"/>
        <v>2014Y</v>
      </c>
      <c r="R642" s="390" t="str">
        <f>[1]!SNLLabel(287,324676,,"&lt;&gt;364")</f>
        <v>AR: Group Annuities</v>
      </c>
      <c r="S642" s="366"/>
      <c r="T642" s="391" t="s">
        <v>29</v>
      </c>
    </row>
    <row r="643" spans="15:20" ht="11.25" customHeight="1" x14ac:dyDescent="0.35">
      <c r="O643" s="388" t="s">
        <v>5467</v>
      </c>
      <c r="P643" s="389" t="s">
        <v>5378</v>
      </c>
      <c r="Q643" s="389" t="str">
        <f t="shared" si="32"/>
        <v>2014Y</v>
      </c>
      <c r="R643" s="390" t="str">
        <f>[1]!SNLLabel(287,324676,,"&lt;&gt;365")</f>
        <v>AR: Accident and Health</v>
      </c>
      <c r="S643" s="366"/>
      <c r="T643" s="391" t="s">
        <v>29</v>
      </c>
    </row>
    <row r="644" spans="15:20" ht="11.25" customHeight="1" x14ac:dyDescent="0.35">
      <c r="O644" s="388" t="s">
        <v>5467</v>
      </c>
      <c r="P644" s="389" t="s">
        <v>5378</v>
      </c>
      <c r="Q644" s="389" t="str">
        <f t="shared" si="32"/>
        <v>2014Y</v>
      </c>
      <c r="R644" s="390" t="str">
        <f>[1]!SNLLabel(287,324676,,"&lt;&gt;366")</f>
        <v>AR: Fraternal</v>
      </c>
      <c r="S644" s="366"/>
      <c r="T644" s="391" t="s">
        <v>29</v>
      </c>
    </row>
    <row r="645" spans="15:20" ht="11.25" customHeight="1" x14ac:dyDescent="0.35">
      <c r="O645" s="388" t="s">
        <v>5467</v>
      </c>
      <c r="P645" s="389" t="s">
        <v>5378</v>
      </c>
      <c r="Q645" s="389" t="str">
        <f t="shared" si="32"/>
        <v>2014Y</v>
      </c>
      <c r="R645" s="390" t="str">
        <f>[1]!SNLLabel(287,324676,,"&lt;&gt;367")</f>
        <v>AR: Other Lines of Business</v>
      </c>
      <c r="S645" s="366"/>
      <c r="T645" s="391" t="s">
        <v>29</v>
      </c>
    </row>
    <row r="646" spans="15:20" ht="11.25" customHeight="1" x14ac:dyDescent="0.35">
      <c r="O646" s="388" t="s">
        <v>5467</v>
      </c>
      <c r="P646" s="389" t="s">
        <v>5378</v>
      </c>
      <c r="Q646" s="389" t="str">
        <f t="shared" si="32"/>
        <v>2014Y</v>
      </c>
      <c r="R646" s="390" t="str">
        <f>[1]!SNLLabel(287,324676,,"&lt;&gt;368")</f>
        <v>AR: YRT Mortality Risk Only</v>
      </c>
      <c r="S646" s="366"/>
      <c r="T646" s="391" t="s">
        <v>29</v>
      </c>
    </row>
    <row r="647" spans="15:20" ht="11.25" customHeight="1" x14ac:dyDescent="0.35">
      <c r="O647" s="388" t="s">
        <v>5467</v>
      </c>
      <c r="P647" s="389" t="s">
        <v>5378</v>
      </c>
      <c r="Q647" s="389" t="str">
        <f t="shared" si="32"/>
        <v>2014Y</v>
      </c>
      <c r="R647" s="390" t="str">
        <f>[1]!SNLLabel(287,324676,,"&lt;&gt;369")</f>
        <v>AR: Individual and Group Life</v>
      </c>
      <c r="S647" s="366"/>
      <c r="T647" s="391" t="s">
        <v>29</v>
      </c>
    </row>
    <row r="648" spans="15:20" ht="11.25" customHeight="1" x14ac:dyDescent="0.35">
      <c r="O648" s="367" t="s">
        <v>5467</v>
      </c>
      <c r="P648" s="368" t="s">
        <v>5378</v>
      </c>
      <c r="Q648" s="368" t="str">
        <f t="shared" si="32"/>
        <v>2014Y</v>
      </c>
      <c r="R648" s="369" t="str">
        <f>[1]!SNLLabel(287,324676,,"&lt;&gt;370")</f>
        <v>AR: Individual and Group Annuities</v>
      </c>
      <c r="S648" s="370"/>
      <c r="T648" s="371" t="s">
        <v>29</v>
      </c>
    </row>
    <row r="649" spans="15:20" ht="11.25" customHeight="1" x14ac:dyDescent="0.35">
      <c r="O649" s="384" t="s">
        <v>5467</v>
      </c>
      <c r="P649" s="385" t="s">
        <v>5378</v>
      </c>
      <c r="Q649" s="385" t="str">
        <f t="shared" ref="Q649:Q659" si="33">LEFT(Period,4)-1&amp;"Y"</f>
        <v>2013Y</v>
      </c>
      <c r="R649" s="386" t="str">
        <f>[1]!SNLLabel(287,324676,,"&lt;&gt;360")</f>
        <v>AR: Analysis of Operations All Lines</v>
      </c>
      <c r="S649" s="365"/>
      <c r="T649" s="387" t="s">
        <v>29</v>
      </c>
    </row>
    <row r="650" spans="15:20" ht="11.25" customHeight="1" x14ac:dyDescent="0.35">
      <c r="O650" s="388" t="s">
        <v>5467</v>
      </c>
      <c r="P650" s="389" t="s">
        <v>5378</v>
      </c>
      <c r="Q650" s="389" t="str">
        <f t="shared" si="33"/>
        <v>2013Y</v>
      </c>
      <c r="R650" s="390" t="str">
        <f>[1]!SNLLabel(287,324676,,"&lt;&gt;361")</f>
        <v>AR: Individual Life</v>
      </c>
      <c r="S650" s="366"/>
      <c r="T650" s="391" t="s">
        <v>29</v>
      </c>
    </row>
    <row r="651" spans="15:20" ht="11.25" customHeight="1" x14ac:dyDescent="0.35">
      <c r="O651" s="388" t="s">
        <v>5467</v>
      </c>
      <c r="P651" s="389" t="s">
        <v>5378</v>
      </c>
      <c r="Q651" s="389" t="str">
        <f t="shared" si="33"/>
        <v>2013Y</v>
      </c>
      <c r="R651" s="390" t="str">
        <f>[1]!SNLLabel(287,324676,,"&lt;&gt;362")</f>
        <v>AR: Group Life</v>
      </c>
      <c r="S651" s="366"/>
      <c r="T651" s="391" t="s">
        <v>29</v>
      </c>
    </row>
    <row r="652" spans="15:20" ht="11.25" customHeight="1" x14ac:dyDescent="0.35">
      <c r="O652" s="388" t="s">
        <v>5467</v>
      </c>
      <c r="P652" s="389" t="s">
        <v>5378</v>
      </c>
      <c r="Q652" s="389" t="str">
        <f t="shared" si="33"/>
        <v>2013Y</v>
      </c>
      <c r="R652" s="390" t="str">
        <f>[1]!SNLLabel(287,324676,,"&lt;&gt;363")</f>
        <v>AR: Individual Annuities</v>
      </c>
      <c r="S652" s="366"/>
      <c r="T652" s="391" t="s">
        <v>29</v>
      </c>
    </row>
    <row r="653" spans="15:20" ht="11.25" customHeight="1" x14ac:dyDescent="0.35">
      <c r="O653" s="388" t="s">
        <v>5467</v>
      </c>
      <c r="P653" s="389" t="s">
        <v>5378</v>
      </c>
      <c r="Q653" s="389" t="str">
        <f t="shared" si="33"/>
        <v>2013Y</v>
      </c>
      <c r="R653" s="390" t="str">
        <f>[1]!SNLLabel(287,324676,,"&lt;&gt;364")</f>
        <v>AR: Group Annuities</v>
      </c>
      <c r="S653" s="366"/>
      <c r="T653" s="391" t="s">
        <v>29</v>
      </c>
    </row>
    <row r="654" spans="15:20" ht="11.25" customHeight="1" x14ac:dyDescent="0.35">
      <c r="O654" s="388" t="s">
        <v>5467</v>
      </c>
      <c r="P654" s="389" t="s">
        <v>5378</v>
      </c>
      <c r="Q654" s="389" t="str">
        <f t="shared" si="33"/>
        <v>2013Y</v>
      </c>
      <c r="R654" s="390" t="str">
        <f>[1]!SNLLabel(287,324676,,"&lt;&gt;365")</f>
        <v>AR: Accident and Health</v>
      </c>
      <c r="S654" s="366"/>
      <c r="T654" s="391" t="s">
        <v>29</v>
      </c>
    </row>
    <row r="655" spans="15:20" ht="11.25" customHeight="1" x14ac:dyDescent="0.35">
      <c r="O655" s="388" t="s">
        <v>5467</v>
      </c>
      <c r="P655" s="389" t="s">
        <v>5378</v>
      </c>
      <c r="Q655" s="389" t="str">
        <f t="shared" si="33"/>
        <v>2013Y</v>
      </c>
      <c r="R655" s="390" t="str">
        <f>[1]!SNLLabel(287,324676,,"&lt;&gt;366")</f>
        <v>AR: Fraternal</v>
      </c>
      <c r="S655" s="366"/>
      <c r="T655" s="391" t="s">
        <v>29</v>
      </c>
    </row>
    <row r="656" spans="15:20" ht="11.25" customHeight="1" x14ac:dyDescent="0.35">
      <c r="O656" s="388" t="s">
        <v>5467</v>
      </c>
      <c r="P656" s="389" t="s">
        <v>5378</v>
      </c>
      <c r="Q656" s="389" t="str">
        <f t="shared" si="33"/>
        <v>2013Y</v>
      </c>
      <c r="R656" s="390" t="str">
        <f>[1]!SNLLabel(287,324676,,"&lt;&gt;367")</f>
        <v>AR: Other Lines of Business</v>
      </c>
      <c r="S656" s="366"/>
      <c r="T656" s="391" t="s">
        <v>29</v>
      </c>
    </row>
    <row r="657" spans="15:20" ht="11.25" customHeight="1" x14ac:dyDescent="0.35">
      <c r="O657" s="388" t="s">
        <v>5467</v>
      </c>
      <c r="P657" s="389" t="s">
        <v>5378</v>
      </c>
      <c r="Q657" s="389" t="str">
        <f t="shared" si="33"/>
        <v>2013Y</v>
      </c>
      <c r="R657" s="390" t="str">
        <f>[1]!SNLLabel(287,324676,,"&lt;&gt;368")</f>
        <v>AR: YRT Mortality Risk Only</v>
      </c>
      <c r="S657" s="366"/>
      <c r="T657" s="391" t="s">
        <v>29</v>
      </c>
    </row>
    <row r="658" spans="15:20" ht="11.25" customHeight="1" x14ac:dyDescent="0.35">
      <c r="O658" s="388" t="s">
        <v>5467</v>
      </c>
      <c r="P658" s="389" t="s">
        <v>5378</v>
      </c>
      <c r="Q658" s="389" t="str">
        <f t="shared" si="33"/>
        <v>2013Y</v>
      </c>
      <c r="R658" s="390" t="str">
        <f>[1]!SNLLabel(287,324676,,"&lt;&gt;369")</f>
        <v>AR: Individual and Group Life</v>
      </c>
      <c r="S658" s="366"/>
      <c r="T658" s="391" t="s">
        <v>29</v>
      </c>
    </row>
    <row r="659" spans="15:20" ht="11.25" customHeight="1" x14ac:dyDescent="0.35">
      <c r="O659" s="367" t="s">
        <v>5467</v>
      </c>
      <c r="P659" s="368" t="s">
        <v>5378</v>
      </c>
      <c r="Q659" s="368" t="str">
        <f t="shared" si="33"/>
        <v>2013Y</v>
      </c>
      <c r="R659" s="369" t="str">
        <f>[1]!SNLLabel(287,324676,,"&lt;&gt;370")</f>
        <v>AR: Individual and Group Annuities</v>
      </c>
      <c r="S659" s="370"/>
      <c r="T659" s="371" t="s">
        <v>29</v>
      </c>
    </row>
    <row r="660" spans="15:20" ht="11.25" customHeight="1" x14ac:dyDescent="0.35">
      <c r="O660" s="384" t="s">
        <v>5467</v>
      </c>
      <c r="P660" s="385" t="s">
        <v>5378</v>
      </c>
      <c r="Q660" s="385" t="str">
        <f t="shared" ref="Q660:Q670" si="34">LEFT(Period,4)-2&amp;"Y"</f>
        <v>2012Y</v>
      </c>
      <c r="R660" s="386" t="str">
        <f>[1]!SNLLabel(287,324676,,"&lt;&gt;360")</f>
        <v>AR: Analysis of Operations All Lines</v>
      </c>
      <c r="S660" s="365"/>
      <c r="T660" s="387" t="s">
        <v>29</v>
      </c>
    </row>
    <row r="661" spans="15:20" ht="11.25" customHeight="1" x14ac:dyDescent="0.35">
      <c r="O661" s="388" t="s">
        <v>5467</v>
      </c>
      <c r="P661" s="389" t="s">
        <v>5378</v>
      </c>
      <c r="Q661" s="389" t="str">
        <f t="shared" si="34"/>
        <v>2012Y</v>
      </c>
      <c r="R661" s="390" t="str">
        <f>[1]!SNLLabel(287,324676,,"&lt;&gt;361")</f>
        <v>AR: Individual Life</v>
      </c>
      <c r="S661" s="366"/>
      <c r="T661" s="391" t="s">
        <v>29</v>
      </c>
    </row>
    <row r="662" spans="15:20" ht="11.25" customHeight="1" x14ac:dyDescent="0.35">
      <c r="O662" s="388" t="s">
        <v>5467</v>
      </c>
      <c r="P662" s="389" t="s">
        <v>5378</v>
      </c>
      <c r="Q662" s="389" t="str">
        <f t="shared" si="34"/>
        <v>2012Y</v>
      </c>
      <c r="R662" s="390" t="str">
        <f>[1]!SNLLabel(287,324676,,"&lt;&gt;362")</f>
        <v>AR: Group Life</v>
      </c>
      <c r="S662" s="366"/>
      <c r="T662" s="391" t="s">
        <v>29</v>
      </c>
    </row>
    <row r="663" spans="15:20" ht="11.25" customHeight="1" x14ac:dyDescent="0.35">
      <c r="O663" s="388" t="s">
        <v>5467</v>
      </c>
      <c r="P663" s="389" t="s">
        <v>5378</v>
      </c>
      <c r="Q663" s="389" t="str">
        <f t="shared" si="34"/>
        <v>2012Y</v>
      </c>
      <c r="R663" s="390" t="str">
        <f>[1]!SNLLabel(287,324676,,"&lt;&gt;363")</f>
        <v>AR: Individual Annuities</v>
      </c>
      <c r="S663" s="366"/>
      <c r="T663" s="391" t="s">
        <v>29</v>
      </c>
    </row>
    <row r="664" spans="15:20" ht="11.25" customHeight="1" x14ac:dyDescent="0.35">
      <c r="O664" s="388" t="s">
        <v>5467</v>
      </c>
      <c r="P664" s="389" t="s">
        <v>5378</v>
      </c>
      <c r="Q664" s="389" t="str">
        <f t="shared" si="34"/>
        <v>2012Y</v>
      </c>
      <c r="R664" s="390" t="str">
        <f>[1]!SNLLabel(287,324676,,"&lt;&gt;364")</f>
        <v>AR: Group Annuities</v>
      </c>
      <c r="S664" s="366"/>
      <c r="T664" s="391" t="s">
        <v>29</v>
      </c>
    </row>
    <row r="665" spans="15:20" ht="11.25" customHeight="1" x14ac:dyDescent="0.35">
      <c r="O665" s="388" t="s">
        <v>5467</v>
      </c>
      <c r="P665" s="389" t="s">
        <v>5378</v>
      </c>
      <c r="Q665" s="389" t="str">
        <f t="shared" si="34"/>
        <v>2012Y</v>
      </c>
      <c r="R665" s="390" t="str">
        <f>[1]!SNLLabel(287,324676,,"&lt;&gt;365")</f>
        <v>AR: Accident and Health</v>
      </c>
      <c r="S665" s="366"/>
      <c r="T665" s="391" t="s">
        <v>29</v>
      </c>
    </row>
    <row r="666" spans="15:20" ht="11.25" customHeight="1" x14ac:dyDescent="0.35">
      <c r="O666" s="388" t="s">
        <v>5467</v>
      </c>
      <c r="P666" s="389" t="s">
        <v>5378</v>
      </c>
      <c r="Q666" s="389" t="str">
        <f t="shared" si="34"/>
        <v>2012Y</v>
      </c>
      <c r="R666" s="390" t="str">
        <f>[1]!SNLLabel(287,324676,,"&lt;&gt;366")</f>
        <v>AR: Fraternal</v>
      </c>
      <c r="S666" s="366"/>
      <c r="T666" s="391" t="s">
        <v>29</v>
      </c>
    </row>
    <row r="667" spans="15:20" ht="11.25" customHeight="1" x14ac:dyDescent="0.35">
      <c r="O667" s="388" t="s">
        <v>5467</v>
      </c>
      <c r="P667" s="389" t="s">
        <v>5378</v>
      </c>
      <c r="Q667" s="389" t="str">
        <f t="shared" si="34"/>
        <v>2012Y</v>
      </c>
      <c r="R667" s="390" t="str">
        <f>[1]!SNLLabel(287,324676,,"&lt;&gt;367")</f>
        <v>AR: Other Lines of Business</v>
      </c>
      <c r="S667" s="366"/>
      <c r="T667" s="391" t="s">
        <v>29</v>
      </c>
    </row>
    <row r="668" spans="15:20" ht="11.25" customHeight="1" x14ac:dyDescent="0.35">
      <c r="O668" s="388" t="s">
        <v>5467</v>
      </c>
      <c r="P668" s="389" t="s">
        <v>5378</v>
      </c>
      <c r="Q668" s="389" t="str">
        <f t="shared" si="34"/>
        <v>2012Y</v>
      </c>
      <c r="R668" s="390" t="str">
        <f>[1]!SNLLabel(287,324676,,"&lt;&gt;368")</f>
        <v>AR: YRT Mortality Risk Only</v>
      </c>
      <c r="S668" s="366"/>
      <c r="T668" s="391" t="s">
        <v>29</v>
      </c>
    </row>
    <row r="669" spans="15:20" ht="11.25" customHeight="1" x14ac:dyDescent="0.35">
      <c r="O669" s="388" t="s">
        <v>5467</v>
      </c>
      <c r="P669" s="389" t="s">
        <v>5378</v>
      </c>
      <c r="Q669" s="389" t="str">
        <f t="shared" si="34"/>
        <v>2012Y</v>
      </c>
      <c r="R669" s="390" t="str">
        <f>[1]!SNLLabel(287,324676,,"&lt;&gt;369")</f>
        <v>AR: Individual and Group Life</v>
      </c>
      <c r="S669" s="366"/>
      <c r="T669" s="391" t="s">
        <v>29</v>
      </c>
    </row>
    <row r="670" spans="15:20" ht="11.25" customHeight="1" x14ac:dyDescent="0.35">
      <c r="O670" s="367" t="s">
        <v>5467</v>
      </c>
      <c r="P670" s="368" t="s">
        <v>5378</v>
      </c>
      <c r="Q670" s="368" t="str">
        <f t="shared" si="34"/>
        <v>2012Y</v>
      </c>
      <c r="R670" s="369" t="str">
        <f>[1]!SNLLabel(287,324676,,"&lt;&gt;370")</f>
        <v>AR: Individual and Group Annuities</v>
      </c>
      <c r="S670" s="370"/>
      <c r="T670" s="371" t="s">
        <v>29</v>
      </c>
    </row>
    <row r="671" spans="15:20" ht="11.25" customHeight="1" x14ac:dyDescent="0.35">
      <c r="O671" s="384" t="s">
        <v>5467</v>
      </c>
      <c r="P671" s="385" t="s">
        <v>5378</v>
      </c>
      <c r="Q671" s="385" t="str">
        <f t="shared" ref="Q671:Q681" si="35">LEFT(Period,4)-3&amp;"Y"</f>
        <v>2011Y</v>
      </c>
      <c r="R671" s="386" t="str">
        <f>[1]!SNLLabel(287,324676,,"&lt;&gt;360")</f>
        <v>AR: Analysis of Operations All Lines</v>
      </c>
      <c r="S671" s="365"/>
      <c r="T671" s="387" t="s">
        <v>29</v>
      </c>
    </row>
    <row r="672" spans="15:20" ht="11.25" customHeight="1" x14ac:dyDescent="0.35">
      <c r="O672" s="388" t="s">
        <v>5467</v>
      </c>
      <c r="P672" s="389" t="s">
        <v>5378</v>
      </c>
      <c r="Q672" s="389" t="str">
        <f t="shared" si="35"/>
        <v>2011Y</v>
      </c>
      <c r="R672" s="390" t="str">
        <f>[1]!SNLLabel(287,324676,,"&lt;&gt;361")</f>
        <v>AR: Individual Life</v>
      </c>
      <c r="S672" s="366"/>
      <c r="T672" s="391" t="s">
        <v>29</v>
      </c>
    </row>
    <row r="673" spans="15:20" ht="11.25" customHeight="1" x14ac:dyDescent="0.35">
      <c r="O673" s="388" t="s">
        <v>5467</v>
      </c>
      <c r="P673" s="389" t="s">
        <v>5378</v>
      </c>
      <c r="Q673" s="389" t="str">
        <f t="shared" si="35"/>
        <v>2011Y</v>
      </c>
      <c r="R673" s="390" t="str">
        <f>[1]!SNLLabel(287,324676,,"&lt;&gt;362")</f>
        <v>AR: Group Life</v>
      </c>
      <c r="S673" s="366"/>
      <c r="T673" s="391" t="s">
        <v>29</v>
      </c>
    </row>
    <row r="674" spans="15:20" ht="11.25" customHeight="1" x14ac:dyDescent="0.35">
      <c r="O674" s="388" t="s">
        <v>5467</v>
      </c>
      <c r="P674" s="389" t="s">
        <v>5378</v>
      </c>
      <c r="Q674" s="389" t="str">
        <f t="shared" si="35"/>
        <v>2011Y</v>
      </c>
      <c r="R674" s="390" t="str">
        <f>[1]!SNLLabel(287,324676,,"&lt;&gt;363")</f>
        <v>AR: Individual Annuities</v>
      </c>
      <c r="S674" s="366"/>
      <c r="T674" s="391" t="s">
        <v>29</v>
      </c>
    </row>
    <row r="675" spans="15:20" ht="11.25" customHeight="1" x14ac:dyDescent="0.35">
      <c r="O675" s="388" t="s">
        <v>5467</v>
      </c>
      <c r="P675" s="389" t="s">
        <v>5378</v>
      </c>
      <c r="Q675" s="389" t="str">
        <f t="shared" si="35"/>
        <v>2011Y</v>
      </c>
      <c r="R675" s="390" t="str">
        <f>[1]!SNLLabel(287,324676,,"&lt;&gt;364")</f>
        <v>AR: Group Annuities</v>
      </c>
      <c r="S675" s="366"/>
      <c r="T675" s="391" t="s">
        <v>29</v>
      </c>
    </row>
    <row r="676" spans="15:20" ht="11.25" customHeight="1" x14ac:dyDescent="0.35">
      <c r="O676" s="388" t="s">
        <v>5467</v>
      </c>
      <c r="P676" s="389" t="s">
        <v>5378</v>
      </c>
      <c r="Q676" s="389" t="str">
        <f t="shared" si="35"/>
        <v>2011Y</v>
      </c>
      <c r="R676" s="390" t="str">
        <f>[1]!SNLLabel(287,324676,,"&lt;&gt;365")</f>
        <v>AR: Accident and Health</v>
      </c>
      <c r="S676" s="366"/>
      <c r="T676" s="391" t="s">
        <v>29</v>
      </c>
    </row>
    <row r="677" spans="15:20" ht="11.25" customHeight="1" x14ac:dyDescent="0.35">
      <c r="O677" s="388" t="s">
        <v>5467</v>
      </c>
      <c r="P677" s="389" t="s">
        <v>5378</v>
      </c>
      <c r="Q677" s="389" t="str">
        <f t="shared" si="35"/>
        <v>2011Y</v>
      </c>
      <c r="R677" s="390" t="str">
        <f>[1]!SNLLabel(287,324676,,"&lt;&gt;366")</f>
        <v>AR: Fraternal</v>
      </c>
      <c r="S677" s="366"/>
      <c r="T677" s="391" t="s">
        <v>29</v>
      </c>
    </row>
    <row r="678" spans="15:20" ht="11.25" customHeight="1" x14ac:dyDescent="0.35">
      <c r="O678" s="388" t="s">
        <v>5467</v>
      </c>
      <c r="P678" s="389" t="s">
        <v>5378</v>
      </c>
      <c r="Q678" s="389" t="str">
        <f t="shared" si="35"/>
        <v>2011Y</v>
      </c>
      <c r="R678" s="390" t="str">
        <f>[1]!SNLLabel(287,324676,,"&lt;&gt;367")</f>
        <v>AR: Other Lines of Business</v>
      </c>
      <c r="S678" s="366"/>
      <c r="T678" s="391" t="s">
        <v>29</v>
      </c>
    </row>
    <row r="679" spans="15:20" ht="11.25" customHeight="1" x14ac:dyDescent="0.35">
      <c r="O679" s="388" t="s">
        <v>5467</v>
      </c>
      <c r="P679" s="389" t="s">
        <v>5378</v>
      </c>
      <c r="Q679" s="389" t="str">
        <f t="shared" si="35"/>
        <v>2011Y</v>
      </c>
      <c r="R679" s="390" t="str">
        <f>[1]!SNLLabel(287,324676,,"&lt;&gt;368")</f>
        <v>AR: YRT Mortality Risk Only</v>
      </c>
      <c r="S679" s="366"/>
      <c r="T679" s="391" t="s">
        <v>29</v>
      </c>
    </row>
    <row r="680" spans="15:20" ht="11.25" customHeight="1" x14ac:dyDescent="0.35">
      <c r="O680" s="388" t="s">
        <v>5467</v>
      </c>
      <c r="P680" s="389" t="s">
        <v>5378</v>
      </c>
      <c r="Q680" s="389" t="str">
        <f t="shared" si="35"/>
        <v>2011Y</v>
      </c>
      <c r="R680" s="390" t="str">
        <f>[1]!SNLLabel(287,324676,,"&lt;&gt;369")</f>
        <v>AR: Individual and Group Life</v>
      </c>
      <c r="S680" s="366"/>
      <c r="T680" s="391" t="s">
        <v>29</v>
      </c>
    </row>
    <row r="681" spans="15:20" ht="11.25" customHeight="1" x14ac:dyDescent="0.35">
      <c r="O681" s="367" t="s">
        <v>5467</v>
      </c>
      <c r="P681" s="368" t="s">
        <v>5378</v>
      </c>
      <c r="Q681" s="368" t="str">
        <f t="shared" si="35"/>
        <v>2011Y</v>
      </c>
      <c r="R681" s="369" t="str">
        <f>[1]!SNLLabel(287,324676,,"&lt;&gt;370")</f>
        <v>AR: Individual and Group Annuities</v>
      </c>
      <c r="S681" s="370"/>
      <c r="T681" s="371" t="s">
        <v>29</v>
      </c>
    </row>
    <row r="682" spans="15:20" ht="11.25" customHeight="1" x14ac:dyDescent="0.35">
      <c r="O682" s="384" t="s">
        <v>5467</v>
      </c>
      <c r="P682" s="385" t="s">
        <v>5378</v>
      </c>
      <c r="Q682" s="385" t="str">
        <f t="shared" ref="Q682:Q692" si="36">LEFT(Period,4)-4&amp;"Y"</f>
        <v>2010Y</v>
      </c>
      <c r="R682" s="386" t="str">
        <f>[1]!SNLLabel(287,324676,,"&lt;&gt;360")</f>
        <v>AR: Analysis of Operations All Lines</v>
      </c>
      <c r="S682" s="365"/>
      <c r="T682" s="387" t="s">
        <v>29</v>
      </c>
    </row>
    <row r="683" spans="15:20" ht="11.25" customHeight="1" x14ac:dyDescent="0.35">
      <c r="O683" s="388" t="s">
        <v>5467</v>
      </c>
      <c r="P683" s="389" t="s">
        <v>5378</v>
      </c>
      <c r="Q683" s="389" t="str">
        <f t="shared" si="36"/>
        <v>2010Y</v>
      </c>
      <c r="R683" s="390" t="str">
        <f>[1]!SNLLabel(287,324676,,"&lt;&gt;361")</f>
        <v>AR: Individual Life</v>
      </c>
      <c r="S683" s="366"/>
      <c r="T683" s="391" t="s">
        <v>29</v>
      </c>
    </row>
    <row r="684" spans="15:20" ht="11.25" customHeight="1" x14ac:dyDescent="0.35">
      <c r="O684" s="388" t="s">
        <v>5467</v>
      </c>
      <c r="P684" s="389" t="s">
        <v>5378</v>
      </c>
      <c r="Q684" s="389" t="str">
        <f t="shared" si="36"/>
        <v>2010Y</v>
      </c>
      <c r="R684" s="390" t="str">
        <f>[1]!SNLLabel(287,324676,,"&lt;&gt;362")</f>
        <v>AR: Group Life</v>
      </c>
      <c r="S684" s="366"/>
      <c r="T684" s="391" t="s">
        <v>29</v>
      </c>
    </row>
    <row r="685" spans="15:20" ht="11.25" customHeight="1" x14ac:dyDescent="0.35">
      <c r="O685" s="388" t="s">
        <v>5467</v>
      </c>
      <c r="P685" s="389" t="s">
        <v>5378</v>
      </c>
      <c r="Q685" s="389" t="str">
        <f t="shared" si="36"/>
        <v>2010Y</v>
      </c>
      <c r="R685" s="390" t="str">
        <f>[1]!SNLLabel(287,324676,,"&lt;&gt;363")</f>
        <v>AR: Individual Annuities</v>
      </c>
      <c r="S685" s="366"/>
      <c r="T685" s="391" t="s">
        <v>29</v>
      </c>
    </row>
    <row r="686" spans="15:20" ht="11.25" customHeight="1" x14ac:dyDescent="0.35">
      <c r="O686" s="388" t="s">
        <v>5467</v>
      </c>
      <c r="P686" s="389" t="s">
        <v>5378</v>
      </c>
      <c r="Q686" s="389" t="str">
        <f t="shared" si="36"/>
        <v>2010Y</v>
      </c>
      <c r="R686" s="390" t="str">
        <f>[1]!SNLLabel(287,324676,,"&lt;&gt;364")</f>
        <v>AR: Group Annuities</v>
      </c>
      <c r="S686" s="366"/>
      <c r="T686" s="391" t="s">
        <v>29</v>
      </c>
    </row>
    <row r="687" spans="15:20" ht="11.25" customHeight="1" x14ac:dyDescent="0.35">
      <c r="O687" s="388" t="s">
        <v>5467</v>
      </c>
      <c r="P687" s="389" t="s">
        <v>5378</v>
      </c>
      <c r="Q687" s="389" t="str">
        <f t="shared" si="36"/>
        <v>2010Y</v>
      </c>
      <c r="R687" s="390" t="str">
        <f>[1]!SNLLabel(287,324676,,"&lt;&gt;365")</f>
        <v>AR: Accident and Health</v>
      </c>
      <c r="S687" s="366"/>
      <c r="T687" s="391" t="s">
        <v>29</v>
      </c>
    </row>
    <row r="688" spans="15:20" ht="11.25" customHeight="1" x14ac:dyDescent="0.35">
      <c r="O688" s="388" t="s">
        <v>5467</v>
      </c>
      <c r="P688" s="389" t="s">
        <v>5378</v>
      </c>
      <c r="Q688" s="389" t="str">
        <f t="shared" si="36"/>
        <v>2010Y</v>
      </c>
      <c r="R688" s="390" t="str">
        <f>[1]!SNLLabel(287,324676,,"&lt;&gt;366")</f>
        <v>AR: Fraternal</v>
      </c>
      <c r="S688" s="366"/>
      <c r="T688" s="391" t="s">
        <v>29</v>
      </c>
    </row>
    <row r="689" spans="15:20" ht="11.25" customHeight="1" x14ac:dyDescent="0.35">
      <c r="O689" s="388" t="s">
        <v>5467</v>
      </c>
      <c r="P689" s="389" t="s">
        <v>5378</v>
      </c>
      <c r="Q689" s="389" t="str">
        <f t="shared" si="36"/>
        <v>2010Y</v>
      </c>
      <c r="R689" s="390" t="str">
        <f>[1]!SNLLabel(287,324676,,"&lt;&gt;367")</f>
        <v>AR: Other Lines of Business</v>
      </c>
      <c r="S689" s="366"/>
      <c r="T689" s="391" t="s">
        <v>29</v>
      </c>
    </row>
    <row r="690" spans="15:20" ht="11.25" customHeight="1" x14ac:dyDescent="0.35">
      <c r="O690" s="388" t="s">
        <v>5467</v>
      </c>
      <c r="P690" s="389" t="s">
        <v>5378</v>
      </c>
      <c r="Q690" s="389" t="str">
        <f t="shared" si="36"/>
        <v>2010Y</v>
      </c>
      <c r="R690" s="390" t="str">
        <f>[1]!SNLLabel(287,324676,,"&lt;&gt;368")</f>
        <v>AR: YRT Mortality Risk Only</v>
      </c>
      <c r="S690" s="366"/>
      <c r="T690" s="391" t="s">
        <v>29</v>
      </c>
    </row>
    <row r="691" spans="15:20" ht="11.25" customHeight="1" x14ac:dyDescent="0.35">
      <c r="O691" s="388" t="s">
        <v>5467</v>
      </c>
      <c r="P691" s="389" t="s">
        <v>5378</v>
      </c>
      <c r="Q691" s="389" t="str">
        <f t="shared" si="36"/>
        <v>2010Y</v>
      </c>
      <c r="R691" s="390" t="str">
        <f>[1]!SNLLabel(287,324676,,"&lt;&gt;369")</f>
        <v>AR: Individual and Group Life</v>
      </c>
      <c r="S691" s="366"/>
      <c r="T691" s="391" t="s">
        <v>29</v>
      </c>
    </row>
    <row r="692" spans="15:20" ht="11.25" customHeight="1" x14ac:dyDescent="0.35">
      <c r="O692" s="367" t="s">
        <v>5467</v>
      </c>
      <c r="P692" s="368" t="s">
        <v>5378</v>
      </c>
      <c r="Q692" s="368" t="str">
        <f t="shared" si="36"/>
        <v>2010Y</v>
      </c>
      <c r="R692" s="369" t="str">
        <f>[1]!SNLLabel(287,324676,,"&lt;&gt;370")</f>
        <v>AR: Individual and Group Annuities</v>
      </c>
      <c r="S692" s="370"/>
      <c r="T692" s="371" t="s">
        <v>29</v>
      </c>
    </row>
    <row r="693" spans="15:20" ht="11.25" customHeight="1" x14ac:dyDescent="0.35">
      <c r="O693" s="377"/>
      <c r="P693" s="378"/>
      <c r="Q693" s="378"/>
      <c r="R693" s="379"/>
      <c r="S693" s="375"/>
      <c r="T693" s="380"/>
    </row>
    <row r="694" spans="15:20" ht="11.25" customHeight="1" x14ac:dyDescent="0.35">
      <c r="O694" s="384" t="s">
        <v>5468</v>
      </c>
      <c r="P694" s="385" t="s">
        <v>5379</v>
      </c>
      <c r="Q694" s="385" t="str">
        <f t="shared" ref="Q694:Q704" si="37">Period</f>
        <v>2014Y</v>
      </c>
      <c r="R694" s="386" t="str">
        <f>[1]!SNLLabel(287,324678,,"&lt;&gt;360")</f>
        <v>AR: Analysis of Operations All Lines</v>
      </c>
      <c r="S694" s="365"/>
      <c r="T694" s="387" t="s">
        <v>29</v>
      </c>
    </row>
    <row r="695" spans="15:20" ht="11.25" customHeight="1" x14ac:dyDescent="0.35">
      <c r="O695" s="388" t="s">
        <v>5468</v>
      </c>
      <c r="P695" s="389" t="s">
        <v>5379</v>
      </c>
      <c r="Q695" s="389" t="str">
        <f t="shared" si="37"/>
        <v>2014Y</v>
      </c>
      <c r="R695" s="390" t="str">
        <f>[1]!SNLLabel(287,324678,,"&lt;&gt;361")</f>
        <v>AR: Individual Life</v>
      </c>
      <c r="S695" s="366"/>
      <c r="T695" s="391" t="s">
        <v>29</v>
      </c>
    </row>
    <row r="696" spans="15:20" ht="11.25" customHeight="1" x14ac:dyDescent="0.35">
      <c r="O696" s="388" t="s">
        <v>5468</v>
      </c>
      <c r="P696" s="389" t="s">
        <v>5379</v>
      </c>
      <c r="Q696" s="389" t="str">
        <f t="shared" si="37"/>
        <v>2014Y</v>
      </c>
      <c r="R696" s="390" t="str">
        <f>[1]!SNLLabel(287,324678,,"&lt;&gt;362")</f>
        <v>AR: Group Life</v>
      </c>
      <c r="S696" s="366"/>
      <c r="T696" s="391" t="s">
        <v>29</v>
      </c>
    </row>
    <row r="697" spans="15:20" ht="11.25" customHeight="1" x14ac:dyDescent="0.35">
      <c r="O697" s="388" t="s">
        <v>5468</v>
      </c>
      <c r="P697" s="389" t="s">
        <v>5379</v>
      </c>
      <c r="Q697" s="389" t="str">
        <f t="shared" si="37"/>
        <v>2014Y</v>
      </c>
      <c r="R697" s="390" t="str">
        <f>[1]!SNLLabel(287,324678,,"&lt;&gt;363")</f>
        <v>AR: Individual Annuities</v>
      </c>
      <c r="S697" s="366"/>
      <c r="T697" s="391" t="s">
        <v>29</v>
      </c>
    </row>
    <row r="698" spans="15:20" ht="11.25" customHeight="1" x14ac:dyDescent="0.35">
      <c r="O698" s="388" t="s">
        <v>5468</v>
      </c>
      <c r="P698" s="389" t="s">
        <v>5379</v>
      </c>
      <c r="Q698" s="389" t="str">
        <f t="shared" si="37"/>
        <v>2014Y</v>
      </c>
      <c r="R698" s="390" t="str">
        <f>[1]!SNLLabel(287,324678,,"&lt;&gt;364")</f>
        <v>AR: Group Annuities</v>
      </c>
      <c r="S698" s="366"/>
      <c r="T698" s="391" t="s">
        <v>29</v>
      </c>
    </row>
    <row r="699" spans="15:20" ht="11.25" customHeight="1" x14ac:dyDescent="0.35">
      <c r="O699" s="388" t="s">
        <v>5468</v>
      </c>
      <c r="P699" s="389" t="s">
        <v>5379</v>
      </c>
      <c r="Q699" s="389" t="str">
        <f t="shared" si="37"/>
        <v>2014Y</v>
      </c>
      <c r="R699" s="390" t="str">
        <f>[1]!SNLLabel(287,324678,,"&lt;&gt;365")</f>
        <v>AR: Accident and Health</v>
      </c>
      <c r="S699" s="366"/>
      <c r="T699" s="391" t="s">
        <v>29</v>
      </c>
    </row>
    <row r="700" spans="15:20" ht="11.25" customHeight="1" x14ac:dyDescent="0.35">
      <c r="O700" s="388" t="s">
        <v>5468</v>
      </c>
      <c r="P700" s="389" t="s">
        <v>5379</v>
      </c>
      <c r="Q700" s="389" t="str">
        <f t="shared" si="37"/>
        <v>2014Y</v>
      </c>
      <c r="R700" s="390" t="str">
        <f>[1]!SNLLabel(287,324678,,"&lt;&gt;366")</f>
        <v>AR: Fraternal</v>
      </c>
      <c r="S700" s="366"/>
      <c r="T700" s="391" t="s">
        <v>29</v>
      </c>
    </row>
    <row r="701" spans="15:20" ht="11.25" customHeight="1" x14ac:dyDescent="0.35">
      <c r="O701" s="388" t="s">
        <v>5468</v>
      </c>
      <c r="P701" s="389" t="s">
        <v>5379</v>
      </c>
      <c r="Q701" s="389" t="str">
        <f t="shared" si="37"/>
        <v>2014Y</v>
      </c>
      <c r="R701" s="390" t="str">
        <f>[1]!SNLLabel(287,324678,,"&lt;&gt;367")</f>
        <v>AR: Other Lines of Business</v>
      </c>
      <c r="S701" s="366"/>
      <c r="T701" s="391" t="s">
        <v>29</v>
      </c>
    </row>
    <row r="702" spans="15:20" ht="11.25" customHeight="1" x14ac:dyDescent="0.35">
      <c r="O702" s="388" t="s">
        <v>5468</v>
      </c>
      <c r="P702" s="389" t="s">
        <v>5379</v>
      </c>
      <c r="Q702" s="389" t="str">
        <f t="shared" si="37"/>
        <v>2014Y</v>
      </c>
      <c r="R702" s="390" t="str">
        <f>[1]!SNLLabel(287,324678,,"&lt;&gt;368")</f>
        <v>AR: YRT Mortality Risk Only</v>
      </c>
      <c r="S702" s="366"/>
      <c r="T702" s="391" t="s">
        <v>29</v>
      </c>
    </row>
    <row r="703" spans="15:20" ht="11.25" customHeight="1" x14ac:dyDescent="0.35">
      <c r="O703" s="388" t="s">
        <v>5468</v>
      </c>
      <c r="P703" s="389" t="s">
        <v>5379</v>
      </c>
      <c r="Q703" s="389" t="str">
        <f t="shared" si="37"/>
        <v>2014Y</v>
      </c>
      <c r="R703" s="390" t="str">
        <f>[1]!SNLLabel(287,324678,,"&lt;&gt;369")</f>
        <v>AR: Individual and Group Life</v>
      </c>
      <c r="S703" s="366"/>
      <c r="T703" s="391" t="s">
        <v>29</v>
      </c>
    </row>
    <row r="704" spans="15:20" ht="11.25" customHeight="1" x14ac:dyDescent="0.35">
      <c r="O704" s="367" t="s">
        <v>5468</v>
      </c>
      <c r="P704" s="368" t="s">
        <v>5379</v>
      </c>
      <c r="Q704" s="368" t="str">
        <f t="shared" si="37"/>
        <v>2014Y</v>
      </c>
      <c r="R704" s="369" t="str">
        <f>[1]!SNLLabel(287,324678,,"&lt;&gt;370")</f>
        <v>AR: Individual and Group Annuities</v>
      </c>
      <c r="S704" s="370"/>
      <c r="T704" s="371" t="s">
        <v>29</v>
      </c>
    </row>
    <row r="705" spans="15:20" ht="11.25" customHeight="1" x14ac:dyDescent="0.35">
      <c r="O705" s="384" t="s">
        <v>5468</v>
      </c>
      <c r="P705" s="385" t="s">
        <v>5379</v>
      </c>
      <c r="Q705" s="385" t="str">
        <f t="shared" ref="Q705:Q715" si="38">LEFT(Period,4)-1&amp;"Y"</f>
        <v>2013Y</v>
      </c>
      <c r="R705" s="386" t="str">
        <f>[1]!SNLLabel(287,324678,,"&lt;&gt;360")</f>
        <v>AR: Analysis of Operations All Lines</v>
      </c>
      <c r="S705" s="365"/>
      <c r="T705" s="387" t="s">
        <v>29</v>
      </c>
    </row>
    <row r="706" spans="15:20" ht="11.25" customHeight="1" x14ac:dyDescent="0.35">
      <c r="O706" s="388" t="s">
        <v>5468</v>
      </c>
      <c r="P706" s="389" t="s">
        <v>5379</v>
      </c>
      <c r="Q706" s="389" t="str">
        <f t="shared" si="38"/>
        <v>2013Y</v>
      </c>
      <c r="R706" s="390" t="str">
        <f>[1]!SNLLabel(287,324678,,"&lt;&gt;361")</f>
        <v>AR: Individual Life</v>
      </c>
      <c r="S706" s="366"/>
      <c r="T706" s="391" t="s">
        <v>29</v>
      </c>
    </row>
    <row r="707" spans="15:20" ht="11.25" customHeight="1" x14ac:dyDescent="0.35">
      <c r="O707" s="388" t="s">
        <v>5468</v>
      </c>
      <c r="P707" s="389" t="s">
        <v>5379</v>
      </c>
      <c r="Q707" s="389" t="str">
        <f t="shared" si="38"/>
        <v>2013Y</v>
      </c>
      <c r="R707" s="390" t="str">
        <f>[1]!SNLLabel(287,324678,,"&lt;&gt;362")</f>
        <v>AR: Group Life</v>
      </c>
      <c r="S707" s="366"/>
      <c r="T707" s="391" t="s">
        <v>29</v>
      </c>
    </row>
    <row r="708" spans="15:20" ht="11.25" customHeight="1" x14ac:dyDescent="0.35">
      <c r="O708" s="388" t="s">
        <v>5468</v>
      </c>
      <c r="P708" s="389" t="s">
        <v>5379</v>
      </c>
      <c r="Q708" s="389" t="str">
        <f t="shared" si="38"/>
        <v>2013Y</v>
      </c>
      <c r="R708" s="390" t="str">
        <f>[1]!SNLLabel(287,324678,,"&lt;&gt;363")</f>
        <v>AR: Individual Annuities</v>
      </c>
      <c r="S708" s="366"/>
      <c r="T708" s="391" t="s">
        <v>29</v>
      </c>
    </row>
    <row r="709" spans="15:20" ht="11.25" customHeight="1" x14ac:dyDescent="0.35">
      <c r="O709" s="388" t="s">
        <v>5468</v>
      </c>
      <c r="P709" s="389" t="s">
        <v>5379</v>
      </c>
      <c r="Q709" s="389" t="str">
        <f t="shared" si="38"/>
        <v>2013Y</v>
      </c>
      <c r="R709" s="390" t="str">
        <f>[1]!SNLLabel(287,324678,,"&lt;&gt;364")</f>
        <v>AR: Group Annuities</v>
      </c>
      <c r="S709" s="366"/>
      <c r="T709" s="391" t="s">
        <v>29</v>
      </c>
    </row>
    <row r="710" spans="15:20" ht="11.25" customHeight="1" x14ac:dyDescent="0.35">
      <c r="O710" s="388" t="s">
        <v>5468</v>
      </c>
      <c r="P710" s="389" t="s">
        <v>5379</v>
      </c>
      <c r="Q710" s="389" t="str">
        <f t="shared" si="38"/>
        <v>2013Y</v>
      </c>
      <c r="R710" s="390" t="str">
        <f>[1]!SNLLabel(287,324678,,"&lt;&gt;365")</f>
        <v>AR: Accident and Health</v>
      </c>
      <c r="S710" s="366"/>
      <c r="T710" s="391" t="s">
        <v>29</v>
      </c>
    </row>
    <row r="711" spans="15:20" ht="11.25" customHeight="1" x14ac:dyDescent="0.35">
      <c r="O711" s="388" t="s">
        <v>5468</v>
      </c>
      <c r="P711" s="389" t="s">
        <v>5379</v>
      </c>
      <c r="Q711" s="389" t="str">
        <f t="shared" si="38"/>
        <v>2013Y</v>
      </c>
      <c r="R711" s="390" t="str">
        <f>[1]!SNLLabel(287,324678,,"&lt;&gt;366")</f>
        <v>AR: Fraternal</v>
      </c>
      <c r="S711" s="366"/>
      <c r="T711" s="391" t="s">
        <v>29</v>
      </c>
    </row>
    <row r="712" spans="15:20" ht="11.25" customHeight="1" x14ac:dyDescent="0.35">
      <c r="O712" s="388" t="s">
        <v>5468</v>
      </c>
      <c r="P712" s="389" t="s">
        <v>5379</v>
      </c>
      <c r="Q712" s="389" t="str">
        <f t="shared" si="38"/>
        <v>2013Y</v>
      </c>
      <c r="R712" s="390" t="str">
        <f>[1]!SNLLabel(287,324678,,"&lt;&gt;367")</f>
        <v>AR: Other Lines of Business</v>
      </c>
      <c r="S712" s="366"/>
      <c r="T712" s="391" t="s">
        <v>29</v>
      </c>
    </row>
    <row r="713" spans="15:20" ht="11.25" customHeight="1" x14ac:dyDescent="0.35">
      <c r="O713" s="388" t="s">
        <v>5468</v>
      </c>
      <c r="P713" s="389" t="s">
        <v>5379</v>
      </c>
      <c r="Q713" s="389" t="str">
        <f t="shared" si="38"/>
        <v>2013Y</v>
      </c>
      <c r="R713" s="390" t="str">
        <f>[1]!SNLLabel(287,324678,,"&lt;&gt;368")</f>
        <v>AR: YRT Mortality Risk Only</v>
      </c>
      <c r="S713" s="366"/>
      <c r="T713" s="391" t="s">
        <v>29</v>
      </c>
    </row>
    <row r="714" spans="15:20" ht="11.25" customHeight="1" x14ac:dyDescent="0.35">
      <c r="O714" s="388" t="s">
        <v>5468</v>
      </c>
      <c r="P714" s="389" t="s">
        <v>5379</v>
      </c>
      <c r="Q714" s="389" t="str">
        <f t="shared" si="38"/>
        <v>2013Y</v>
      </c>
      <c r="R714" s="390" t="str">
        <f>[1]!SNLLabel(287,324678,,"&lt;&gt;369")</f>
        <v>AR: Individual and Group Life</v>
      </c>
      <c r="S714" s="366"/>
      <c r="T714" s="391" t="s">
        <v>29</v>
      </c>
    </row>
    <row r="715" spans="15:20" ht="11.25" customHeight="1" x14ac:dyDescent="0.35">
      <c r="O715" s="367" t="s">
        <v>5468</v>
      </c>
      <c r="P715" s="368" t="s">
        <v>5379</v>
      </c>
      <c r="Q715" s="368" t="str">
        <f t="shared" si="38"/>
        <v>2013Y</v>
      </c>
      <c r="R715" s="369" t="str">
        <f>[1]!SNLLabel(287,324678,,"&lt;&gt;370")</f>
        <v>AR: Individual and Group Annuities</v>
      </c>
      <c r="S715" s="370"/>
      <c r="T715" s="371" t="s">
        <v>29</v>
      </c>
    </row>
    <row r="716" spans="15:20" ht="11.25" customHeight="1" x14ac:dyDescent="0.35">
      <c r="O716" s="384" t="s">
        <v>5468</v>
      </c>
      <c r="P716" s="385" t="s">
        <v>5379</v>
      </c>
      <c r="Q716" s="385" t="str">
        <f t="shared" ref="Q716:Q726" si="39">LEFT(Period,4)-2&amp;"Y"</f>
        <v>2012Y</v>
      </c>
      <c r="R716" s="386" t="str">
        <f>[1]!SNLLabel(287,324678,,"&lt;&gt;360")</f>
        <v>AR: Analysis of Operations All Lines</v>
      </c>
      <c r="S716" s="365"/>
      <c r="T716" s="387" t="s">
        <v>29</v>
      </c>
    </row>
    <row r="717" spans="15:20" ht="11.25" customHeight="1" x14ac:dyDescent="0.35">
      <c r="O717" s="388" t="s">
        <v>5468</v>
      </c>
      <c r="P717" s="389" t="s">
        <v>5379</v>
      </c>
      <c r="Q717" s="389" t="str">
        <f t="shared" si="39"/>
        <v>2012Y</v>
      </c>
      <c r="R717" s="390" t="str">
        <f>[1]!SNLLabel(287,324678,,"&lt;&gt;361")</f>
        <v>AR: Individual Life</v>
      </c>
      <c r="S717" s="366"/>
      <c r="T717" s="391" t="s">
        <v>29</v>
      </c>
    </row>
    <row r="718" spans="15:20" ht="11.25" customHeight="1" x14ac:dyDescent="0.35">
      <c r="O718" s="388" t="s">
        <v>5468</v>
      </c>
      <c r="P718" s="389" t="s">
        <v>5379</v>
      </c>
      <c r="Q718" s="389" t="str">
        <f t="shared" si="39"/>
        <v>2012Y</v>
      </c>
      <c r="R718" s="390" t="str">
        <f>[1]!SNLLabel(287,324678,,"&lt;&gt;362")</f>
        <v>AR: Group Life</v>
      </c>
      <c r="S718" s="366"/>
      <c r="T718" s="391" t="s">
        <v>29</v>
      </c>
    </row>
    <row r="719" spans="15:20" ht="11.25" customHeight="1" x14ac:dyDescent="0.35">
      <c r="O719" s="388" t="s">
        <v>5468</v>
      </c>
      <c r="P719" s="389" t="s">
        <v>5379</v>
      </c>
      <c r="Q719" s="389" t="str">
        <f t="shared" si="39"/>
        <v>2012Y</v>
      </c>
      <c r="R719" s="390" t="str">
        <f>[1]!SNLLabel(287,324678,,"&lt;&gt;363")</f>
        <v>AR: Individual Annuities</v>
      </c>
      <c r="S719" s="366"/>
      <c r="T719" s="391" t="s">
        <v>29</v>
      </c>
    </row>
    <row r="720" spans="15:20" ht="11.25" customHeight="1" x14ac:dyDescent="0.35">
      <c r="O720" s="388" t="s">
        <v>5468</v>
      </c>
      <c r="P720" s="389" t="s">
        <v>5379</v>
      </c>
      <c r="Q720" s="389" t="str">
        <f t="shared" si="39"/>
        <v>2012Y</v>
      </c>
      <c r="R720" s="390" t="str">
        <f>[1]!SNLLabel(287,324678,,"&lt;&gt;364")</f>
        <v>AR: Group Annuities</v>
      </c>
      <c r="S720" s="366"/>
      <c r="T720" s="391" t="s">
        <v>29</v>
      </c>
    </row>
    <row r="721" spans="15:20" ht="11.25" customHeight="1" x14ac:dyDescent="0.35">
      <c r="O721" s="388" t="s">
        <v>5468</v>
      </c>
      <c r="P721" s="389" t="s">
        <v>5379</v>
      </c>
      <c r="Q721" s="389" t="str">
        <f t="shared" si="39"/>
        <v>2012Y</v>
      </c>
      <c r="R721" s="390" t="str">
        <f>[1]!SNLLabel(287,324678,,"&lt;&gt;365")</f>
        <v>AR: Accident and Health</v>
      </c>
      <c r="S721" s="366"/>
      <c r="T721" s="391" t="s">
        <v>29</v>
      </c>
    </row>
    <row r="722" spans="15:20" ht="11.25" customHeight="1" x14ac:dyDescent="0.35">
      <c r="O722" s="388" t="s">
        <v>5468</v>
      </c>
      <c r="P722" s="389" t="s">
        <v>5379</v>
      </c>
      <c r="Q722" s="389" t="str">
        <f t="shared" si="39"/>
        <v>2012Y</v>
      </c>
      <c r="R722" s="390" t="str">
        <f>[1]!SNLLabel(287,324678,,"&lt;&gt;366")</f>
        <v>AR: Fraternal</v>
      </c>
      <c r="S722" s="366"/>
      <c r="T722" s="391" t="s">
        <v>29</v>
      </c>
    </row>
    <row r="723" spans="15:20" ht="11.25" customHeight="1" x14ac:dyDescent="0.35">
      <c r="O723" s="388" t="s">
        <v>5468</v>
      </c>
      <c r="P723" s="389" t="s">
        <v>5379</v>
      </c>
      <c r="Q723" s="389" t="str">
        <f t="shared" si="39"/>
        <v>2012Y</v>
      </c>
      <c r="R723" s="390" t="str">
        <f>[1]!SNLLabel(287,324678,,"&lt;&gt;367")</f>
        <v>AR: Other Lines of Business</v>
      </c>
      <c r="S723" s="366"/>
      <c r="T723" s="391" t="s">
        <v>29</v>
      </c>
    </row>
    <row r="724" spans="15:20" ht="11.25" customHeight="1" x14ac:dyDescent="0.35">
      <c r="O724" s="388" t="s">
        <v>5468</v>
      </c>
      <c r="P724" s="389" t="s">
        <v>5379</v>
      </c>
      <c r="Q724" s="389" t="str">
        <f t="shared" si="39"/>
        <v>2012Y</v>
      </c>
      <c r="R724" s="390" t="str">
        <f>[1]!SNLLabel(287,324678,,"&lt;&gt;368")</f>
        <v>AR: YRT Mortality Risk Only</v>
      </c>
      <c r="S724" s="366"/>
      <c r="T724" s="391" t="s">
        <v>29</v>
      </c>
    </row>
    <row r="725" spans="15:20" ht="11.25" customHeight="1" x14ac:dyDescent="0.35">
      <c r="O725" s="388" t="s">
        <v>5468</v>
      </c>
      <c r="P725" s="389" t="s">
        <v>5379</v>
      </c>
      <c r="Q725" s="389" t="str">
        <f t="shared" si="39"/>
        <v>2012Y</v>
      </c>
      <c r="R725" s="390" t="str">
        <f>[1]!SNLLabel(287,324678,,"&lt;&gt;369")</f>
        <v>AR: Individual and Group Life</v>
      </c>
      <c r="S725" s="366"/>
      <c r="T725" s="391" t="s">
        <v>29</v>
      </c>
    </row>
    <row r="726" spans="15:20" ht="11.25" customHeight="1" x14ac:dyDescent="0.35">
      <c r="O726" s="367" t="s">
        <v>5468</v>
      </c>
      <c r="P726" s="368" t="s">
        <v>5379</v>
      </c>
      <c r="Q726" s="368" t="str">
        <f t="shared" si="39"/>
        <v>2012Y</v>
      </c>
      <c r="R726" s="369" t="str">
        <f>[1]!SNLLabel(287,324678,,"&lt;&gt;370")</f>
        <v>AR: Individual and Group Annuities</v>
      </c>
      <c r="S726" s="370"/>
      <c r="T726" s="371" t="s">
        <v>29</v>
      </c>
    </row>
    <row r="727" spans="15:20" ht="11.25" customHeight="1" x14ac:dyDescent="0.35">
      <c r="O727" s="384" t="s">
        <v>5468</v>
      </c>
      <c r="P727" s="385" t="s">
        <v>5379</v>
      </c>
      <c r="Q727" s="385" t="str">
        <f t="shared" ref="Q727:Q737" si="40">LEFT(Period,4)-3&amp;"Y"</f>
        <v>2011Y</v>
      </c>
      <c r="R727" s="386" t="str">
        <f>[1]!SNLLabel(287,324678,,"&lt;&gt;360")</f>
        <v>AR: Analysis of Operations All Lines</v>
      </c>
      <c r="S727" s="365"/>
      <c r="T727" s="387" t="s">
        <v>29</v>
      </c>
    </row>
    <row r="728" spans="15:20" ht="11.25" customHeight="1" x14ac:dyDescent="0.35">
      <c r="O728" s="388" t="s">
        <v>5468</v>
      </c>
      <c r="P728" s="389" t="s">
        <v>5379</v>
      </c>
      <c r="Q728" s="389" t="str">
        <f t="shared" si="40"/>
        <v>2011Y</v>
      </c>
      <c r="R728" s="390" t="str">
        <f>[1]!SNLLabel(287,324678,,"&lt;&gt;361")</f>
        <v>AR: Individual Life</v>
      </c>
      <c r="S728" s="366"/>
      <c r="T728" s="391" t="s">
        <v>29</v>
      </c>
    </row>
    <row r="729" spans="15:20" ht="11.25" customHeight="1" x14ac:dyDescent="0.35">
      <c r="O729" s="388" t="s">
        <v>5468</v>
      </c>
      <c r="P729" s="389" t="s">
        <v>5379</v>
      </c>
      <c r="Q729" s="389" t="str">
        <f t="shared" si="40"/>
        <v>2011Y</v>
      </c>
      <c r="R729" s="390" t="str">
        <f>[1]!SNLLabel(287,324678,,"&lt;&gt;362")</f>
        <v>AR: Group Life</v>
      </c>
      <c r="S729" s="366"/>
      <c r="T729" s="391" t="s">
        <v>29</v>
      </c>
    </row>
    <row r="730" spans="15:20" ht="11.25" customHeight="1" x14ac:dyDescent="0.35">
      <c r="O730" s="388" t="s">
        <v>5468</v>
      </c>
      <c r="P730" s="389" t="s">
        <v>5379</v>
      </c>
      <c r="Q730" s="389" t="str">
        <f t="shared" si="40"/>
        <v>2011Y</v>
      </c>
      <c r="R730" s="390" t="str">
        <f>[1]!SNLLabel(287,324678,,"&lt;&gt;363")</f>
        <v>AR: Individual Annuities</v>
      </c>
      <c r="S730" s="366"/>
      <c r="T730" s="391" t="s">
        <v>29</v>
      </c>
    </row>
    <row r="731" spans="15:20" ht="11.25" customHeight="1" x14ac:dyDescent="0.35">
      <c r="O731" s="388" t="s">
        <v>5468</v>
      </c>
      <c r="P731" s="389" t="s">
        <v>5379</v>
      </c>
      <c r="Q731" s="389" t="str">
        <f t="shared" si="40"/>
        <v>2011Y</v>
      </c>
      <c r="R731" s="390" t="str">
        <f>[1]!SNLLabel(287,324678,,"&lt;&gt;364")</f>
        <v>AR: Group Annuities</v>
      </c>
      <c r="S731" s="366"/>
      <c r="T731" s="391" t="s">
        <v>29</v>
      </c>
    </row>
    <row r="732" spans="15:20" ht="11.25" customHeight="1" x14ac:dyDescent="0.35">
      <c r="O732" s="388" t="s">
        <v>5468</v>
      </c>
      <c r="P732" s="389" t="s">
        <v>5379</v>
      </c>
      <c r="Q732" s="389" t="str">
        <f t="shared" si="40"/>
        <v>2011Y</v>
      </c>
      <c r="R732" s="390" t="str">
        <f>[1]!SNLLabel(287,324678,,"&lt;&gt;365")</f>
        <v>AR: Accident and Health</v>
      </c>
      <c r="S732" s="366"/>
      <c r="T732" s="391" t="s">
        <v>29</v>
      </c>
    </row>
    <row r="733" spans="15:20" ht="11.25" customHeight="1" x14ac:dyDescent="0.35">
      <c r="O733" s="388" t="s">
        <v>5468</v>
      </c>
      <c r="P733" s="389" t="s">
        <v>5379</v>
      </c>
      <c r="Q733" s="389" t="str">
        <f t="shared" si="40"/>
        <v>2011Y</v>
      </c>
      <c r="R733" s="390" t="str">
        <f>[1]!SNLLabel(287,324678,,"&lt;&gt;366")</f>
        <v>AR: Fraternal</v>
      </c>
      <c r="S733" s="366"/>
      <c r="T733" s="391" t="s">
        <v>29</v>
      </c>
    </row>
    <row r="734" spans="15:20" ht="11.25" customHeight="1" x14ac:dyDescent="0.35">
      <c r="O734" s="388" t="s">
        <v>5468</v>
      </c>
      <c r="P734" s="389" t="s">
        <v>5379</v>
      </c>
      <c r="Q734" s="389" t="str">
        <f t="shared" si="40"/>
        <v>2011Y</v>
      </c>
      <c r="R734" s="390" t="str">
        <f>[1]!SNLLabel(287,324678,,"&lt;&gt;367")</f>
        <v>AR: Other Lines of Business</v>
      </c>
      <c r="S734" s="366"/>
      <c r="T734" s="391" t="s">
        <v>29</v>
      </c>
    </row>
    <row r="735" spans="15:20" ht="11.25" customHeight="1" x14ac:dyDescent="0.35">
      <c r="O735" s="388" t="s">
        <v>5468</v>
      </c>
      <c r="P735" s="389" t="s">
        <v>5379</v>
      </c>
      <c r="Q735" s="389" t="str">
        <f t="shared" si="40"/>
        <v>2011Y</v>
      </c>
      <c r="R735" s="390" t="str">
        <f>[1]!SNLLabel(287,324678,,"&lt;&gt;368")</f>
        <v>AR: YRT Mortality Risk Only</v>
      </c>
      <c r="S735" s="366"/>
      <c r="T735" s="391" t="s">
        <v>29</v>
      </c>
    </row>
    <row r="736" spans="15:20" ht="11.25" customHeight="1" x14ac:dyDescent="0.35">
      <c r="O736" s="388" t="s">
        <v>5468</v>
      </c>
      <c r="P736" s="389" t="s">
        <v>5379</v>
      </c>
      <c r="Q736" s="389" t="str">
        <f t="shared" si="40"/>
        <v>2011Y</v>
      </c>
      <c r="R736" s="390" t="str">
        <f>[1]!SNLLabel(287,324678,,"&lt;&gt;369")</f>
        <v>AR: Individual and Group Life</v>
      </c>
      <c r="S736" s="366"/>
      <c r="T736" s="391" t="s">
        <v>29</v>
      </c>
    </row>
    <row r="737" spans="15:20" ht="11.25" customHeight="1" x14ac:dyDescent="0.35">
      <c r="O737" s="367" t="s">
        <v>5468</v>
      </c>
      <c r="P737" s="368" t="s">
        <v>5379</v>
      </c>
      <c r="Q737" s="368" t="str">
        <f t="shared" si="40"/>
        <v>2011Y</v>
      </c>
      <c r="R737" s="369" t="str">
        <f>[1]!SNLLabel(287,324678,,"&lt;&gt;370")</f>
        <v>AR: Individual and Group Annuities</v>
      </c>
      <c r="S737" s="370"/>
      <c r="T737" s="371" t="s">
        <v>29</v>
      </c>
    </row>
    <row r="738" spans="15:20" ht="11.25" customHeight="1" x14ac:dyDescent="0.35">
      <c r="O738" s="384" t="s">
        <v>5468</v>
      </c>
      <c r="P738" s="385" t="s">
        <v>5379</v>
      </c>
      <c r="Q738" s="385" t="str">
        <f t="shared" ref="Q738:Q748" si="41">LEFT(Period,4)-4&amp;"Y"</f>
        <v>2010Y</v>
      </c>
      <c r="R738" s="386" t="str">
        <f>[1]!SNLLabel(287,324678,,"&lt;&gt;360")</f>
        <v>AR: Analysis of Operations All Lines</v>
      </c>
      <c r="S738" s="365"/>
      <c r="T738" s="387" t="s">
        <v>29</v>
      </c>
    </row>
    <row r="739" spans="15:20" ht="11.25" customHeight="1" x14ac:dyDescent="0.35">
      <c r="O739" s="388" t="s">
        <v>5468</v>
      </c>
      <c r="P739" s="389" t="s">
        <v>5379</v>
      </c>
      <c r="Q739" s="389" t="str">
        <f t="shared" si="41"/>
        <v>2010Y</v>
      </c>
      <c r="R739" s="390" t="str">
        <f>[1]!SNLLabel(287,324678,,"&lt;&gt;361")</f>
        <v>AR: Individual Life</v>
      </c>
      <c r="S739" s="366"/>
      <c r="T739" s="391" t="s">
        <v>29</v>
      </c>
    </row>
    <row r="740" spans="15:20" ht="11.25" customHeight="1" x14ac:dyDescent="0.35">
      <c r="O740" s="388" t="s">
        <v>5468</v>
      </c>
      <c r="P740" s="389" t="s">
        <v>5379</v>
      </c>
      <c r="Q740" s="389" t="str">
        <f t="shared" si="41"/>
        <v>2010Y</v>
      </c>
      <c r="R740" s="390" t="str">
        <f>[1]!SNLLabel(287,324678,,"&lt;&gt;362")</f>
        <v>AR: Group Life</v>
      </c>
      <c r="S740" s="366"/>
      <c r="T740" s="391" t="s">
        <v>29</v>
      </c>
    </row>
    <row r="741" spans="15:20" ht="11.25" customHeight="1" x14ac:dyDescent="0.35">
      <c r="O741" s="388" t="s">
        <v>5468</v>
      </c>
      <c r="P741" s="389" t="s">
        <v>5379</v>
      </c>
      <c r="Q741" s="389" t="str">
        <f t="shared" si="41"/>
        <v>2010Y</v>
      </c>
      <c r="R741" s="390" t="str">
        <f>[1]!SNLLabel(287,324678,,"&lt;&gt;363")</f>
        <v>AR: Individual Annuities</v>
      </c>
      <c r="S741" s="366"/>
      <c r="T741" s="391" t="s">
        <v>29</v>
      </c>
    </row>
    <row r="742" spans="15:20" ht="11.25" customHeight="1" x14ac:dyDescent="0.35">
      <c r="O742" s="388" t="s">
        <v>5468</v>
      </c>
      <c r="P742" s="389" t="s">
        <v>5379</v>
      </c>
      <c r="Q742" s="389" t="str">
        <f t="shared" si="41"/>
        <v>2010Y</v>
      </c>
      <c r="R742" s="390" t="str">
        <f>[1]!SNLLabel(287,324678,,"&lt;&gt;364")</f>
        <v>AR: Group Annuities</v>
      </c>
      <c r="S742" s="366"/>
      <c r="T742" s="391" t="s">
        <v>29</v>
      </c>
    </row>
    <row r="743" spans="15:20" ht="11.25" customHeight="1" x14ac:dyDescent="0.35">
      <c r="O743" s="388" t="s">
        <v>5468</v>
      </c>
      <c r="P743" s="389" t="s">
        <v>5379</v>
      </c>
      <c r="Q743" s="389" t="str">
        <f t="shared" si="41"/>
        <v>2010Y</v>
      </c>
      <c r="R743" s="390" t="str">
        <f>[1]!SNLLabel(287,324678,,"&lt;&gt;365")</f>
        <v>AR: Accident and Health</v>
      </c>
      <c r="S743" s="366"/>
      <c r="T743" s="391" t="s">
        <v>29</v>
      </c>
    </row>
    <row r="744" spans="15:20" ht="11.25" customHeight="1" x14ac:dyDescent="0.35">
      <c r="O744" s="388" t="s">
        <v>5468</v>
      </c>
      <c r="P744" s="389" t="s">
        <v>5379</v>
      </c>
      <c r="Q744" s="389" t="str">
        <f t="shared" si="41"/>
        <v>2010Y</v>
      </c>
      <c r="R744" s="390" t="str">
        <f>[1]!SNLLabel(287,324678,,"&lt;&gt;366")</f>
        <v>AR: Fraternal</v>
      </c>
      <c r="S744" s="366"/>
      <c r="T744" s="391" t="s">
        <v>29</v>
      </c>
    </row>
    <row r="745" spans="15:20" ht="11.25" customHeight="1" x14ac:dyDescent="0.35">
      <c r="O745" s="388" t="s">
        <v>5468</v>
      </c>
      <c r="P745" s="389" t="s">
        <v>5379</v>
      </c>
      <c r="Q745" s="389" t="str">
        <f t="shared" si="41"/>
        <v>2010Y</v>
      </c>
      <c r="R745" s="390" t="str">
        <f>[1]!SNLLabel(287,324678,,"&lt;&gt;367")</f>
        <v>AR: Other Lines of Business</v>
      </c>
      <c r="S745" s="366"/>
      <c r="T745" s="391" t="s">
        <v>29</v>
      </c>
    </row>
    <row r="746" spans="15:20" ht="11.25" customHeight="1" x14ac:dyDescent="0.35">
      <c r="O746" s="388" t="s">
        <v>5468</v>
      </c>
      <c r="P746" s="389" t="s">
        <v>5379</v>
      </c>
      <c r="Q746" s="389" t="str">
        <f t="shared" si="41"/>
        <v>2010Y</v>
      </c>
      <c r="R746" s="390" t="str">
        <f>[1]!SNLLabel(287,324678,,"&lt;&gt;368")</f>
        <v>AR: YRT Mortality Risk Only</v>
      </c>
      <c r="S746" s="366"/>
      <c r="T746" s="391" t="s">
        <v>29</v>
      </c>
    </row>
    <row r="747" spans="15:20" ht="11.25" customHeight="1" x14ac:dyDescent="0.35">
      <c r="O747" s="388" t="s">
        <v>5468</v>
      </c>
      <c r="P747" s="389" t="s">
        <v>5379</v>
      </c>
      <c r="Q747" s="389" t="str">
        <f t="shared" si="41"/>
        <v>2010Y</v>
      </c>
      <c r="R747" s="390" t="str">
        <f>[1]!SNLLabel(287,324678,,"&lt;&gt;369")</f>
        <v>AR: Individual and Group Life</v>
      </c>
      <c r="S747" s="366"/>
      <c r="T747" s="391" t="s">
        <v>29</v>
      </c>
    </row>
    <row r="748" spans="15:20" ht="11.25" customHeight="1" x14ac:dyDescent="0.35">
      <c r="O748" s="367" t="s">
        <v>5468</v>
      </c>
      <c r="P748" s="368" t="s">
        <v>5379</v>
      </c>
      <c r="Q748" s="368" t="str">
        <f t="shared" si="41"/>
        <v>2010Y</v>
      </c>
      <c r="R748" s="369" t="str">
        <f>[1]!SNLLabel(287,324678,,"&lt;&gt;370")</f>
        <v>AR: Individual and Group Annuities</v>
      </c>
      <c r="S748" s="370"/>
      <c r="T748" s="371" t="s">
        <v>29</v>
      </c>
    </row>
    <row r="749" spans="15:20" ht="11.25" customHeight="1" x14ac:dyDescent="0.35">
      <c r="O749" s="377"/>
      <c r="P749" s="378"/>
      <c r="Q749" s="378"/>
      <c r="R749" s="379"/>
      <c r="S749" s="375"/>
      <c r="T749" s="380"/>
    </row>
    <row r="750" spans="15:20" ht="11.25" customHeight="1" x14ac:dyDescent="0.35">
      <c r="O750" s="384" t="s">
        <v>5469</v>
      </c>
      <c r="P750" s="385" t="s">
        <v>5380</v>
      </c>
      <c r="Q750" s="385" t="str">
        <f t="shared" ref="Q750:Q760" si="42">Period</f>
        <v>2014Y</v>
      </c>
      <c r="R750" s="386" t="str">
        <f>[1]!SNLLabel(287,324680,,"&lt;&gt;360")</f>
        <v>AR: Analysis of Operations All Lines</v>
      </c>
      <c r="S750" s="365"/>
      <c r="T750" s="387" t="s">
        <v>29</v>
      </c>
    </row>
    <row r="751" spans="15:20" ht="11.25" customHeight="1" x14ac:dyDescent="0.35">
      <c r="O751" s="388" t="s">
        <v>5469</v>
      </c>
      <c r="P751" s="389" t="s">
        <v>5380</v>
      </c>
      <c r="Q751" s="389" t="str">
        <f t="shared" si="42"/>
        <v>2014Y</v>
      </c>
      <c r="R751" s="390" t="str">
        <f>[1]!SNLLabel(287,324680,,"&lt;&gt;361")</f>
        <v>AR: Individual Life</v>
      </c>
      <c r="S751" s="366"/>
      <c r="T751" s="391" t="s">
        <v>29</v>
      </c>
    </row>
    <row r="752" spans="15:20" ht="11.25" customHeight="1" x14ac:dyDescent="0.35">
      <c r="O752" s="388" t="s">
        <v>5469</v>
      </c>
      <c r="P752" s="389" t="s">
        <v>5380</v>
      </c>
      <c r="Q752" s="389" t="str">
        <f t="shared" si="42"/>
        <v>2014Y</v>
      </c>
      <c r="R752" s="390" t="str">
        <f>[1]!SNLLabel(287,324680,,"&lt;&gt;362")</f>
        <v>AR: Group Life</v>
      </c>
      <c r="S752" s="366"/>
      <c r="T752" s="391" t="s">
        <v>29</v>
      </c>
    </row>
    <row r="753" spans="15:20" ht="11.25" customHeight="1" x14ac:dyDescent="0.35">
      <c r="O753" s="388" t="s">
        <v>5469</v>
      </c>
      <c r="P753" s="389" t="s">
        <v>5380</v>
      </c>
      <c r="Q753" s="389" t="str">
        <f t="shared" si="42"/>
        <v>2014Y</v>
      </c>
      <c r="R753" s="390" t="str">
        <f>[1]!SNLLabel(287,324680,,"&lt;&gt;363")</f>
        <v>AR: Individual Annuities</v>
      </c>
      <c r="S753" s="366"/>
      <c r="T753" s="391" t="s">
        <v>29</v>
      </c>
    </row>
    <row r="754" spans="15:20" ht="11.25" customHeight="1" x14ac:dyDescent="0.35">
      <c r="O754" s="388" t="s">
        <v>5469</v>
      </c>
      <c r="P754" s="389" t="s">
        <v>5380</v>
      </c>
      <c r="Q754" s="389" t="str">
        <f t="shared" si="42"/>
        <v>2014Y</v>
      </c>
      <c r="R754" s="390" t="str">
        <f>[1]!SNLLabel(287,324680,,"&lt;&gt;364")</f>
        <v>AR: Group Annuities</v>
      </c>
      <c r="S754" s="366"/>
      <c r="T754" s="391" t="s">
        <v>29</v>
      </c>
    </row>
    <row r="755" spans="15:20" ht="11.25" customHeight="1" x14ac:dyDescent="0.35">
      <c r="O755" s="388" t="s">
        <v>5469</v>
      </c>
      <c r="P755" s="389" t="s">
        <v>5380</v>
      </c>
      <c r="Q755" s="389" t="str">
        <f t="shared" si="42"/>
        <v>2014Y</v>
      </c>
      <c r="R755" s="390" t="str">
        <f>[1]!SNLLabel(287,324680,,"&lt;&gt;365")</f>
        <v>AR: Accident and Health</v>
      </c>
      <c r="S755" s="366"/>
      <c r="T755" s="391" t="s">
        <v>29</v>
      </c>
    </row>
    <row r="756" spans="15:20" ht="11.25" customHeight="1" x14ac:dyDescent="0.35">
      <c r="O756" s="388" t="s">
        <v>5469</v>
      </c>
      <c r="P756" s="389" t="s">
        <v>5380</v>
      </c>
      <c r="Q756" s="389" t="str">
        <f t="shared" si="42"/>
        <v>2014Y</v>
      </c>
      <c r="R756" s="390" t="str">
        <f>[1]!SNLLabel(287,324680,,"&lt;&gt;366")</f>
        <v>AR: Fraternal</v>
      </c>
      <c r="S756" s="366"/>
      <c r="T756" s="391" t="s">
        <v>29</v>
      </c>
    </row>
    <row r="757" spans="15:20" ht="11.25" customHeight="1" x14ac:dyDescent="0.35">
      <c r="O757" s="388" t="s">
        <v>5469</v>
      </c>
      <c r="P757" s="389" t="s">
        <v>5380</v>
      </c>
      <c r="Q757" s="389" t="str">
        <f t="shared" si="42"/>
        <v>2014Y</v>
      </c>
      <c r="R757" s="390" t="str">
        <f>[1]!SNLLabel(287,324680,,"&lt;&gt;367")</f>
        <v>AR: Other Lines of Business</v>
      </c>
      <c r="S757" s="366"/>
      <c r="T757" s="391" t="s">
        <v>29</v>
      </c>
    </row>
    <row r="758" spans="15:20" ht="11.25" customHeight="1" x14ac:dyDescent="0.35">
      <c r="O758" s="388" t="s">
        <v>5469</v>
      </c>
      <c r="P758" s="389" t="s">
        <v>5380</v>
      </c>
      <c r="Q758" s="389" t="str">
        <f t="shared" si="42"/>
        <v>2014Y</v>
      </c>
      <c r="R758" s="390" t="str">
        <f>[1]!SNLLabel(287,324680,,"&lt;&gt;368")</f>
        <v>AR: YRT Mortality Risk Only</v>
      </c>
      <c r="S758" s="366"/>
      <c r="T758" s="391" t="s">
        <v>29</v>
      </c>
    </row>
    <row r="759" spans="15:20" ht="11.25" customHeight="1" x14ac:dyDescent="0.35">
      <c r="O759" s="388" t="s">
        <v>5469</v>
      </c>
      <c r="P759" s="389" t="s">
        <v>5380</v>
      </c>
      <c r="Q759" s="389" t="str">
        <f t="shared" si="42"/>
        <v>2014Y</v>
      </c>
      <c r="R759" s="390" t="str">
        <f>[1]!SNLLabel(287,324680,,"&lt;&gt;369")</f>
        <v>AR: Individual and Group Life</v>
      </c>
      <c r="S759" s="366"/>
      <c r="T759" s="391" t="s">
        <v>29</v>
      </c>
    </row>
    <row r="760" spans="15:20" ht="11.25" customHeight="1" x14ac:dyDescent="0.35">
      <c r="O760" s="367" t="s">
        <v>5469</v>
      </c>
      <c r="P760" s="368" t="s">
        <v>5380</v>
      </c>
      <c r="Q760" s="368" t="str">
        <f t="shared" si="42"/>
        <v>2014Y</v>
      </c>
      <c r="R760" s="369" t="str">
        <f>[1]!SNLLabel(287,324680,,"&lt;&gt;370")</f>
        <v>AR: Individual and Group Annuities</v>
      </c>
      <c r="S760" s="370"/>
      <c r="T760" s="371" t="s">
        <v>29</v>
      </c>
    </row>
    <row r="761" spans="15:20" ht="11.25" customHeight="1" x14ac:dyDescent="0.35">
      <c r="O761" s="384" t="s">
        <v>5469</v>
      </c>
      <c r="P761" s="385" t="s">
        <v>5380</v>
      </c>
      <c r="Q761" s="385" t="str">
        <f t="shared" ref="Q761:Q771" si="43">LEFT(Period,4)-1&amp;"Y"</f>
        <v>2013Y</v>
      </c>
      <c r="R761" s="386" t="str">
        <f>[1]!SNLLabel(287,324680,,"&lt;&gt;360")</f>
        <v>AR: Analysis of Operations All Lines</v>
      </c>
      <c r="S761" s="365"/>
      <c r="T761" s="387" t="s">
        <v>29</v>
      </c>
    </row>
    <row r="762" spans="15:20" ht="11.25" customHeight="1" x14ac:dyDescent="0.35">
      <c r="O762" s="388" t="s">
        <v>5469</v>
      </c>
      <c r="P762" s="389" t="s">
        <v>5380</v>
      </c>
      <c r="Q762" s="389" t="str">
        <f t="shared" si="43"/>
        <v>2013Y</v>
      </c>
      <c r="R762" s="390" t="str">
        <f>[1]!SNLLabel(287,324680,,"&lt;&gt;361")</f>
        <v>AR: Individual Life</v>
      </c>
      <c r="S762" s="366"/>
      <c r="T762" s="391" t="s">
        <v>29</v>
      </c>
    </row>
    <row r="763" spans="15:20" ht="11.25" customHeight="1" x14ac:dyDescent="0.35">
      <c r="O763" s="388" t="s">
        <v>5469</v>
      </c>
      <c r="P763" s="389" t="s">
        <v>5380</v>
      </c>
      <c r="Q763" s="389" t="str">
        <f t="shared" si="43"/>
        <v>2013Y</v>
      </c>
      <c r="R763" s="390" t="str">
        <f>[1]!SNLLabel(287,324680,,"&lt;&gt;362")</f>
        <v>AR: Group Life</v>
      </c>
      <c r="S763" s="366"/>
      <c r="T763" s="391" t="s">
        <v>29</v>
      </c>
    </row>
    <row r="764" spans="15:20" ht="11.25" customHeight="1" x14ac:dyDescent="0.35">
      <c r="O764" s="388" t="s">
        <v>5469</v>
      </c>
      <c r="P764" s="389" t="s">
        <v>5380</v>
      </c>
      <c r="Q764" s="389" t="str">
        <f t="shared" si="43"/>
        <v>2013Y</v>
      </c>
      <c r="R764" s="390" t="str">
        <f>[1]!SNLLabel(287,324680,,"&lt;&gt;363")</f>
        <v>AR: Individual Annuities</v>
      </c>
      <c r="S764" s="366"/>
      <c r="T764" s="391" t="s">
        <v>29</v>
      </c>
    </row>
    <row r="765" spans="15:20" ht="11.25" customHeight="1" x14ac:dyDescent="0.35">
      <c r="O765" s="388" t="s">
        <v>5469</v>
      </c>
      <c r="P765" s="389" t="s">
        <v>5380</v>
      </c>
      <c r="Q765" s="389" t="str">
        <f t="shared" si="43"/>
        <v>2013Y</v>
      </c>
      <c r="R765" s="390" t="str">
        <f>[1]!SNLLabel(287,324680,,"&lt;&gt;364")</f>
        <v>AR: Group Annuities</v>
      </c>
      <c r="S765" s="366"/>
      <c r="T765" s="391" t="s">
        <v>29</v>
      </c>
    </row>
    <row r="766" spans="15:20" ht="11.25" customHeight="1" x14ac:dyDescent="0.35">
      <c r="O766" s="388" t="s">
        <v>5469</v>
      </c>
      <c r="P766" s="389" t="s">
        <v>5380</v>
      </c>
      <c r="Q766" s="389" t="str">
        <f t="shared" si="43"/>
        <v>2013Y</v>
      </c>
      <c r="R766" s="390" t="str">
        <f>[1]!SNLLabel(287,324680,,"&lt;&gt;365")</f>
        <v>AR: Accident and Health</v>
      </c>
      <c r="S766" s="366"/>
      <c r="T766" s="391" t="s">
        <v>29</v>
      </c>
    </row>
    <row r="767" spans="15:20" ht="11.25" customHeight="1" x14ac:dyDescent="0.35">
      <c r="O767" s="388" t="s">
        <v>5469</v>
      </c>
      <c r="P767" s="389" t="s">
        <v>5380</v>
      </c>
      <c r="Q767" s="389" t="str">
        <f t="shared" si="43"/>
        <v>2013Y</v>
      </c>
      <c r="R767" s="390" t="str">
        <f>[1]!SNLLabel(287,324680,,"&lt;&gt;366")</f>
        <v>AR: Fraternal</v>
      </c>
      <c r="S767" s="366"/>
      <c r="T767" s="391" t="s">
        <v>29</v>
      </c>
    </row>
    <row r="768" spans="15:20" ht="11.25" customHeight="1" x14ac:dyDescent="0.35">
      <c r="O768" s="388" t="s">
        <v>5469</v>
      </c>
      <c r="P768" s="389" t="s">
        <v>5380</v>
      </c>
      <c r="Q768" s="389" t="str">
        <f t="shared" si="43"/>
        <v>2013Y</v>
      </c>
      <c r="R768" s="390" t="str">
        <f>[1]!SNLLabel(287,324680,,"&lt;&gt;367")</f>
        <v>AR: Other Lines of Business</v>
      </c>
      <c r="S768" s="366"/>
      <c r="T768" s="391" t="s">
        <v>29</v>
      </c>
    </row>
    <row r="769" spans="15:20" ht="11.25" customHeight="1" x14ac:dyDescent="0.35">
      <c r="O769" s="388" t="s">
        <v>5469</v>
      </c>
      <c r="P769" s="389" t="s">
        <v>5380</v>
      </c>
      <c r="Q769" s="389" t="str">
        <f t="shared" si="43"/>
        <v>2013Y</v>
      </c>
      <c r="R769" s="390" t="str">
        <f>[1]!SNLLabel(287,324680,,"&lt;&gt;368")</f>
        <v>AR: YRT Mortality Risk Only</v>
      </c>
      <c r="S769" s="366"/>
      <c r="T769" s="391" t="s">
        <v>29</v>
      </c>
    </row>
    <row r="770" spans="15:20" ht="11.25" customHeight="1" x14ac:dyDescent="0.35">
      <c r="O770" s="388" t="s">
        <v>5469</v>
      </c>
      <c r="P770" s="389" t="s">
        <v>5380</v>
      </c>
      <c r="Q770" s="389" t="str">
        <f t="shared" si="43"/>
        <v>2013Y</v>
      </c>
      <c r="R770" s="390" t="str">
        <f>[1]!SNLLabel(287,324680,,"&lt;&gt;369")</f>
        <v>AR: Individual and Group Life</v>
      </c>
      <c r="S770" s="366"/>
      <c r="T770" s="391" t="s">
        <v>29</v>
      </c>
    </row>
    <row r="771" spans="15:20" ht="11.25" customHeight="1" x14ac:dyDescent="0.35">
      <c r="O771" s="367" t="s">
        <v>5469</v>
      </c>
      <c r="P771" s="368" t="s">
        <v>5380</v>
      </c>
      <c r="Q771" s="368" t="str">
        <f t="shared" si="43"/>
        <v>2013Y</v>
      </c>
      <c r="R771" s="369" t="str">
        <f>[1]!SNLLabel(287,324680,,"&lt;&gt;370")</f>
        <v>AR: Individual and Group Annuities</v>
      </c>
      <c r="S771" s="370"/>
      <c r="T771" s="371" t="s">
        <v>29</v>
      </c>
    </row>
    <row r="772" spans="15:20" ht="11.25" customHeight="1" x14ac:dyDescent="0.35">
      <c r="O772" s="384" t="s">
        <v>5469</v>
      </c>
      <c r="P772" s="385" t="s">
        <v>5380</v>
      </c>
      <c r="Q772" s="385" t="str">
        <f t="shared" ref="Q772:Q782" si="44">LEFT(Period,4)-2&amp;"Y"</f>
        <v>2012Y</v>
      </c>
      <c r="R772" s="386" t="str">
        <f>[1]!SNLLabel(287,324680,,"&lt;&gt;360")</f>
        <v>AR: Analysis of Operations All Lines</v>
      </c>
      <c r="S772" s="365"/>
      <c r="T772" s="387" t="s">
        <v>29</v>
      </c>
    </row>
    <row r="773" spans="15:20" ht="11.25" customHeight="1" x14ac:dyDescent="0.35">
      <c r="O773" s="388" t="s">
        <v>5469</v>
      </c>
      <c r="P773" s="389" t="s">
        <v>5380</v>
      </c>
      <c r="Q773" s="389" t="str">
        <f t="shared" si="44"/>
        <v>2012Y</v>
      </c>
      <c r="R773" s="390" t="str">
        <f>[1]!SNLLabel(287,324680,,"&lt;&gt;361")</f>
        <v>AR: Individual Life</v>
      </c>
      <c r="S773" s="366"/>
      <c r="T773" s="391" t="s">
        <v>29</v>
      </c>
    </row>
    <row r="774" spans="15:20" ht="11.25" customHeight="1" x14ac:dyDescent="0.35">
      <c r="O774" s="388" t="s">
        <v>5469</v>
      </c>
      <c r="P774" s="389" t="s">
        <v>5380</v>
      </c>
      <c r="Q774" s="389" t="str">
        <f t="shared" si="44"/>
        <v>2012Y</v>
      </c>
      <c r="R774" s="390" t="str">
        <f>[1]!SNLLabel(287,324680,,"&lt;&gt;362")</f>
        <v>AR: Group Life</v>
      </c>
      <c r="S774" s="366"/>
      <c r="T774" s="391" t="s">
        <v>29</v>
      </c>
    </row>
    <row r="775" spans="15:20" ht="11.25" customHeight="1" x14ac:dyDescent="0.35">
      <c r="O775" s="388" t="s">
        <v>5469</v>
      </c>
      <c r="P775" s="389" t="s">
        <v>5380</v>
      </c>
      <c r="Q775" s="389" t="str">
        <f t="shared" si="44"/>
        <v>2012Y</v>
      </c>
      <c r="R775" s="390" t="str">
        <f>[1]!SNLLabel(287,324680,,"&lt;&gt;363")</f>
        <v>AR: Individual Annuities</v>
      </c>
      <c r="S775" s="366"/>
      <c r="T775" s="391" t="s">
        <v>29</v>
      </c>
    </row>
    <row r="776" spans="15:20" ht="11.25" customHeight="1" x14ac:dyDescent="0.35">
      <c r="O776" s="388" t="s">
        <v>5469</v>
      </c>
      <c r="P776" s="389" t="s">
        <v>5380</v>
      </c>
      <c r="Q776" s="389" t="str">
        <f t="shared" si="44"/>
        <v>2012Y</v>
      </c>
      <c r="R776" s="390" t="str">
        <f>[1]!SNLLabel(287,324680,,"&lt;&gt;364")</f>
        <v>AR: Group Annuities</v>
      </c>
      <c r="S776" s="366"/>
      <c r="T776" s="391" t="s">
        <v>29</v>
      </c>
    </row>
    <row r="777" spans="15:20" ht="11.25" customHeight="1" x14ac:dyDescent="0.35">
      <c r="O777" s="388" t="s">
        <v>5469</v>
      </c>
      <c r="P777" s="389" t="s">
        <v>5380</v>
      </c>
      <c r="Q777" s="389" t="str">
        <f t="shared" si="44"/>
        <v>2012Y</v>
      </c>
      <c r="R777" s="390" t="str">
        <f>[1]!SNLLabel(287,324680,,"&lt;&gt;365")</f>
        <v>AR: Accident and Health</v>
      </c>
      <c r="S777" s="366"/>
      <c r="T777" s="391" t="s">
        <v>29</v>
      </c>
    </row>
    <row r="778" spans="15:20" ht="11.25" customHeight="1" x14ac:dyDescent="0.35">
      <c r="O778" s="388" t="s">
        <v>5469</v>
      </c>
      <c r="P778" s="389" t="s">
        <v>5380</v>
      </c>
      <c r="Q778" s="389" t="str">
        <f t="shared" si="44"/>
        <v>2012Y</v>
      </c>
      <c r="R778" s="390" t="str">
        <f>[1]!SNLLabel(287,324680,,"&lt;&gt;366")</f>
        <v>AR: Fraternal</v>
      </c>
      <c r="S778" s="366"/>
      <c r="T778" s="391" t="s">
        <v>29</v>
      </c>
    </row>
    <row r="779" spans="15:20" ht="11.25" customHeight="1" x14ac:dyDescent="0.35">
      <c r="O779" s="388" t="s">
        <v>5469</v>
      </c>
      <c r="P779" s="389" t="s">
        <v>5380</v>
      </c>
      <c r="Q779" s="389" t="str">
        <f t="shared" si="44"/>
        <v>2012Y</v>
      </c>
      <c r="R779" s="390" t="str">
        <f>[1]!SNLLabel(287,324680,,"&lt;&gt;367")</f>
        <v>AR: Other Lines of Business</v>
      </c>
      <c r="S779" s="366"/>
      <c r="T779" s="391" t="s">
        <v>29</v>
      </c>
    </row>
    <row r="780" spans="15:20" ht="11.25" customHeight="1" x14ac:dyDescent="0.35">
      <c r="O780" s="388" t="s">
        <v>5469</v>
      </c>
      <c r="P780" s="389" t="s">
        <v>5380</v>
      </c>
      <c r="Q780" s="389" t="str">
        <f t="shared" si="44"/>
        <v>2012Y</v>
      </c>
      <c r="R780" s="390" t="str">
        <f>[1]!SNLLabel(287,324680,,"&lt;&gt;368")</f>
        <v>AR: YRT Mortality Risk Only</v>
      </c>
      <c r="S780" s="366"/>
      <c r="T780" s="391" t="s">
        <v>29</v>
      </c>
    </row>
    <row r="781" spans="15:20" ht="11.25" customHeight="1" x14ac:dyDescent="0.35">
      <c r="O781" s="388" t="s">
        <v>5469</v>
      </c>
      <c r="P781" s="389" t="s">
        <v>5380</v>
      </c>
      <c r="Q781" s="389" t="str">
        <f t="shared" si="44"/>
        <v>2012Y</v>
      </c>
      <c r="R781" s="390" t="str">
        <f>[1]!SNLLabel(287,324680,,"&lt;&gt;369")</f>
        <v>AR: Individual and Group Life</v>
      </c>
      <c r="S781" s="366"/>
      <c r="T781" s="391" t="s">
        <v>29</v>
      </c>
    </row>
    <row r="782" spans="15:20" ht="11.25" customHeight="1" x14ac:dyDescent="0.35">
      <c r="O782" s="367" t="s">
        <v>5469</v>
      </c>
      <c r="P782" s="368" t="s">
        <v>5380</v>
      </c>
      <c r="Q782" s="368" t="str">
        <f t="shared" si="44"/>
        <v>2012Y</v>
      </c>
      <c r="R782" s="369" t="str">
        <f>[1]!SNLLabel(287,324680,,"&lt;&gt;370")</f>
        <v>AR: Individual and Group Annuities</v>
      </c>
      <c r="S782" s="370"/>
      <c r="T782" s="371" t="s">
        <v>29</v>
      </c>
    </row>
    <row r="783" spans="15:20" ht="11.25" customHeight="1" x14ac:dyDescent="0.35">
      <c r="O783" s="384" t="s">
        <v>5469</v>
      </c>
      <c r="P783" s="385" t="s">
        <v>5380</v>
      </c>
      <c r="Q783" s="385" t="str">
        <f t="shared" ref="Q783:Q793" si="45">LEFT(Period,4)-3&amp;"Y"</f>
        <v>2011Y</v>
      </c>
      <c r="R783" s="386" t="str">
        <f>[1]!SNLLabel(287,324680,,"&lt;&gt;360")</f>
        <v>AR: Analysis of Operations All Lines</v>
      </c>
      <c r="S783" s="365"/>
      <c r="T783" s="387" t="s">
        <v>29</v>
      </c>
    </row>
    <row r="784" spans="15:20" ht="11.25" customHeight="1" x14ac:dyDescent="0.35">
      <c r="O784" s="388" t="s">
        <v>5469</v>
      </c>
      <c r="P784" s="389" t="s">
        <v>5380</v>
      </c>
      <c r="Q784" s="389" t="str">
        <f t="shared" si="45"/>
        <v>2011Y</v>
      </c>
      <c r="R784" s="390" t="str">
        <f>[1]!SNLLabel(287,324680,,"&lt;&gt;361")</f>
        <v>AR: Individual Life</v>
      </c>
      <c r="S784" s="366"/>
      <c r="T784" s="391" t="s">
        <v>29</v>
      </c>
    </row>
    <row r="785" spans="15:20" ht="11.25" customHeight="1" x14ac:dyDescent="0.35">
      <c r="O785" s="388" t="s">
        <v>5469</v>
      </c>
      <c r="P785" s="389" t="s">
        <v>5380</v>
      </c>
      <c r="Q785" s="389" t="str">
        <f t="shared" si="45"/>
        <v>2011Y</v>
      </c>
      <c r="R785" s="390" t="str">
        <f>[1]!SNLLabel(287,324680,,"&lt;&gt;362")</f>
        <v>AR: Group Life</v>
      </c>
      <c r="S785" s="366"/>
      <c r="T785" s="391" t="s">
        <v>29</v>
      </c>
    </row>
    <row r="786" spans="15:20" ht="11.25" customHeight="1" x14ac:dyDescent="0.35">
      <c r="O786" s="388" t="s">
        <v>5469</v>
      </c>
      <c r="P786" s="389" t="s">
        <v>5380</v>
      </c>
      <c r="Q786" s="389" t="str">
        <f t="shared" si="45"/>
        <v>2011Y</v>
      </c>
      <c r="R786" s="390" t="str">
        <f>[1]!SNLLabel(287,324680,,"&lt;&gt;363")</f>
        <v>AR: Individual Annuities</v>
      </c>
      <c r="S786" s="366"/>
      <c r="T786" s="391" t="s">
        <v>29</v>
      </c>
    </row>
    <row r="787" spans="15:20" ht="11.25" customHeight="1" x14ac:dyDescent="0.35">
      <c r="O787" s="388" t="s">
        <v>5469</v>
      </c>
      <c r="P787" s="389" t="s">
        <v>5380</v>
      </c>
      <c r="Q787" s="389" t="str">
        <f t="shared" si="45"/>
        <v>2011Y</v>
      </c>
      <c r="R787" s="390" t="str">
        <f>[1]!SNLLabel(287,324680,,"&lt;&gt;364")</f>
        <v>AR: Group Annuities</v>
      </c>
      <c r="S787" s="366"/>
      <c r="T787" s="391" t="s">
        <v>29</v>
      </c>
    </row>
    <row r="788" spans="15:20" ht="11.25" customHeight="1" x14ac:dyDescent="0.35">
      <c r="O788" s="388" t="s">
        <v>5469</v>
      </c>
      <c r="P788" s="389" t="s">
        <v>5380</v>
      </c>
      <c r="Q788" s="389" t="str">
        <f t="shared" si="45"/>
        <v>2011Y</v>
      </c>
      <c r="R788" s="390" t="str">
        <f>[1]!SNLLabel(287,324680,,"&lt;&gt;365")</f>
        <v>AR: Accident and Health</v>
      </c>
      <c r="S788" s="366"/>
      <c r="T788" s="391" t="s">
        <v>29</v>
      </c>
    </row>
    <row r="789" spans="15:20" ht="11.25" customHeight="1" x14ac:dyDescent="0.35">
      <c r="O789" s="388" t="s">
        <v>5469</v>
      </c>
      <c r="P789" s="389" t="s">
        <v>5380</v>
      </c>
      <c r="Q789" s="389" t="str">
        <f t="shared" si="45"/>
        <v>2011Y</v>
      </c>
      <c r="R789" s="390" t="str">
        <f>[1]!SNLLabel(287,324680,,"&lt;&gt;366")</f>
        <v>AR: Fraternal</v>
      </c>
      <c r="S789" s="366"/>
      <c r="T789" s="391" t="s">
        <v>29</v>
      </c>
    </row>
    <row r="790" spans="15:20" ht="11.25" customHeight="1" x14ac:dyDescent="0.35">
      <c r="O790" s="388" t="s">
        <v>5469</v>
      </c>
      <c r="P790" s="389" t="s">
        <v>5380</v>
      </c>
      <c r="Q790" s="389" t="str">
        <f t="shared" si="45"/>
        <v>2011Y</v>
      </c>
      <c r="R790" s="390" t="str">
        <f>[1]!SNLLabel(287,324680,,"&lt;&gt;367")</f>
        <v>AR: Other Lines of Business</v>
      </c>
      <c r="S790" s="366"/>
      <c r="T790" s="391" t="s">
        <v>29</v>
      </c>
    </row>
    <row r="791" spans="15:20" ht="11.25" customHeight="1" x14ac:dyDescent="0.35">
      <c r="O791" s="388" t="s">
        <v>5469</v>
      </c>
      <c r="P791" s="389" t="s">
        <v>5380</v>
      </c>
      <c r="Q791" s="389" t="str">
        <f t="shared" si="45"/>
        <v>2011Y</v>
      </c>
      <c r="R791" s="390" t="str">
        <f>[1]!SNLLabel(287,324680,,"&lt;&gt;368")</f>
        <v>AR: YRT Mortality Risk Only</v>
      </c>
      <c r="S791" s="366"/>
      <c r="T791" s="391" t="s">
        <v>29</v>
      </c>
    </row>
    <row r="792" spans="15:20" ht="11.25" customHeight="1" x14ac:dyDescent="0.35">
      <c r="O792" s="388" t="s">
        <v>5469</v>
      </c>
      <c r="P792" s="389" t="s">
        <v>5380</v>
      </c>
      <c r="Q792" s="389" t="str">
        <f t="shared" si="45"/>
        <v>2011Y</v>
      </c>
      <c r="R792" s="390" t="str">
        <f>[1]!SNLLabel(287,324680,,"&lt;&gt;369")</f>
        <v>AR: Individual and Group Life</v>
      </c>
      <c r="S792" s="366"/>
      <c r="T792" s="391" t="s">
        <v>29</v>
      </c>
    </row>
    <row r="793" spans="15:20" ht="11.25" customHeight="1" x14ac:dyDescent="0.35">
      <c r="O793" s="367" t="s">
        <v>5469</v>
      </c>
      <c r="P793" s="368" t="s">
        <v>5380</v>
      </c>
      <c r="Q793" s="368" t="str">
        <f t="shared" si="45"/>
        <v>2011Y</v>
      </c>
      <c r="R793" s="369" t="str">
        <f>[1]!SNLLabel(287,324680,,"&lt;&gt;370")</f>
        <v>AR: Individual and Group Annuities</v>
      </c>
      <c r="S793" s="370"/>
      <c r="T793" s="371" t="s">
        <v>29</v>
      </c>
    </row>
    <row r="794" spans="15:20" ht="11.25" customHeight="1" x14ac:dyDescent="0.35">
      <c r="O794" s="384" t="s">
        <v>5469</v>
      </c>
      <c r="P794" s="385" t="s">
        <v>5380</v>
      </c>
      <c r="Q794" s="385" t="str">
        <f t="shared" ref="Q794:Q804" si="46">LEFT(Period,4)-4&amp;"Y"</f>
        <v>2010Y</v>
      </c>
      <c r="R794" s="386" t="str">
        <f>[1]!SNLLabel(287,324680,,"&lt;&gt;360")</f>
        <v>AR: Analysis of Operations All Lines</v>
      </c>
      <c r="S794" s="365"/>
      <c r="T794" s="387" t="s">
        <v>29</v>
      </c>
    </row>
    <row r="795" spans="15:20" ht="11.25" customHeight="1" x14ac:dyDescent="0.35">
      <c r="O795" s="388" t="s">
        <v>5469</v>
      </c>
      <c r="P795" s="389" t="s">
        <v>5380</v>
      </c>
      <c r="Q795" s="389" t="str">
        <f t="shared" si="46"/>
        <v>2010Y</v>
      </c>
      <c r="R795" s="390" t="str">
        <f>[1]!SNLLabel(287,324680,,"&lt;&gt;361")</f>
        <v>AR: Individual Life</v>
      </c>
      <c r="S795" s="366"/>
      <c r="T795" s="391" t="s">
        <v>29</v>
      </c>
    </row>
    <row r="796" spans="15:20" ht="11.25" customHeight="1" x14ac:dyDescent="0.35">
      <c r="O796" s="388" t="s">
        <v>5469</v>
      </c>
      <c r="P796" s="389" t="s">
        <v>5380</v>
      </c>
      <c r="Q796" s="389" t="str">
        <f t="shared" si="46"/>
        <v>2010Y</v>
      </c>
      <c r="R796" s="390" t="str">
        <f>[1]!SNLLabel(287,324680,,"&lt;&gt;362")</f>
        <v>AR: Group Life</v>
      </c>
      <c r="S796" s="366"/>
      <c r="T796" s="391" t="s">
        <v>29</v>
      </c>
    </row>
    <row r="797" spans="15:20" ht="11.25" customHeight="1" x14ac:dyDescent="0.35">
      <c r="O797" s="388" t="s">
        <v>5469</v>
      </c>
      <c r="P797" s="389" t="s">
        <v>5380</v>
      </c>
      <c r="Q797" s="389" t="str">
        <f t="shared" si="46"/>
        <v>2010Y</v>
      </c>
      <c r="R797" s="390" t="str">
        <f>[1]!SNLLabel(287,324680,,"&lt;&gt;363")</f>
        <v>AR: Individual Annuities</v>
      </c>
      <c r="S797" s="366"/>
      <c r="T797" s="391" t="s">
        <v>29</v>
      </c>
    </row>
    <row r="798" spans="15:20" ht="11.25" customHeight="1" x14ac:dyDescent="0.35">
      <c r="O798" s="388" t="s">
        <v>5469</v>
      </c>
      <c r="P798" s="389" t="s">
        <v>5380</v>
      </c>
      <c r="Q798" s="389" t="str">
        <f t="shared" si="46"/>
        <v>2010Y</v>
      </c>
      <c r="R798" s="390" t="str">
        <f>[1]!SNLLabel(287,324680,,"&lt;&gt;364")</f>
        <v>AR: Group Annuities</v>
      </c>
      <c r="S798" s="366"/>
      <c r="T798" s="391" t="s">
        <v>29</v>
      </c>
    </row>
    <row r="799" spans="15:20" ht="11.25" customHeight="1" x14ac:dyDescent="0.35">
      <c r="O799" s="388" t="s">
        <v>5469</v>
      </c>
      <c r="P799" s="389" t="s">
        <v>5380</v>
      </c>
      <c r="Q799" s="389" t="str">
        <f t="shared" si="46"/>
        <v>2010Y</v>
      </c>
      <c r="R799" s="390" t="str">
        <f>[1]!SNLLabel(287,324680,,"&lt;&gt;365")</f>
        <v>AR: Accident and Health</v>
      </c>
      <c r="S799" s="366"/>
      <c r="T799" s="391" t="s">
        <v>29</v>
      </c>
    </row>
    <row r="800" spans="15:20" ht="11.25" customHeight="1" x14ac:dyDescent="0.35">
      <c r="O800" s="388" t="s">
        <v>5469</v>
      </c>
      <c r="P800" s="389" t="s">
        <v>5380</v>
      </c>
      <c r="Q800" s="389" t="str">
        <f t="shared" si="46"/>
        <v>2010Y</v>
      </c>
      <c r="R800" s="390" t="str">
        <f>[1]!SNLLabel(287,324680,,"&lt;&gt;366")</f>
        <v>AR: Fraternal</v>
      </c>
      <c r="S800" s="366"/>
      <c r="T800" s="391" t="s">
        <v>29</v>
      </c>
    </row>
    <row r="801" spans="15:20" ht="11.25" customHeight="1" x14ac:dyDescent="0.35">
      <c r="O801" s="388" t="s">
        <v>5469</v>
      </c>
      <c r="P801" s="389" t="s">
        <v>5380</v>
      </c>
      <c r="Q801" s="389" t="str">
        <f t="shared" si="46"/>
        <v>2010Y</v>
      </c>
      <c r="R801" s="390" t="str">
        <f>[1]!SNLLabel(287,324680,,"&lt;&gt;367")</f>
        <v>AR: Other Lines of Business</v>
      </c>
      <c r="S801" s="366"/>
      <c r="T801" s="391" t="s">
        <v>29</v>
      </c>
    </row>
    <row r="802" spans="15:20" ht="11.25" customHeight="1" x14ac:dyDescent="0.35">
      <c r="O802" s="388" t="s">
        <v>5469</v>
      </c>
      <c r="P802" s="389" t="s">
        <v>5380</v>
      </c>
      <c r="Q802" s="389" t="str">
        <f t="shared" si="46"/>
        <v>2010Y</v>
      </c>
      <c r="R802" s="390" t="str">
        <f>[1]!SNLLabel(287,324680,,"&lt;&gt;368")</f>
        <v>AR: YRT Mortality Risk Only</v>
      </c>
      <c r="S802" s="366"/>
      <c r="T802" s="391" t="s">
        <v>29</v>
      </c>
    </row>
    <row r="803" spans="15:20" ht="11.25" customHeight="1" x14ac:dyDescent="0.35">
      <c r="O803" s="388" t="s">
        <v>5469</v>
      </c>
      <c r="P803" s="389" t="s">
        <v>5380</v>
      </c>
      <c r="Q803" s="389" t="str">
        <f t="shared" si="46"/>
        <v>2010Y</v>
      </c>
      <c r="R803" s="390" t="str">
        <f>[1]!SNLLabel(287,324680,,"&lt;&gt;369")</f>
        <v>AR: Individual and Group Life</v>
      </c>
      <c r="S803" s="366"/>
      <c r="T803" s="391" t="s">
        <v>29</v>
      </c>
    </row>
    <row r="804" spans="15:20" ht="11.25" customHeight="1" x14ac:dyDescent="0.35">
      <c r="O804" s="367" t="s">
        <v>5469</v>
      </c>
      <c r="P804" s="368" t="s">
        <v>5380</v>
      </c>
      <c r="Q804" s="368" t="str">
        <f t="shared" si="46"/>
        <v>2010Y</v>
      </c>
      <c r="R804" s="369" t="str">
        <f>[1]!SNLLabel(287,324680,,"&lt;&gt;370")</f>
        <v>AR: Individual and Group Annuities</v>
      </c>
      <c r="S804" s="370"/>
      <c r="T804" s="371" t="s">
        <v>29</v>
      </c>
    </row>
    <row r="805" spans="15:20" ht="11.25" customHeight="1" x14ac:dyDescent="0.35">
      <c r="O805" s="377"/>
      <c r="P805" s="378"/>
      <c r="Q805" s="378"/>
      <c r="R805" s="379"/>
      <c r="S805" s="375"/>
      <c r="T805" s="380"/>
    </row>
    <row r="806" spans="15:20" ht="11.25" customHeight="1" x14ac:dyDescent="0.35">
      <c r="O806" s="384" t="s">
        <v>5471</v>
      </c>
      <c r="P806" s="385" t="s">
        <v>5381</v>
      </c>
      <c r="Q806" s="385" t="str">
        <f t="shared" ref="Q806:Q816" si="47">Period</f>
        <v>2014Y</v>
      </c>
      <c r="R806" s="386" t="str">
        <f>[1]!SNLLabel(287,324677,,"&lt;&gt;360")</f>
        <v>AR: Analysis of Operations All Lines</v>
      </c>
      <c r="S806" s="365"/>
      <c r="T806" s="387" t="s">
        <v>29</v>
      </c>
    </row>
    <row r="807" spans="15:20" ht="11.25" customHeight="1" x14ac:dyDescent="0.35">
      <c r="O807" s="388" t="s">
        <v>5471</v>
      </c>
      <c r="P807" s="389" t="s">
        <v>5381</v>
      </c>
      <c r="Q807" s="389" t="str">
        <f t="shared" si="47"/>
        <v>2014Y</v>
      </c>
      <c r="R807" s="390" t="str">
        <f>[1]!SNLLabel(287,324677,,"&lt;&gt;361")</f>
        <v>AR: Individual Life</v>
      </c>
      <c r="S807" s="366"/>
      <c r="T807" s="391" t="s">
        <v>29</v>
      </c>
    </row>
    <row r="808" spans="15:20" ht="11.25" customHeight="1" x14ac:dyDescent="0.35">
      <c r="O808" s="388" t="s">
        <v>5471</v>
      </c>
      <c r="P808" s="389" t="s">
        <v>5381</v>
      </c>
      <c r="Q808" s="389" t="str">
        <f t="shared" si="47"/>
        <v>2014Y</v>
      </c>
      <c r="R808" s="390" t="str">
        <f>[1]!SNLLabel(287,324677,,"&lt;&gt;362")</f>
        <v>AR: Group Life</v>
      </c>
      <c r="S808" s="366"/>
      <c r="T808" s="391" t="s">
        <v>29</v>
      </c>
    </row>
    <row r="809" spans="15:20" ht="11.25" customHeight="1" x14ac:dyDescent="0.35">
      <c r="O809" s="388" t="s">
        <v>5471</v>
      </c>
      <c r="P809" s="389" t="s">
        <v>5381</v>
      </c>
      <c r="Q809" s="389" t="str">
        <f t="shared" si="47"/>
        <v>2014Y</v>
      </c>
      <c r="R809" s="390" t="str">
        <f>[1]!SNLLabel(287,324677,,"&lt;&gt;363")</f>
        <v>AR: Individual Annuities</v>
      </c>
      <c r="S809" s="366"/>
      <c r="T809" s="391" t="s">
        <v>29</v>
      </c>
    </row>
    <row r="810" spans="15:20" ht="11.25" customHeight="1" x14ac:dyDescent="0.35">
      <c r="O810" s="388" t="s">
        <v>5471</v>
      </c>
      <c r="P810" s="389" t="s">
        <v>5381</v>
      </c>
      <c r="Q810" s="389" t="str">
        <f t="shared" si="47"/>
        <v>2014Y</v>
      </c>
      <c r="R810" s="390" t="str">
        <f>[1]!SNLLabel(287,324677,,"&lt;&gt;364")</f>
        <v>AR: Group Annuities</v>
      </c>
      <c r="S810" s="366"/>
      <c r="T810" s="391" t="s">
        <v>29</v>
      </c>
    </row>
    <row r="811" spans="15:20" ht="11.25" customHeight="1" x14ac:dyDescent="0.35">
      <c r="O811" s="388" t="s">
        <v>5471</v>
      </c>
      <c r="P811" s="389" t="s">
        <v>5381</v>
      </c>
      <c r="Q811" s="389" t="str">
        <f t="shared" si="47"/>
        <v>2014Y</v>
      </c>
      <c r="R811" s="390" t="str">
        <f>[1]!SNLLabel(287,324677,,"&lt;&gt;365")</f>
        <v>AR: Accident and Health</v>
      </c>
      <c r="S811" s="366"/>
      <c r="T811" s="391" t="s">
        <v>29</v>
      </c>
    </row>
    <row r="812" spans="15:20" ht="11.25" customHeight="1" x14ac:dyDescent="0.35">
      <c r="O812" s="388" t="s">
        <v>5471</v>
      </c>
      <c r="P812" s="389" t="s">
        <v>5381</v>
      </c>
      <c r="Q812" s="389" t="str">
        <f t="shared" si="47"/>
        <v>2014Y</v>
      </c>
      <c r="R812" s="390" t="str">
        <f>[1]!SNLLabel(287,324677,,"&lt;&gt;366")</f>
        <v>AR: Fraternal</v>
      </c>
      <c r="S812" s="366"/>
      <c r="T812" s="391" t="s">
        <v>29</v>
      </c>
    </row>
    <row r="813" spans="15:20" ht="11.25" customHeight="1" x14ac:dyDescent="0.35">
      <c r="O813" s="388" t="s">
        <v>5471</v>
      </c>
      <c r="P813" s="389" t="s">
        <v>5381</v>
      </c>
      <c r="Q813" s="389" t="str">
        <f t="shared" si="47"/>
        <v>2014Y</v>
      </c>
      <c r="R813" s="390" t="str">
        <f>[1]!SNLLabel(287,324677,,"&lt;&gt;367")</f>
        <v>AR: Other Lines of Business</v>
      </c>
      <c r="S813" s="366"/>
      <c r="T813" s="391" t="s">
        <v>29</v>
      </c>
    </row>
    <row r="814" spans="15:20" ht="11.25" customHeight="1" x14ac:dyDescent="0.35">
      <c r="O814" s="388" t="s">
        <v>5471</v>
      </c>
      <c r="P814" s="389" t="s">
        <v>5381</v>
      </c>
      <c r="Q814" s="389" t="str">
        <f t="shared" si="47"/>
        <v>2014Y</v>
      </c>
      <c r="R814" s="390" t="str">
        <f>[1]!SNLLabel(287,324677,,"&lt;&gt;368")</f>
        <v>AR: YRT Mortality Risk Only</v>
      </c>
      <c r="S814" s="366"/>
      <c r="T814" s="391" t="s">
        <v>29</v>
      </c>
    </row>
    <row r="815" spans="15:20" ht="11.25" customHeight="1" x14ac:dyDescent="0.35">
      <c r="O815" s="388" t="s">
        <v>5471</v>
      </c>
      <c r="P815" s="389" t="s">
        <v>5381</v>
      </c>
      <c r="Q815" s="389" t="str">
        <f t="shared" si="47"/>
        <v>2014Y</v>
      </c>
      <c r="R815" s="390" t="str">
        <f>[1]!SNLLabel(287,324677,,"&lt;&gt;369")</f>
        <v>AR: Individual and Group Life</v>
      </c>
      <c r="S815" s="366"/>
      <c r="T815" s="391" t="s">
        <v>29</v>
      </c>
    </row>
    <row r="816" spans="15:20" ht="11.25" customHeight="1" x14ac:dyDescent="0.35">
      <c r="O816" s="367" t="s">
        <v>5471</v>
      </c>
      <c r="P816" s="368" t="s">
        <v>5381</v>
      </c>
      <c r="Q816" s="368" t="str">
        <f t="shared" si="47"/>
        <v>2014Y</v>
      </c>
      <c r="R816" s="369" t="str">
        <f>[1]!SNLLabel(287,324677,,"&lt;&gt;370")</f>
        <v>AR: Individual and Group Annuities</v>
      </c>
      <c r="S816" s="370"/>
      <c r="T816" s="371" t="s">
        <v>29</v>
      </c>
    </row>
    <row r="817" spans="15:20" ht="11.25" customHeight="1" x14ac:dyDescent="0.35">
      <c r="O817" s="384" t="s">
        <v>5471</v>
      </c>
      <c r="P817" s="385" t="s">
        <v>5381</v>
      </c>
      <c r="Q817" s="385" t="str">
        <f t="shared" ref="Q817:Q827" si="48">LEFT(Period,4)-1&amp;"Y"</f>
        <v>2013Y</v>
      </c>
      <c r="R817" s="386" t="str">
        <f>[1]!SNLLabel(287,324677,,"&lt;&gt;360")</f>
        <v>AR: Analysis of Operations All Lines</v>
      </c>
      <c r="S817" s="365"/>
      <c r="T817" s="387" t="s">
        <v>29</v>
      </c>
    </row>
    <row r="818" spans="15:20" ht="11.25" customHeight="1" x14ac:dyDescent="0.35">
      <c r="O818" s="388" t="s">
        <v>5471</v>
      </c>
      <c r="P818" s="389" t="s">
        <v>5381</v>
      </c>
      <c r="Q818" s="389" t="str">
        <f t="shared" si="48"/>
        <v>2013Y</v>
      </c>
      <c r="R818" s="390" t="str">
        <f>[1]!SNLLabel(287,324677,,"&lt;&gt;361")</f>
        <v>AR: Individual Life</v>
      </c>
      <c r="S818" s="366"/>
      <c r="T818" s="391" t="s">
        <v>29</v>
      </c>
    </row>
    <row r="819" spans="15:20" ht="11.25" customHeight="1" x14ac:dyDescent="0.35">
      <c r="O819" s="388" t="s">
        <v>5471</v>
      </c>
      <c r="P819" s="389" t="s">
        <v>5381</v>
      </c>
      <c r="Q819" s="389" t="str">
        <f t="shared" si="48"/>
        <v>2013Y</v>
      </c>
      <c r="R819" s="390" t="str">
        <f>[1]!SNLLabel(287,324677,,"&lt;&gt;362")</f>
        <v>AR: Group Life</v>
      </c>
      <c r="S819" s="366"/>
      <c r="T819" s="391" t="s">
        <v>29</v>
      </c>
    </row>
    <row r="820" spans="15:20" ht="11.25" customHeight="1" x14ac:dyDescent="0.35">
      <c r="O820" s="388" t="s">
        <v>5471</v>
      </c>
      <c r="P820" s="389" t="s">
        <v>5381</v>
      </c>
      <c r="Q820" s="389" t="str">
        <f t="shared" si="48"/>
        <v>2013Y</v>
      </c>
      <c r="R820" s="390" t="str">
        <f>[1]!SNLLabel(287,324677,,"&lt;&gt;363")</f>
        <v>AR: Individual Annuities</v>
      </c>
      <c r="S820" s="366"/>
      <c r="T820" s="391" t="s">
        <v>29</v>
      </c>
    </row>
    <row r="821" spans="15:20" ht="11.25" customHeight="1" x14ac:dyDescent="0.35">
      <c r="O821" s="388" t="s">
        <v>5471</v>
      </c>
      <c r="P821" s="389" t="s">
        <v>5381</v>
      </c>
      <c r="Q821" s="389" t="str">
        <f t="shared" si="48"/>
        <v>2013Y</v>
      </c>
      <c r="R821" s="390" t="str">
        <f>[1]!SNLLabel(287,324677,,"&lt;&gt;364")</f>
        <v>AR: Group Annuities</v>
      </c>
      <c r="S821" s="366"/>
      <c r="T821" s="391" t="s">
        <v>29</v>
      </c>
    </row>
    <row r="822" spans="15:20" ht="11.25" customHeight="1" x14ac:dyDescent="0.35">
      <c r="O822" s="388" t="s">
        <v>5471</v>
      </c>
      <c r="P822" s="389" t="s">
        <v>5381</v>
      </c>
      <c r="Q822" s="389" t="str">
        <f t="shared" si="48"/>
        <v>2013Y</v>
      </c>
      <c r="R822" s="390" t="str">
        <f>[1]!SNLLabel(287,324677,,"&lt;&gt;365")</f>
        <v>AR: Accident and Health</v>
      </c>
      <c r="S822" s="366"/>
      <c r="T822" s="391" t="s">
        <v>29</v>
      </c>
    </row>
    <row r="823" spans="15:20" ht="11.25" customHeight="1" x14ac:dyDescent="0.35">
      <c r="O823" s="388" t="s">
        <v>5471</v>
      </c>
      <c r="P823" s="389" t="s">
        <v>5381</v>
      </c>
      <c r="Q823" s="389" t="str">
        <f t="shared" si="48"/>
        <v>2013Y</v>
      </c>
      <c r="R823" s="390" t="str">
        <f>[1]!SNLLabel(287,324677,,"&lt;&gt;366")</f>
        <v>AR: Fraternal</v>
      </c>
      <c r="S823" s="366"/>
      <c r="T823" s="391" t="s">
        <v>29</v>
      </c>
    </row>
    <row r="824" spans="15:20" ht="11.25" customHeight="1" x14ac:dyDescent="0.35">
      <c r="O824" s="388" t="s">
        <v>5471</v>
      </c>
      <c r="P824" s="389" t="s">
        <v>5381</v>
      </c>
      <c r="Q824" s="389" t="str">
        <f t="shared" si="48"/>
        <v>2013Y</v>
      </c>
      <c r="R824" s="390" t="str">
        <f>[1]!SNLLabel(287,324677,,"&lt;&gt;367")</f>
        <v>AR: Other Lines of Business</v>
      </c>
      <c r="S824" s="366"/>
      <c r="T824" s="391" t="s">
        <v>29</v>
      </c>
    </row>
    <row r="825" spans="15:20" ht="11.25" customHeight="1" x14ac:dyDescent="0.35">
      <c r="O825" s="388" t="s">
        <v>5471</v>
      </c>
      <c r="P825" s="389" t="s">
        <v>5381</v>
      </c>
      <c r="Q825" s="389" t="str">
        <f t="shared" si="48"/>
        <v>2013Y</v>
      </c>
      <c r="R825" s="390" t="str">
        <f>[1]!SNLLabel(287,324677,,"&lt;&gt;368")</f>
        <v>AR: YRT Mortality Risk Only</v>
      </c>
      <c r="S825" s="366"/>
      <c r="T825" s="391" t="s">
        <v>29</v>
      </c>
    </row>
    <row r="826" spans="15:20" ht="11.25" customHeight="1" x14ac:dyDescent="0.35">
      <c r="O826" s="388" t="s">
        <v>5471</v>
      </c>
      <c r="P826" s="389" t="s">
        <v>5381</v>
      </c>
      <c r="Q826" s="389" t="str">
        <f t="shared" si="48"/>
        <v>2013Y</v>
      </c>
      <c r="R826" s="390" t="str">
        <f>[1]!SNLLabel(287,324677,,"&lt;&gt;369")</f>
        <v>AR: Individual and Group Life</v>
      </c>
      <c r="S826" s="366"/>
      <c r="T826" s="391" t="s">
        <v>29</v>
      </c>
    </row>
    <row r="827" spans="15:20" ht="11.25" customHeight="1" x14ac:dyDescent="0.35">
      <c r="O827" s="367" t="s">
        <v>5471</v>
      </c>
      <c r="P827" s="368" t="s">
        <v>5381</v>
      </c>
      <c r="Q827" s="368" t="str">
        <f t="shared" si="48"/>
        <v>2013Y</v>
      </c>
      <c r="R827" s="369" t="str">
        <f>[1]!SNLLabel(287,324677,,"&lt;&gt;370")</f>
        <v>AR: Individual and Group Annuities</v>
      </c>
      <c r="S827" s="370"/>
      <c r="T827" s="371" t="s">
        <v>29</v>
      </c>
    </row>
    <row r="828" spans="15:20" ht="11.25" customHeight="1" x14ac:dyDescent="0.35">
      <c r="O828" s="384" t="s">
        <v>5471</v>
      </c>
      <c r="P828" s="385" t="s">
        <v>5381</v>
      </c>
      <c r="Q828" s="385" t="str">
        <f t="shared" ref="Q828:Q838" si="49">LEFT(Period,4)-2&amp;"Y"</f>
        <v>2012Y</v>
      </c>
      <c r="R828" s="386" t="str">
        <f>[1]!SNLLabel(287,324677,,"&lt;&gt;360")</f>
        <v>AR: Analysis of Operations All Lines</v>
      </c>
      <c r="S828" s="365"/>
      <c r="T828" s="387" t="s">
        <v>29</v>
      </c>
    </row>
    <row r="829" spans="15:20" ht="11.25" customHeight="1" x14ac:dyDescent="0.35">
      <c r="O829" s="388" t="s">
        <v>5471</v>
      </c>
      <c r="P829" s="389" t="s">
        <v>5381</v>
      </c>
      <c r="Q829" s="389" t="str">
        <f t="shared" si="49"/>
        <v>2012Y</v>
      </c>
      <c r="R829" s="390" t="str">
        <f>[1]!SNLLabel(287,324677,,"&lt;&gt;361")</f>
        <v>AR: Individual Life</v>
      </c>
      <c r="S829" s="366"/>
      <c r="T829" s="391" t="s">
        <v>29</v>
      </c>
    </row>
    <row r="830" spans="15:20" ht="11.25" customHeight="1" x14ac:dyDescent="0.35">
      <c r="O830" s="388" t="s">
        <v>5471</v>
      </c>
      <c r="P830" s="389" t="s">
        <v>5381</v>
      </c>
      <c r="Q830" s="389" t="str">
        <f t="shared" si="49"/>
        <v>2012Y</v>
      </c>
      <c r="R830" s="390" t="str">
        <f>[1]!SNLLabel(287,324677,,"&lt;&gt;362")</f>
        <v>AR: Group Life</v>
      </c>
      <c r="S830" s="366"/>
      <c r="T830" s="391" t="s">
        <v>29</v>
      </c>
    </row>
    <row r="831" spans="15:20" ht="11.25" customHeight="1" x14ac:dyDescent="0.35">
      <c r="O831" s="388" t="s">
        <v>5471</v>
      </c>
      <c r="P831" s="389" t="s">
        <v>5381</v>
      </c>
      <c r="Q831" s="389" t="str">
        <f t="shared" si="49"/>
        <v>2012Y</v>
      </c>
      <c r="R831" s="390" t="str">
        <f>[1]!SNLLabel(287,324677,,"&lt;&gt;363")</f>
        <v>AR: Individual Annuities</v>
      </c>
      <c r="S831" s="366"/>
      <c r="T831" s="391" t="s">
        <v>29</v>
      </c>
    </row>
    <row r="832" spans="15:20" ht="11.25" customHeight="1" x14ac:dyDescent="0.35">
      <c r="O832" s="388" t="s">
        <v>5471</v>
      </c>
      <c r="P832" s="389" t="s">
        <v>5381</v>
      </c>
      <c r="Q832" s="389" t="str">
        <f t="shared" si="49"/>
        <v>2012Y</v>
      </c>
      <c r="R832" s="390" t="str">
        <f>[1]!SNLLabel(287,324677,,"&lt;&gt;364")</f>
        <v>AR: Group Annuities</v>
      </c>
      <c r="S832" s="366"/>
      <c r="T832" s="391" t="s">
        <v>29</v>
      </c>
    </row>
    <row r="833" spans="15:20" ht="11.25" customHeight="1" x14ac:dyDescent="0.35">
      <c r="O833" s="388" t="s">
        <v>5471</v>
      </c>
      <c r="P833" s="389" t="s">
        <v>5381</v>
      </c>
      <c r="Q833" s="389" t="str">
        <f t="shared" si="49"/>
        <v>2012Y</v>
      </c>
      <c r="R833" s="390" t="str">
        <f>[1]!SNLLabel(287,324677,,"&lt;&gt;365")</f>
        <v>AR: Accident and Health</v>
      </c>
      <c r="S833" s="366"/>
      <c r="T833" s="391" t="s">
        <v>29</v>
      </c>
    </row>
    <row r="834" spans="15:20" ht="11.25" customHeight="1" x14ac:dyDescent="0.35">
      <c r="O834" s="388" t="s">
        <v>5471</v>
      </c>
      <c r="P834" s="389" t="s">
        <v>5381</v>
      </c>
      <c r="Q834" s="389" t="str">
        <f t="shared" si="49"/>
        <v>2012Y</v>
      </c>
      <c r="R834" s="390" t="str">
        <f>[1]!SNLLabel(287,324677,,"&lt;&gt;366")</f>
        <v>AR: Fraternal</v>
      </c>
      <c r="S834" s="366"/>
      <c r="T834" s="391" t="s">
        <v>29</v>
      </c>
    </row>
    <row r="835" spans="15:20" ht="11.25" customHeight="1" x14ac:dyDescent="0.35">
      <c r="O835" s="388" t="s">
        <v>5471</v>
      </c>
      <c r="P835" s="389" t="s">
        <v>5381</v>
      </c>
      <c r="Q835" s="389" t="str">
        <f t="shared" si="49"/>
        <v>2012Y</v>
      </c>
      <c r="R835" s="390" t="str">
        <f>[1]!SNLLabel(287,324677,,"&lt;&gt;367")</f>
        <v>AR: Other Lines of Business</v>
      </c>
      <c r="S835" s="366"/>
      <c r="T835" s="391" t="s">
        <v>29</v>
      </c>
    </row>
    <row r="836" spans="15:20" ht="11.25" customHeight="1" x14ac:dyDescent="0.35">
      <c r="O836" s="388" t="s">
        <v>5471</v>
      </c>
      <c r="P836" s="389" t="s">
        <v>5381</v>
      </c>
      <c r="Q836" s="389" t="str">
        <f t="shared" si="49"/>
        <v>2012Y</v>
      </c>
      <c r="R836" s="390" t="str">
        <f>[1]!SNLLabel(287,324677,,"&lt;&gt;368")</f>
        <v>AR: YRT Mortality Risk Only</v>
      </c>
      <c r="S836" s="366"/>
      <c r="T836" s="391" t="s">
        <v>29</v>
      </c>
    </row>
    <row r="837" spans="15:20" ht="11.25" customHeight="1" x14ac:dyDescent="0.35">
      <c r="O837" s="388" t="s">
        <v>5471</v>
      </c>
      <c r="P837" s="389" t="s">
        <v>5381</v>
      </c>
      <c r="Q837" s="389" t="str">
        <f t="shared" si="49"/>
        <v>2012Y</v>
      </c>
      <c r="R837" s="390" t="str">
        <f>[1]!SNLLabel(287,324677,,"&lt;&gt;369")</f>
        <v>AR: Individual and Group Life</v>
      </c>
      <c r="S837" s="366"/>
      <c r="T837" s="391" t="s">
        <v>29</v>
      </c>
    </row>
    <row r="838" spans="15:20" ht="11.25" customHeight="1" x14ac:dyDescent="0.35">
      <c r="O838" s="367" t="s">
        <v>5471</v>
      </c>
      <c r="P838" s="368" t="s">
        <v>5381</v>
      </c>
      <c r="Q838" s="368" t="str">
        <f t="shared" si="49"/>
        <v>2012Y</v>
      </c>
      <c r="R838" s="369" t="str">
        <f>[1]!SNLLabel(287,324677,,"&lt;&gt;370")</f>
        <v>AR: Individual and Group Annuities</v>
      </c>
      <c r="S838" s="370"/>
      <c r="T838" s="371" t="s">
        <v>29</v>
      </c>
    </row>
    <row r="839" spans="15:20" ht="11.25" customHeight="1" x14ac:dyDescent="0.35">
      <c r="O839" s="384" t="s">
        <v>5471</v>
      </c>
      <c r="P839" s="385" t="s">
        <v>5381</v>
      </c>
      <c r="Q839" s="385" t="str">
        <f t="shared" ref="Q839:Q849" si="50">LEFT(Period,4)-3&amp;"Y"</f>
        <v>2011Y</v>
      </c>
      <c r="R839" s="386" t="str">
        <f>[1]!SNLLabel(287,324677,,"&lt;&gt;360")</f>
        <v>AR: Analysis of Operations All Lines</v>
      </c>
      <c r="S839" s="365"/>
      <c r="T839" s="387" t="s">
        <v>29</v>
      </c>
    </row>
    <row r="840" spans="15:20" ht="11.25" customHeight="1" x14ac:dyDescent="0.35">
      <c r="O840" s="388" t="s">
        <v>5471</v>
      </c>
      <c r="P840" s="389" t="s">
        <v>5381</v>
      </c>
      <c r="Q840" s="389" t="str">
        <f t="shared" si="50"/>
        <v>2011Y</v>
      </c>
      <c r="R840" s="390" t="str">
        <f>[1]!SNLLabel(287,324677,,"&lt;&gt;361")</f>
        <v>AR: Individual Life</v>
      </c>
      <c r="S840" s="366"/>
      <c r="T840" s="391" t="s">
        <v>29</v>
      </c>
    </row>
    <row r="841" spans="15:20" ht="11.25" customHeight="1" x14ac:dyDescent="0.35">
      <c r="O841" s="388" t="s">
        <v>5471</v>
      </c>
      <c r="P841" s="389" t="s">
        <v>5381</v>
      </c>
      <c r="Q841" s="389" t="str">
        <f t="shared" si="50"/>
        <v>2011Y</v>
      </c>
      <c r="R841" s="390" t="str">
        <f>[1]!SNLLabel(287,324677,,"&lt;&gt;362")</f>
        <v>AR: Group Life</v>
      </c>
      <c r="S841" s="366"/>
      <c r="T841" s="391" t="s">
        <v>29</v>
      </c>
    </row>
    <row r="842" spans="15:20" ht="11.25" customHeight="1" x14ac:dyDescent="0.35">
      <c r="O842" s="388" t="s">
        <v>5471</v>
      </c>
      <c r="P842" s="389" t="s">
        <v>5381</v>
      </c>
      <c r="Q842" s="389" t="str">
        <f t="shared" si="50"/>
        <v>2011Y</v>
      </c>
      <c r="R842" s="390" t="str">
        <f>[1]!SNLLabel(287,324677,,"&lt;&gt;363")</f>
        <v>AR: Individual Annuities</v>
      </c>
      <c r="S842" s="366"/>
      <c r="T842" s="391" t="s">
        <v>29</v>
      </c>
    </row>
    <row r="843" spans="15:20" ht="11.25" customHeight="1" x14ac:dyDescent="0.35">
      <c r="O843" s="388" t="s">
        <v>5471</v>
      </c>
      <c r="P843" s="389" t="s">
        <v>5381</v>
      </c>
      <c r="Q843" s="389" t="str">
        <f t="shared" si="50"/>
        <v>2011Y</v>
      </c>
      <c r="R843" s="390" t="str">
        <f>[1]!SNLLabel(287,324677,,"&lt;&gt;364")</f>
        <v>AR: Group Annuities</v>
      </c>
      <c r="S843" s="366"/>
      <c r="T843" s="391" t="s">
        <v>29</v>
      </c>
    </row>
    <row r="844" spans="15:20" ht="11.25" customHeight="1" x14ac:dyDescent="0.35">
      <c r="O844" s="388" t="s">
        <v>5471</v>
      </c>
      <c r="P844" s="389" t="s">
        <v>5381</v>
      </c>
      <c r="Q844" s="389" t="str">
        <f t="shared" si="50"/>
        <v>2011Y</v>
      </c>
      <c r="R844" s="390" t="str">
        <f>[1]!SNLLabel(287,324677,,"&lt;&gt;365")</f>
        <v>AR: Accident and Health</v>
      </c>
      <c r="S844" s="366"/>
      <c r="T844" s="391" t="s">
        <v>29</v>
      </c>
    </row>
    <row r="845" spans="15:20" ht="11.25" customHeight="1" x14ac:dyDescent="0.35">
      <c r="O845" s="388" t="s">
        <v>5471</v>
      </c>
      <c r="P845" s="389" t="s">
        <v>5381</v>
      </c>
      <c r="Q845" s="389" t="str">
        <f t="shared" si="50"/>
        <v>2011Y</v>
      </c>
      <c r="R845" s="390" t="str">
        <f>[1]!SNLLabel(287,324677,,"&lt;&gt;366")</f>
        <v>AR: Fraternal</v>
      </c>
      <c r="S845" s="366"/>
      <c r="T845" s="391" t="s">
        <v>29</v>
      </c>
    </row>
    <row r="846" spans="15:20" ht="11.25" customHeight="1" x14ac:dyDescent="0.35">
      <c r="O846" s="388" t="s">
        <v>5471</v>
      </c>
      <c r="P846" s="389" t="s">
        <v>5381</v>
      </c>
      <c r="Q846" s="389" t="str">
        <f t="shared" si="50"/>
        <v>2011Y</v>
      </c>
      <c r="R846" s="390" t="str">
        <f>[1]!SNLLabel(287,324677,,"&lt;&gt;367")</f>
        <v>AR: Other Lines of Business</v>
      </c>
      <c r="S846" s="366"/>
      <c r="T846" s="391" t="s">
        <v>29</v>
      </c>
    </row>
    <row r="847" spans="15:20" ht="11.25" customHeight="1" x14ac:dyDescent="0.35">
      <c r="O847" s="388" t="s">
        <v>5471</v>
      </c>
      <c r="P847" s="389" t="s">
        <v>5381</v>
      </c>
      <c r="Q847" s="389" t="str">
        <f t="shared" si="50"/>
        <v>2011Y</v>
      </c>
      <c r="R847" s="390" t="str">
        <f>[1]!SNLLabel(287,324677,,"&lt;&gt;368")</f>
        <v>AR: YRT Mortality Risk Only</v>
      </c>
      <c r="S847" s="366"/>
      <c r="T847" s="391" t="s">
        <v>29</v>
      </c>
    </row>
    <row r="848" spans="15:20" ht="11.25" customHeight="1" x14ac:dyDescent="0.35">
      <c r="O848" s="388" t="s">
        <v>5471</v>
      </c>
      <c r="P848" s="389" t="s">
        <v>5381</v>
      </c>
      <c r="Q848" s="389" t="str">
        <f t="shared" si="50"/>
        <v>2011Y</v>
      </c>
      <c r="R848" s="390" t="str">
        <f>[1]!SNLLabel(287,324677,,"&lt;&gt;369")</f>
        <v>AR: Individual and Group Life</v>
      </c>
      <c r="S848" s="366"/>
      <c r="T848" s="391" t="s">
        <v>29</v>
      </c>
    </row>
    <row r="849" spans="15:20" ht="11.25" customHeight="1" x14ac:dyDescent="0.35">
      <c r="O849" s="367" t="s">
        <v>5471</v>
      </c>
      <c r="P849" s="368" t="s">
        <v>5381</v>
      </c>
      <c r="Q849" s="368" t="str">
        <f t="shared" si="50"/>
        <v>2011Y</v>
      </c>
      <c r="R849" s="369" t="str">
        <f>[1]!SNLLabel(287,324677,,"&lt;&gt;370")</f>
        <v>AR: Individual and Group Annuities</v>
      </c>
      <c r="S849" s="370"/>
      <c r="T849" s="371" t="s">
        <v>29</v>
      </c>
    </row>
    <row r="850" spans="15:20" ht="11.25" customHeight="1" x14ac:dyDescent="0.35">
      <c r="O850" s="384" t="s">
        <v>5471</v>
      </c>
      <c r="P850" s="385" t="s">
        <v>5381</v>
      </c>
      <c r="Q850" s="385" t="str">
        <f t="shared" ref="Q850:Q860" si="51">LEFT(Period,4)-4&amp;"Y"</f>
        <v>2010Y</v>
      </c>
      <c r="R850" s="386" t="str">
        <f>[1]!SNLLabel(287,324677,,"&lt;&gt;360")</f>
        <v>AR: Analysis of Operations All Lines</v>
      </c>
      <c r="S850" s="365"/>
      <c r="T850" s="387" t="s">
        <v>29</v>
      </c>
    </row>
    <row r="851" spans="15:20" ht="11.25" customHeight="1" x14ac:dyDescent="0.35">
      <c r="O851" s="388" t="s">
        <v>5471</v>
      </c>
      <c r="P851" s="389" t="s">
        <v>5381</v>
      </c>
      <c r="Q851" s="389" t="str">
        <f t="shared" si="51"/>
        <v>2010Y</v>
      </c>
      <c r="R851" s="390" t="str">
        <f>[1]!SNLLabel(287,324677,,"&lt;&gt;361")</f>
        <v>AR: Individual Life</v>
      </c>
      <c r="S851" s="366"/>
      <c r="T851" s="391" t="s">
        <v>29</v>
      </c>
    </row>
    <row r="852" spans="15:20" ht="11.25" customHeight="1" x14ac:dyDescent="0.35">
      <c r="O852" s="388" t="s">
        <v>5471</v>
      </c>
      <c r="P852" s="389" t="s">
        <v>5381</v>
      </c>
      <c r="Q852" s="389" t="str">
        <f t="shared" si="51"/>
        <v>2010Y</v>
      </c>
      <c r="R852" s="390" t="str">
        <f>[1]!SNLLabel(287,324677,,"&lt;&gt;362")</f>
        <v>AR: Group Life</v>
      </c>
      <c r="S852" s="366"/>
      <c r="T852" s="391" t="s">
        <v>29</v>
      </c>
    </row>
    <row r="853" spans="15:20" ht="11.25" customHeight="1" x14ac:dyDescent="0.35">
      <c r="O853" s="388" t="s">
        <v>5471</v>
      </c>
      <c r="P853" s="389" t="s">
        <v>5381</v>
      </c>
      <c r="Q853" s="389" t="str">
        <f t="shared" si="51"/>
        <v>2010Y</v>
      </c>
      <c r="R853" s="390" t="str">
        <f>[1]!SNLLabel(287,324677,,"&lt;&gt;363")</f>
        <v>AR: Individual Annuities</v>
      </c>
      <c r="S853" s="366"/>
      <c r="T853" s="391" t="s">
        <v>29</v>
      </c>
    </row>
    <row r="854" spans="15:20" ht="11.25" customHeight="1" x14ac:dyDescent="0.35">
      <c r="O854" s="388" t="s">
        <v>5471</v>
      </c>
      <c r="P854" s="389" t="s">
        <v>5381</v>
      </c>
      <c r="Q854" s="389" t="str">
        <f t="shared" si="51"/>
        <v>2010Y</v>
      </c>
      <c r="R854" s="390" t="str">
        <f>[1]!SNLLabel(287,324677,,"&lt;&gt;364")</f>
        <v>AR: Group Annuities</v>
      </c>
      <c r="S854" s="366"/>
      <c r="T854" s="391" t="s">
        <v>29</v>
      </c>
    </row>
    <row r="855" spans="15:20" ht="11.25" customHeight="1" x14ac:dyDescent="0.35">
      <c r="O855" s="388" t="s">
        <v>5471</v>
      </c>
      <c r="P855" s="389" t="s">
        <v>5381</v>
      </c>
      <c r="Q855" s="389" t="str">
        <f t="shared" si="51"/>
        <v>2010Y</v>
      </c>
      <c r="R855" s="390" t="str">
        <f>[1]!SNLLabel(287,324677,,"&lt;&gt;365")</f>
        <v>AR: Accident and Health</v>
      </c>
      <c r="S855" s="366"/>
      <c r="T855" s="391" t="s">
        <v>29</v>
      </c>
    </row>
    <row r="856" spans="15:20" ht="11.25" customHeight="1" x14ac:dyDescent="0.35">
      <c r="O856" s="388" t="s">
        <v>5471</v>
      </c>
      <c r="P856" s="389" t="s">
        <v>5381</v>
      </c>
      <c r="Q856" s="389" t="str">
        <f t="shared" si="51"/>
        <v>2010Y</v>
      </c>
      <c r="R856" s="390" t="str">
        <f>[1]!SNLLabel(287,324677,,"&lt;&gt;366")</f>
        <v>AR: Fraternal</v>
      </c>
      <c r="S856" s="366"/>
      <c r="T856" s="391" t="s">
        <v>29</v>
      </c>
    </row>
    <row r="857" spans="15:20" ht="11.25" customHeight="1" x14ac:dyDescent="0.35">
      <c r="O857" s="388" t="s">
        <v>5471</v>
      </c>
      <c r="P857" s="389" t="s">
        <v>5381</v>
      </c>
      <c r="Q857" s="389" t="str">
        <f t="shared" si="51"/>
        <v>2010Y</v>
      </c>
      <c r="R857" s="390" t="str">
        <f>[1]!SNLLabel(287,324677,,"&lt;&gt;367")</f>
        <v>AR: Other Lines of Business</v>
      </c>
      <c r="S857" s="366"/>
      <c r="T857" s="391" t="s">
        <v>29</v>
      </c>
    </row>
    <row r="858" spans="15:20" ht="11.25" customHeight="1" x14ac:dyDescent="0.35">
      <c r="O858" s="388" t="s">
        <v>5471</v>
      </c>
      <c r="P858" s="389" t="s">
        <v>5381</v>
      </c>
      <c r="Q858" s="389" t="str">
        <f t="shared" si="51"/>
        <v>2010Y</v>
      </c>
      <c r="R858" s="390" t="str">
        <f>[1]!SNLLabel(287,324677,,"&lt;&gt;368")</f>
        <v>AR: YRT Mortality Risk Only</v>
      </c>
      <c r="S858" s="366"/>
      <c r="T858" s="391" t="s">
        <v>29</v>
      </c>
    </row>
    <row r="859" spans="15:20" ht="11.25" customHeight="1" x14ac:dyDescent="0.35">
      <c r="O859" s="388" t="s">
        <v>5471</v>
      </c>
      <c r="P859" s="389" t="s">
        <v>5381</v>
      </c>
      <c r="Q859" s="389" t="str">
        <f t="shared" si="51"/>
        <v>2010Y</v>
      </c>
      <c r="R859" s="390" t="str">
        <f>[1]!SNLLabel(287,324677,,"&lt;&gt;369")</f>
        <v>AR: Individual and Group Life</v>
      </c>
      <c r="S859" s="366"/>
      <c r="T859" s="391" t="s">
        <v>29</v>
      </c>
    </row>
    <row r="860" spans="15:20" ht="11.25" customHeight="1" x14ac:dyDescent="0.35">
      <c r="O860" s="367" t="s">
        <v>5471</v>
      </c>
      <c r="P860" s="368" t="s">
        <v>5381</v>
      </c>
      <c r="Q860" s="368" t="str">
        <f t="shared" si="51"/>
        <v>2010Y</v>
      </c>
      <c r="R860" s="369" t="str">
        <f>[1]!SNLLabel(287,324677,,"&lt;&gt;370")</f>
        <v>AR: Individual and Group Annuities</v>
      </c>
      <c r="S860" s="370"/>
      <c r="T860" s="371" t="s">
        <v>29</v>
      </c>
    </row>
    <row r="861" spans="15:20" ht="11.25" customHeight="1" x14ac:dyDescent="0.35">
      <c r="O861" s="377"/>
      <c r="P861" s="378"/>
      <c r="Q861" s="378"/>
      <c r="R861" s="379"/>
      <c r="S861" s="375"/>
      <c r="T861" s="380"/>
    </row>
    <row r="862" spans="15:20" ht="11.25" customHeight="1" x14ac:dyDescent="0.35">
      <c r="O862" s="384" t="s">
        <v>5473</v>
      </c>
      <c r="P862" s="385" t="s">
        <v>5382</v>
      </c>
      <c r="Q862" s="385" t="str">
        <f t="shared" ref="Q862:Q872" si="52">Period</f>
        <v>2014Y</v>
      </c>
      <c r="R862" s="386" t="str">
        <f>[1]!SNLLabel(287,324679,,"&lt;&gt;360")</f>
        <v>AR: Analysis of Operations All Lines</v>
      </c>
      <c r="S862" s="365"/>
      <c r="T862" s="387" t="s">
        <v>29</v>
      </c>
    </row>
    <row r="863" spans="15:20" ht="11.25" customHeight="1" x14ac:dyDescent="0.35">
      <c r="O863" s="388" t="s">
        <v>5473</v>
      </c>
      <c r="P863" s="389" t="s">
        <v>5382</v>
      </c>
      <c r="Q863" s="389" t="str">
        <f t="shared" si="52"/>
        <v>2014Y</v>
      </c>
      <c r="R863" s="390" t="str">
        <f>[1]!SNLLabel(287,324679,,"&lt;&gt;361")</f>
        <v>AR: Individual Life</v>
      </c>
      <c r="S863" s="366"/>
      <c r="T863" s="391" t="s">
        <v>29</v>
      </c>
    </row>
    <row r="864" spans="15:20" ht="11.25" customHeight="1" x14ac:dyDescent="0.35">
      <c r="O864" s="388" t="s">
        <v>5473</v>
      </c>
      <c r="P864" s="389" t="s">
        <v>5382</v>
      </c>
      <c r="Q864" s="389" t="str">
        <f t="shared" si="52"/>
        <v>2014Y</v>
      </c>
      <c r="R864" s="390" t="str">
        <f>[1]!SNLLabel(287,324679,,"&lt;&gt;362")</f>
        <v>AR: Group Life</v>
      </c>
      <c r="S864" s="366"/>
      <c r="T864" s="391" t="s">
        <v>29</v>
      </c>
    </row>
    <row r="865" spans="15:20" ht="11.25" customHeight="1" x14ac:dyDescent="0.35">
      <c r="O865" s="388" t="s">
        <v>5473</v>
      </c>
      <c r="P865" s="389" t="s">
        <v>5382</v>
      </c>
      <c r="Q865" s="389" t="str">
        <f t="shared" si="52"/>
        <v>2014Y</v>
      </c>
      <c r="R865" s="390" t="str">
        <f>[1]!SNLLabel(287,324679,,"&lt;&gt;363")</f>
        <v>AR: Individual Annuities</v>
      </c>
      <c r="S865" s="366"/>
      <c r="T865" s="391" t="s">
        <v>29</v>
      </c>
    </row>
    <row r="866" spans="15:20" ht="11.25" customHeight="1" x14ac:dyDescent="0.35">
      <c r="O866" s="388" t="s">
        <v>5473</v>
      </c>
      <c r="P866" s="389" t="s">
        <v>5382</v>
      </c>
      <c r="Q866" s="389" t="str">
        <f t="shared" si="52"/>
        <v>2014Y</v>
      </c>
      <c r="R866" s="390" t="str">
        <f>[1]!SNLLabel(287,324679,,"&lt;&gt;364")</f>
        <v>AR: Group Annuities</v>
      </c>
      <c r="S866" s="366"/>
      <c r="T866" s="391" t="s">
        <v>29</v>
      </c>
    </row>
    <row r="867" spans="15:20" ht="11.25" customHeight="1" x14ac:dyDescent="0.35">
      <c r="O867" s="388" t="s">
        <v>5473</v>
      </c>
      <c r="P867" s="389" t="s">
        <v>5382</v>
      </c>
      <c r="Q867" s="389" t="str">
        <f t="shared" si="52"/>
        <v>2014Y</v>
      </c>
      <c r="R867" s="390" t="str">
        <f>[1]!SNLLabel(287,324679,,"&lt;&gt;365")</f>
        <v>AR: Accident and Health</v>
      </c>
      <c r="S867" s="366"/>
      <c r="T867" s="391" t="s">
        <v>29</v>
      </c>
    </row>
    <row r="868" spans="15:20" ht="11.25" customHeight="1" x14ac:dyDescent="0.35">
      <c r="O868" s="388" t="s">
        <v>5473</v>
      </c>
      <c r="P868" s="389" t="s">
        <v>5382</v>
      </c>
      <c r="Q868" s="389" t="str">
        <f t="shared" si="52"/>
        <v>2014Y</v>
      </c>
      <c r="R868" s="390" t="str">
        <f>[1]!SNLLabel(287,324679,,"&lt;&gt;366")</f>
        <v>AR: Fraternal</v>
      </c>
      <c r="S868" s="366"/>
      <c r="T868" s="391" t="s">
        <v>29</v>
      </c>
    </row>
    <row r="869" spans="15:20" ht="11.25" customHeight="1" x14ac:dyDescent="0.35">
      <c r="O869" s="388" t="s">
        <v>5473</v>
      </c>
      <c r="P869" s="389" t="s">
        <v>5382</v>
      </c>
      <c r="Q869" s="389" t="str">
        <f t="shared" si="52"/>
        <v>2014Y</v>
      </c>
      <c r="R869" s="390" t="str">
        <f>[1]!SNLLabel(287,324679,,"&lt;&gt;367")</f>
        <v>AR: Other Lines of Business</v>
      </c>
      <c r="S869" s="366"/>
      <c r="T869" s="391" t="s">
        <v>29</v>
      </c>
    </row>
    <row r="870" spans="15:20" ht="11.25" customHeight="1" x14ac:dyDescent="0.35">
      <c r="O870" s="388" t="s">
        <v>5473</v>
      </c>
      <c r="P870" s="389" t="s">
        <v>5382</v>
      </c>
      <c r="Q870" s="389" t="str">
        <f t="shared" si="52"/>
        <v>2014Y</v>
      </c>
      <c r="R870" s="390" t="str">
        <f>[1]!SNLLabel(287,324679,,"&lt;&gt;368")</f>
        <v>AR: YRT Mortality Risk Only</v>
      </c>
      <c r="S870" s="366"/>
      <c r="T870" s="391" t="s">
        <v>29</v>
      </c>
    </row>
    <row r="871" spans="15:20" ht="11.25" customHeight="1" x14ac:dyDescent="0.35">
      <c r="O871" s="388" t="s">
        <v>5473</v>
      </c>
      <c r="P871" s="389" t="s">
        <v>5382</v>
      </c>
      <c r="Q871" s="389" t="str">
        <f t="shared" si="52"/>
        <v>2014Y</v>
      </c>
      <c r="R871" s="390" t="str">
        <f>[1]!SNLLabel(287,324679,,"&lt;&gt;369")</f>
        <v>AR: Individual and Group Life</v>
      </c>
      <c r="S871" s="366"/>
      <c r="T871" s="391" t="s">
        <v>29</v>
      </c>
    </row>
    <row r="872" spans="15:20" ht="11.25" customHeight="1" x14ac:dyDescent="0.35">
      <c r="O872" s="367" t="s">
        <v>5473</v>
      </c>
      <c r="P872" s="368" t="s">
        <v>5382</v>
      </c>
      <c r="Q872" s="368" t="str">
        <f t="shared" si="52"/>
        <v>2014Y</v>
      </c>
      <c r="R872" s="369" t="str">
        <f>[1]!SNLLabel(287,324679,,"&lt;&gt;370")</f>
        <v>AR: Individual and Group Annuities</v>
      </c>
      <c r="S872" s="370"/>
      <c r="T872" s="371" t="s">
        <v>29</v>
      </c>
    </row>
    <row r="873" spans="15:20" ht="11.25" customHeight="1" x14ac:dyDescent="0.35">
      <c r="O873" s="384" t="s">
        <v>5473</v>
      </c>
      <c r="P873" s="385" t="s">
        <v>5382</v>
      </c>
      <c r="Q873" s="385" t="str">
        <f t="shared" ref="Q873:Q883" si="53">LEFT(Period,4)-1&amp;"Y"</f>
        <v>2013Y</v>
      </c>
      <c r="R873" s="386" t="str">
        <f>[1]!SNLLabel(287,324679,,"&lt;&gt;360")</f>
        <v>AR: Analysis of Operations All Lines</v>
      </c>
      <c r="S873" s="365"/>
      <c r="T873" s="387" t="s">
        <v>29</v>
      </c>
    </row>
    <row r="874" spans="15:20" ht="11.25" customHeight="1" x14ac:dyDescent="0.35">
      <c r="O874" s="388" t="s">
        <v>5473</v>
      </c>
      <c r="P874" s="389" t="s">
        <v>5382</v>
      </c>
      <c r="Q874" s="389" t="str">
        <f t="shared" si="53"/>
        <v>2013Y</v>
      </c>
      <c r="R874" s="390" t="str">
        <f>[1]!SNLLabel(287,324679,,"&lt;&gt;361")</f>
        <v>AR: Individual Life</v>
      </c>
      <c r="S874" s="366"/>
      <c r="T874" s="391" t="s">
        <v>29</v>
      </c>
    </row>
    <row r="875" spans="15:20" ht="11.25" customHeight="1" x14ac:dyDescent="0.35">
      <c r="O875" s="388" t="s">
        <v>5473</v>
      </c>
      <c r="P875" s="389" t="s">
        <v>5382</v>
      </c>
      <c r="Q875" s="389" t="str">
        <f t="shared" si="53"/>
        <v>2013Y</v>
      </c>
      <c r="R875" s="390" t="str">
        <f>[1]!SNLLabel(287,324679,,"&lt;&gt;362")</f>
        <v>AR: Group Life</v>
      </c>
      <c r="S875" s="366"/>
      <c r="T875" s="391" t="s">
        <v>29</v>
      </c>
    </row>
    <row r="876" spans="15:20" ht="11.25" customHeight="1" x14ac:dyDescent="0.35">
      <c r="O876" s="388" t="s">
        <v>5473</v>
      </c>
      <c r="P876" s="389" t="s">
        <v>5382</v>
      </c>
      <c r="Q876" s="389" t="str">
        <f t="shared" si="53"/>
        <v>2013Y</v>
      </c>
      <c r="R876" s="390" t="str">
        <f>[1]!SNLLabel(287,324679,,"&lt;&gt;363")</f>
        <v>AR: Individual Annuities</v>
      </c>
      <c r="S876" s="366"/>
      <c r="T876" s="391" t="s">
        <v>29</v>
      </c>
    </row>
    <row r="877" spans="15:20" ht="11.25" customHeight="1" x14ac:dyDescent="0.35">
      <c r="O877" s="388" t="s">
        <v>5473</v>
      </c>
      <c r="P877" s="389" t="s">
        <v>5382</v>
      </c>
      <c r="Q877" s="389" t="str">
        <f t="shared" si="53"/>
        <v>2013Y</v>
      </c>
      <c r="R877" s="390" t="str">
        <f>[1]!SNLLabel(287,324679,,"&lt;&gt;364")</f>
        <v>AR: Group Annuities</v>
      </c>
      <c r="S877" s="366"/>
      <c r="T877" s="391" t="s">
        <v>29</v>
      </c>
    </row>
    <row r="878" spans="15:20" ht="11.25" customHeight="1" x14ac:dyDescent="0.35">
      <c r="O878" s="388" t="s">
        <v>5473</v>
      </c>
      <c r="P878" s="389" t="s">
        <v>5382</v>
      </c>
      <c r="Q878" s="389" t="str">
        <f t="shared" si="53"/>
        <v>2013Y</v>
      </c>
      <c r="R878" s="390" t="str">
        <f>[1]!SNLLabel(287,324679,,"&lt;&gt;365")</f>
        <v>AR: Accident and Health</v>
      </c>
      <c r="S878" s="366"/>
      <c r="T878" s="391" t="s">
        <v>29</v>
      </c>
    </row>
    <row r="879" spans="15:20" ht="11.25" customHeight="1" x14ac:dyDescent="0.35">
      <c r="O879" s="388" t="s">
        <v>5473</v>
      </c>
      <c r="P879" s="389" t="s">
        <v>5382</v>
      </c>
      <c r="Q879" s="389" t="str">
        <f t="shared" si="53"/>
        <v>2013Y</v>
      </c>
      <c r="R879" s="390" t="str">
        <f>[1]!SNLLabel(287,324679,,"&lt;&gt;366")</f>
        <v>AR: Fraternal</v>
      </c>
      <c r="S879" s="366"/>
      <c r="T879" s="391" t="s">
        <v>29</v>
      </c>
    </row>
    <row r="880" spans="15:20" ht="11.25" customHeight="1" x14ac:dyDescent="0.35">
      <c r="O880" s="388" t="s">
        <v>5473</v>
      </c>
      <c r="P880" s="389" t="s">
        <v>5382</v>
      </c>
      <c r="Q880" s="389" t="str">
        <f t="shared" si="53"/>
        <v>2013Y</v>
      </c>
      <c r="R880" s="390" t="str">
        <f>[1]!SNLLabel(287,324679,,"&lt;&gt;367")</f>
        <v>AR: Other Lines of Business</v>
      </c>
      <c r="S880" s="366"/>
      <c r="T880" s="391" t="s">
        <v>29</v>
      </c>
    </row>
    <row r="881" spans="15:20" ht="11.25" customHeight="1" x14ac:dyDescent="0.35">
      <c r="O881" s="388" t="s">
        <v>5473</v>
      </c>
      <c r="P881" s="389" t="s">
        <v>5382</v>
      </c>
      <c r="Q881" s="389" t="str">
        <f t="shared" si="53"/>
        <v>2013Y</v>
      </c>
      <c r="R881" s="390" t="str">
        <f>[1]!SNLLabel(287,324679,,"&lt;&gt;368")</f>
        <v>AR: YRT Mortality Risk Only</v>
      </c>
      <c r="S881" s="366"/>
      <c r="T881" s="391" t="s">
        <v>29</v>
      </c>
    </row>
    <row r="882" spans="15:20" ht="11.25" customHeight="1" x14ac:dyDescent="0.35">
      <c r="O882" s="388" t="s">
        <v>5473</v>
      </c>
      <c r="P882" s="389" t="s">
        <v>5382</v>
      </c>
      <c r="Q882" s="389" t="str">
        <f t="shared" si="53"/>
        <v>2013Y</v>
      </c>
      <c r="R882" s="390" t="str">
        <f>[1]!SNLLabel(287,324679,,"&lt;&gt;369")</f>
        <v>AR: Individual and Group Life</v>
      </c>
      <c r="S882" s="366"/>
      <c r="T882" s="391" t="s">
        <v>29</v>
      </c>
    </row>
    <row r="883" spans="15:20" ht="11.25" customHeight="1" x14ac:dyDescent="0.35">
      <c r="O883" s="367" t="s">
        <v>5473</v>
      </c>
      <c r="P883" s="368" t="s">
        <v>5382</v>
      </c>
      <c r="Q883" s="368" t="str">
        <f t="shared" si="53"/>
        <v>2013Y</v>
      </c>
      <c r="R883" s="369" t="str">
        <f>[1]!SNLLabel(287,324679,,"&lt;&gt;370")</f>
        <v>AR: Individual and Group Annuities</v>
      </c>
      <c r="S883" s="370"/>
      <c r="T883" s="371" t="s">
        <v>29</v>
      </c>
    </row>
    <row r="884" spans="15:20" ht="11.25" customHeight="1" x14ac:dyDescent="0.35">
      <c r="O884" s="384" t="s">
        <v>5473</v>
      </c>
      <c r="P884" s="385" t="s">
        <v>5382</v>
      </c>
      <c r="Q884" s="385" t="str">
        <f t="shared" ref="Q884:Q894" si="54">LEFT(Period,4)-2&amp;"Y"</f>
        <v>2012Y</v>
      </c>
      <c r="R884" s="386" t="str">
        <f>[1]!SNLLabel(287,324679,,"&lt;&gt;360")</f>
        <v>AR: Analysis of Operations All Lines</v>
      </c>
      <c r="S884" s="365"/>
      <c r="T884" s="387" t="s">
        <v>29</v>
      </c>
    </row>
    <row r="885" spans="15:20" ht="11.25" customHeight="1" x14ac:dyDescent="0.35">
      <c r="O885" s="388" t="s">
        <v>5473</v>
      </c>
      <c r="P885" s="389" t="s">
        <v>5382</v>
      </c>
      <c r="Q885" s="389" t="str">
        <f t="shared" si="54"/>
        <v>2012Y</v>
      </c>
      <c r="R885" s="390" t="str">
        <f>[1]!SNLLabel(287,324679,,"&lt;&gt;361")</f>
        <v>AR: Individual Life</v>
      </c>
      <c r="S885" s="366"/>
      <c r="T885" s="391" t="s">
        <v>29</v>
      </c>
    </row>
    <row r="886" spans="15:20" ht="11.25" customHeight="1" x14ac:dyDescent="0.35">
      <c r="O886" s="388" t="s">
        <v>5473</v>
      </c>
      <c r="P886" s="389" t="s">
        <v>5382</v>
      </c>
      <c r="Q886" s="389" t="str">
        <f t="shared" si="54"/>
        <v>2012Y</v>
      </c>
      <c r="R886" s="390" t="str">
        <f>[1]!SNLLabel(287,324679,,"&lt;&gt;362")</f>
        <v>AR: Group Life</v>
      </c>
      <c r="S886" s="366"/>
      <c r="T886" s="391" t="s">
        <v>29</v>
      </c>
    </row>
    <row r="887" spans="15:20" ht="11.25" customHeight="1" x14ac:dyDescent="0.35">
      <c r="O887" s="388" t="s">
        <v>5473</v>
      </c>
      <c r="P887" s="389" t="s">
        <v>5382</v>
      </c>
      <c r="Q887" s="389" t="str">
        <f t="shared" si="54"/>
        <v>2012Y</v>
      </c>
      <c r="R887" s="390" t="str">
        <f>[1]!SNLLabel(287,324679,,"&lt;&gt;363")</f>
        <v>AR: Individual Annuities</v>
      </c>
      <c r="S887" s="366"/>
      <c r="T887" s="391" t="s">
        <v>29</v>
      </c>
    </row>
    <row r="888" spans="15:20" ht="11.25" customHeight="1" x14ac:dyDescent="0.35">
      <c r="O888" s="388" t="s">
        <v>5473</v>
      </c>
      <c r="P888" s="389" t="s">
        <v>5382</v>
      </c>
      <c r="Q888" s="389" t="str">
        <f t="shared" si="54"/>
        <v>2012Y</v>
      </c>
      <c r="R888" s="390" t="str">
        <f>[1]!SNLLabel(287,324679,,"&lt;&gt;364")</f>
        <v>AR: Group Annuities</v>
      </c>
      <c r="S888" s="366"/>
      <c r="T888" s="391" t="s">
        <v>29</v>
      </c>
    </row>
    <row r="889" spans="15:20" ht="11.25" customHeight="1" x14ac:dyDescent="0.35">
      <c r="O889" s="388" t="s">
        <v>5473</v>
      </c>
      <c r="P889" s="389" t="s">
        <v>5382</v>
      </c>
      <c r="Q889" s="389" t="str">
        <f t="shared" si="54"/>
        <v>2012Y</v>
      </c>
      <c r="R889" s="390" t="str">
        <f>[1]!SNLLabel(287,324679,,"&lt;&gt;365")</f>
        <v>AR: Accident and Health</v>
      </c>
      <c r="S889" s="366"/>
      <c r="T889" s="391" t="s">
        <v>29</v>
      </c>
    </row>
    <row r="890" spans="15:20" ht="11.25" customHeight="1" x14ac:dyDescent="0.35">
      <c r="O890" s="388" t="s">
        <v>5473</v>
      </c>
      <c r="P890" s="389" t="s">
        <v>5382</v>
      </c>
      <c r="Q890" s="389" t="str">
        <f t="shared" si="54"/>
        <v>2012Y</v>
      </c>
      <c r="R890" s="390" t="str">
        <f>[1]!SNLLabel(287,324679,,"&lt;&gt;366")</f>
        <v>AR: Fraternal</v>
      </c>
      <c r="S890" s="366"/>
      <c r="T890" s="391" t="s">
        <v>29</v>
      </c>
    </row>
    <row r="891" spans="15:20" ht="11.25" customHeight="1" x14ac:dyDescent="0.35">
      <c r="O891" s="388" t="s">
        <v>5473</v>
      </c>
      <c r="P891" s="389" t="s">
        <v>5382</v>
      </c>
      <c r="Q891" s="389" t="str">
        <f t="shared" si="54"/>
        <v>2012Y</v>
      </c>
      <c r="R891" s="390" t="str">
        <f>[1]!SNLLabel(287,324679,,"&lt;&gt;367")</f>
        <v>AR: Other Lines of Business</v>
      </c>
      <c r="S891" s="366"/>
      <c r="T891" s="391" t="s">
        <v>29</v>
      </c>
    </row>
    <row r="892" spans="15:20" ht="11.25" customHeight="1" x14ac:dyDescent="0.35">
      <c r="O892" s="388" t="s">
        <v>5473</v>
      </c>
      <c r="P892" s="389" t="s">
        <v>5382</v>
      </c>
      <c r="Q892" s="389" t="str">
        <f t="shared" si="54"/>
        <v>2012Y</v>
      </c>
      <c r="R892" s="390" t="str">
        <f>[1]!SNLLabel(287,324679,,"&lt;&gt;368")</f>
        <v>AR: YRT Mortality Risk Only</v>
      </c>
      <c r="S892" s="366"/>
      <c r="T892" s="391" t="s">
        <v>29</v>
      </c>
    </row>
    <row r="893" spans="15:20" ht="11.25" customHeight="1" x14ac:dyDescent="0.35">
      <c r="O893" s="388" t="s">
        <v>5473</v>
      </c>
      <c r="P893" s="389" t="s">
        <v>5382</v>
      </c>
      <c r="Q893" s="389" t="str">
        <f t="shared" si="54"/>
        <v>2012Y</v>
      </c>
      <c r="R893" s="390" t="str">
        <f>[1]!SNLLabel(287,324679,,"&lt;&gt;369")</f>
        <v>AR: Individual and Group Life</v>
      </c>
      <c r="S893" s="366"/>
      <c r="T893" s="391" t="s">
        <v>29</v>
      </c>
    </row>
    <row r="894" spans="15:20" ht="11.25" customHeight="1" x14ac:dyDescent="0.35">
      <c r="O894" s="367" t="s">
        <v>5473</v>
      </c>
      <c r="P894" s="368" t="s">
        <v>5382</v>
      </c>
      <c r="Q894" s="368" t="str">
        <f t="shared" si="54"/>
        <v>2012Y</v>
      </c>
      <c r="R894" s="369" t="str">
        <f>[1]!SNLLabel(287,324679,,"&lt;&gt;370")</f>
        <v>AR: Individual and Group Annuities</v>
      </c>
      <c r="S894" s="370"/>
      <c r="T894" s="371" t="s">
        <v>29</v>
      </c>
    </row>
    <row r="895" spans="15:20" ht="11.25" customHeight="1" x14ac:dyDescent="0.35">
      <c r="O895" s="384" t="s">
        <v>5473</v>
      </c>
      <c r="P895" s="385" t="s">
        <v>5382</v>
      </c>
      <c r="Q895" s="385" t="str">
        <f t="shared" ref="Q895:Q905" si="55">LEFT(Period,4)-3&amp;"Y"</f>
        <v>2011Y</v>
      </c>
      <c r="R895" s="386" t="str">
        <f>[1]!SNLLabel(287,324679,,"&lt;&gt;360")</f>
        <v>AR: Analysis of Operations All Lines</v>
      </c>
      <c r="S895" s="365"/>
      <c r="T895" s="387" t="s">
        <v>29</v>
      </c>
    </row>
    <row r="896" spans="15:20" ht="11.25" customHeight="1" x14ac:dyDescent="0.35">
      <c r="O896" s="388" t="s">
        <v>5473</v>
      </c>
      <c r="P896" s="389" t="s">
        <v>5382</v>
      </c>
      <c r="Q896" s="389" t="str">
        <f t="shared" si="55"/>
        <v>2011Y</v>
      </c>
      <c r="R896" s="390" t="str">
        <f>[1]!SNLLabel(287,324679,,"&lt;&gt;361")</f>
        <v>AR: Individual Life</v>
      </c>
      <c r="S896" s="366"/>
      <c r="T896" s="391" t="s">
        <v>29</v>
      </c>
    </row>
    <row r="897" spans="15:20" ht="11.25" customHeight="1" x14ac:dyDescent="0.35">
      <c r="O897" s="388" t="s">
        <v>5473</v>
      </c>
      <c r="P897" s="389" t="s">
        <v>5382</v>
      </c>
      <c r="Q897" s="389" t="str">
        <f t="shared" si="55"/>
        <v>2011Y</v>
      </c>
      <c r="R897" s="390" t="str">
        <f>[1]!SNLLabel(287,324679,,"&lt;&gt;362")</f>
        <v>AR: Group Life</v>
      </c>
      <c r="S897" s="366"/>
      <c r="T897" s="391" t="s">
        <v>29</v>
      </c>
    </row>
    <row r="898" spans="15:20" ht="11.25" customHeight="1" x14ac:dyDescent="0.35">
      <c r="O898" s="388" t="s">
        <v>5473</v>
      </c>
      <c r="P898" s="389" t="s">
        <v>5382</v>
      </c>
      <c r="Q898" s="389" t="str">
        <f t="shared" si="55"/>
        <v>2011Y</v>
      </c>
      <c r="R898" s="390" t="str">
        <f>[1]!SNLLabel(287,324679,,"&lt;&gt;363")</f>
        <v>AR: Individual Annuities</v>
      </c>
      <c r="S898" s="366"/>
      <c r="T898" s="391" t="s">
        <v>29</v>
      </c>
    </row>
    <row r="899" spans="15:20" ht="11.25" customHeight="1" x14ac:dyDescent="0.35">
      <c r="O899" s="388" t="s">
        <v>5473</v>
      </c>
      <c r="P899" s="389" t="s">
        <v>5382</v>
      </c>
      <c r="Q899" s="389" t="str">
        <f t="shared" si="55"/>
        <v>2011Y</v>
      </c>
      <c r="R899" s="390" t="str">
        <f>[1]!SNLLabel(287,324679,,"&lt;&gt;364")</f>
        <v>AR: Group Annuities</v>
      </c>
      <c r="S899" s="366"/>
      <c r="T899" s="391" t="s">
        <v>29</v>
      </c>
    </row>
    <row r="900" spans="15:20" ht="11.25" customHeight="1" x14ac:dyDescent="0.35">
      <c r="O900" s="388" t="s">
        <v>5473</v>
      </c>
      <c r="P900" s="389" t="s">
        <v>5382</v>
      </c>
      <c r="Q900" s="389" t="str">
        <f t="shared" si="55"/>
        <v>2011Y</v>
      </c>
      <c r="R900" s="390" t="str">
        <f>[1]!SNLLabel(287,324679,,"&lt;&gt;365")</f>
        <v>AR: Accident and Health</v>
      </c>
      <c r="S900" s="366"/>
      <c r="T900" s="391" t="s">
        <v>29</v>
      </c>
    </row>
    <row r="901" spans="15:20" ht="11.25" customHeight="1" x14ac:dyDescent="0.35">
      <c r="O901" s="388" t="s">
        <v>5473</v>
      </c>
      <c r="P901" s="389" t="s">
        <v>5382</v>
      </c>
      <c r="Q901" s="389" t="str">
        <f t="shared" si="55"/>
        <v>2011Y</v>
      </c>
      <c r="R901" s="390" t="str">
        <f>[1]!SNLLabel(287,324679,,"&lt;&gt;366")</f>
        <v>AR: Fraternal</v>
      </c>
      <c r="S901" s="366"/>
      <c r="T901" s="391" t="s">
        <v>29</v>
      </c>
    </row>
    <row r="902" spans="15:20" ht="11.25" customHeight="1" x14ac:dyDescent="0.35">
      <c r="O902" s="388" t="s">
        <v>5473</v>
      </c>
      <c r="P902" s="389" t="s">
        <v>5382</v>
      </c>
      <c r="Q902" s="389" t="str">
        <f t="shared" si="55"/>
        <v>2011Y</v>
      </c>
      <c r="R902" s="390" t="str">
        <f>[1]!SNLLabel(287,324679,,"&lt;&gt;367")</f>
        <v>AR: Other Lines of Business</v>
      </c>
      <c r="S902" s="366"/>
      <c r="T902" s="391" t="s">
        <v>29</v>
      </c>
    </row>
    <row r="903" spans="15:20" ht="11.25" customHeight="1" x14ac:dyDescent="0.35">
      <c r="O903" s="388" t="s">
        <v>5473</v>
      </c>
      <c r="P903" s="389" t="s">
        <v>5382</v>
      </c>
      <c r="Q903" s="389" t="str">
        <f t="shared" si="55"/>
        <v>2011Y</v>
      </c>
      <c r="R903" s="390" t="str">
        <f>[1]!SNLLabel(287,324679,,"&lt;&gt;368")</f>
        <v>AR: YRT Mortality Risk Only</v>
      </c>
      <c r="S903" s="366"/>
      <c r="T903" s="391" t="s">
        <v>29</v>
      </c>
    </row>
    <row r="904" spans="15:20" ht="11.25" customHeight="1" x14ac:dyDescent="0.35">
      <c r="O904" s="388" t="s">
        <v>5473</v>
      </c>
      <c r="P904" s="389" t="s">
        <v>5382</v>
      </c>
      <c r="Q904" s="389" t="str">
        <f t="shared" si="55"/>
        <v>2011Y</v>
      </c>
      <c r="R904" s="390" t="str">
        <f>[1]!SNLLabel(287,324679,,"&lt;&gt;369")</f>
        <v>AR: Individual and Group Life</v>
      </c>
      <c r="S904" s="366"/>
      <c r="T904" s="391" t="s">
        <v>29</v>
      </c>
    </row>
    <row r="905" spans="15:20" ht="11.25" customHeight="1" x14ac:dyDescent="0.35">
      <c r="O905" s="367" t="s">
        <v>5473</v>
      </c>
      <c r="P905" s="368" t="s">
        <v>5382</v>
      </c>
      <c r="Q905" s="368" t="str">
        <f t="shared" si="55"/>
        <v>2011Y</v>
      </c>
      <c r="R905" s="369" t="str">
        <f>[1]!SNLLabel(287,324679,,"&lt;&gt;370")</f>
        <v>AR: Individual and Group Annuities</v>
      </c>
      <c r="S905" s="370"/>
      <c r="T905" s="371" t="s">
        <v>29</v>
      </c>
    </row>
    <row r="906" spans="15:20" ht="11.25" customHeight="1" x14ac:dyDescent="0.35">
      <c r="O906" s="384" t="s">
        <v>5473</v>
      </c>
      <c r="P906" s="385" t="s">
        <v>5382</v>
      </c>
      <c r="Q906" s="385" t="str">
        <f t="shared" ref="Q906:Q916" si="56">LEFT(Period,4)-4&amp;"Y"</f>
        <v>2010Y</v>
      </c>
      <c r="R906" s="386" t="str">
        <f>[1]!SNLLabel(287,324679,,"&lt;&gt;360")</f>
        <v>AR: Analysis of Operations All Lines</v>
      </c>
      <c r="S906" s="365"/>
      <c r="T906" s="387" t="s">
        <v>29</v>
      </c>
    </row>
    <row r="907" spans="15:20" ht="11.25" customHeight="1" x14ac:dyDescent="0.35">
      <c r="O907" s="388" t="s">
        <v>5473</v>
      </c>
      <c r="P907" s="389" t="s">
        <v>5382</v>
      </c>
      <c r="Q907" s="389" t="str">
        <f t="shared" si="56"/>
        <v>2010Y</v>
      </c>
      <c r="R907" s="390" t="str">
        <f>[1]!SNLLabel(287,324679,,"&lt;&gt;361")</f>
        <v>AR: Individual Life</v>
      </c>
      <c r="S907" s="366"/>
      <c r="T907" s="391" t="s">
        <v>29</v>
      </c>
    </row>
    <row r="908" spans="15:20" ht="11.25" customHeight="1" x14ac:dyDescent="0.35">
      <c r="O908" s="388" t="s">
        <v>5473</v>
      </c>
      <c r="P908" s="389" t="s">
        <v>5382</v>
      </c>
      <c r="Q908" s="389" t="str">
        <f t="shared" si="56"/>
        <v>2010Y</v>
      </c>
      <c r="R908" s="390" t="str">
        <f>[1]!SNLLabel(287,324679,,"&lt;&gt;362")</f>
        <v>AR: Group Life</v>
      </c>
      <c r="S908" s="366"/>
      <c r="T908" s="391" t="s">
        <v>29</v>
      </c>
    </row>
    <row r="909" spans="15:20" ht="11.25" customHeight="1" x14ac:dyDescent="0.35">
      <c r="O909" s="388" t="s">
        <v>5473</v>
      </c>
      <c r="P909" s="389" t="s">
        <v>5382</v>
      </c>
      <c r="Q909" s="389" t="str">
        <f t="shared" si="56"/>
        <v>2010Y</v>
      </c>
      <c r="R909" s="390" t="str">
        <f>[1]!SNLLabel(287,324679,,"&lt;&gt;363")</f>
        <v>AR: Individual Annuities</v>
      </c>
      <c r="S909" s="366"/>
      <c r="T909" s="391" t="s">
        <v>29</v>
      </c>
    </row>
    <row r="910" spans="15:20" ht="11.25" customHeight="1" x14ac:dyDescent="0.35">
      <c r="O910" s="388" t="s">
        <v>5473</v>
      </c>
      <c r="P910" s="389" t="s">
        <v>5382</v>
      </c>
      <c r="Q910" s="389" t="str">
        <f t="shared" si="56"/>
        <v>2010Y</v>
      </c>
      <c r="R910" s="390" t="str">
        <f>[1]!SNLLabel(287,324679,,"&lt;&gt;364")</f>
        <v>AR: Group Annuities</v>
      </c>
      <c r="S910" s="366"/>
      <c r="T910" s="391" t="s">
        <v>29</v>
      </c>
    </row>
    <row r="911" spans="15:20" ht="11.25" customHeight="1" x14ac:dyDescent="0.35">
      <c r="O911" s="388" t="s">
        <v>5473</v>
      </c>
      <c r="P911" s="389" t="s">
        <v>5382</v>
      </c>
      <c r="Q911" s="389" t="str">
        <f t="shared" si="56"/>
        <v>2010Y</v>
      </c>
      <c r="R911" s="390" t="str">
        <f>[1]!SNLLabel(287,324679,,"&lt;&gt;365")</f>
        <v>AR: Accident and Health</v>
      </c>
      <c r="S911" s="366"/>
      <c r="T911" s="391" t="s">
        <v>29</v>
      </c>
    </row>
    <row r="912" spans="15:20" ht="11.25" customHeight="1" x14ac:dyDescent="0.35">
      <c r="O912" s="388" t="s">
        <v>5473</v>
      </c>
      <c r="P912" s="389" t="s">
        <v>5382</v>
      </c>
      <c r="Q912" s="389" t="str">
        <f t="shared" si="56"/>
        <v>2010Y</v>
      </c>
      <c r="R912" s="390" t="str">
        <f>[1]!SNLLabel(287,324679,,"&lt;&gt;366")</f>
        <v>AR: Fraternal</v>
      </c>
      <c r="S912" s="366"/>
      <c r="T912" s="391" t="s">
        <v>29</v>
      </c>
    </row>
    <row r="913" spans="15:20" ht="11.25" customHeight="1" x14ac:dyDescent="0.35">
      <c r="O913" s="388" t="s">
        <v>5473</v>
      </c>
      <c r="P913" s="389" t="s">
        <v>5382</v>
      </c>
      <c r="Q913" s="389" t="str">
        <f t="shared" si="56"/>
        <v>2010Y</v>
      </c>
      <c r="R913" s="390" t="str">
        <f>[1]!SNLLabel(287,324679,,"&lt;&gt;367")</f>
        <v>AR: Other Lines of Business</v>
      </c>
      <c r="S913" s="366"/>
      <c r="T913" s="391" t="s">
        <v>29</v>
      </c>
    </row>
    <row r="914" spans="15:20" ht="11.25" customHeight="1" x14ac:dyDescent="0.35">
      <c r="O914" s="388" t="s">
        <v>5473</v>
      </c>
      <c r="P914" s="389" t="s">
        <v>5382</v>
      </c>
      <c r="Q914" s="389" t="str">
        <f t="shared" si="56"/>
        <v>2010Y</v>
      </c>
      <c r="R914" s="390" t="str">
        <f>[1]!SNLLabel(287,324679,,"&lt;&gt;368")</f>
        <v>AR: YRT Mortality Risk Only</v>
      </c>
      <c r="S914" s="366"/>
      <c r="T914" s="391" t="s">
        <v>29</v>
      </c>
    </row>
    <row r="915" spans="15:20" ht="11.25" customHeight="1" x14ac:dyDescent="0.35">
      <c r="O915" s="388" t="s">
        <v>5473</v>
      </c>
      <c r="P915" s="389" t="s">
        <v>5382</v>
      </c>
      <c r="Q915" s="389" t="str">
        <f t="shared" si="56"/>
        <v>2010Y</v>
      </c>
      <c r="R915" s="390" t="str">
        <f>[1]!SNLLabel(287,324679,,"&lt;&gt;369")</f>
        <v>AR: Individual and Group Life</v>
      </c>
      <c r="S915" s="366"/>
      <c r="T915" s="391" t="s">
        <v>29</v>
      </c>
    </row>
    <row r="916" spans="15:20" ht="11.25" customHeight="1" x14ac:dyDescent="0.35">
      <c r="O916" s="367" t="s">
        <v>5473</v>
      </c>
      <c r="P916" s="368" t="s">
        <v>5382</v>
      </c>
      <c r="Q916" s="368" t="str">
        <f t="shared" si="56"/>
        <v>2010Y</v>
      </c>
      <c r="R916" s="369" t="str">
        <f>[1]!SNLLabel(287,324679,,"&lt;&gt;370")</f>
        <v>AR: Individual and Group Annuities</v>
      </c>
      <c r="S916" s="370"/>
      <c r="T916" s="371" t="s">
        <v>29</v>
      </c>
    </row>
    <row r="917" spans="15:20" ht="11.25" customHeight="1" x14ac:dyDescent="0.35">
      <c r="O917" s="377"/>
      <c r="P917" s="378"/>
      <c r="Q917" s="378"/>
      <c r="R917" s="379"/>
      <c r="S917" s="375"/>
      <c r="T917" s="380"/>
    </row>
    <row r="918" spans="15:20" ht="11.25" customHeight="1" x14ac:dyDescent="0.35">
      <c r="O918" s="384" t="s">
        <v>5474</v>
      </c>
      <c r="P918" s="385" t="s">
        <v>5383</v>
      </c>
      <c r="Q918" s="385" t="str">
        <f t="shared" ref="Q918:Q928" si="57">Period</f>
        <v>2014Y</v>
      </c>
      <c r="R918" s="386" t="str">
        <f>[1]!SNLLabel(287,324681,,"&lt;&gt;360")</f>
        <v>AR: Analysis of Operations All Lines</v>
      </c>
      <c r="S918" s="365"/>
      <c r="T918" s="387" t="s">
        <v>29</v>
      </c>
    </row>
    <row r="919" spans="15:20" ht="11.25" customHeight="1" x14ac:dyDescent="0.35">
      <c r="O919" s="388" t="s">
        <v>5474</v>
      </c>
      <c r="P919" s="389" t="s">
        <v>5383</v>
      </c>
      <c r="Q919" s="389" t="str">
        <f t="shared" si="57"/>
        <v>2014Y</v>
      </c>
      <c r="R919" s="390" t="str">
        <f>[1]!SNLLabel(287,324681,,"&lt;&gt;361")</f>
        <v>AR: Individual Life</v>
      </c>
      <c r="S919" s="366"/>
      <c r="T919" s="391" t="s">
        <v>29</v>
      </c>
    </row>
    <row r="920" spans="15:20" ht="11.25" customHeight="1" x14ac:dyDescent="0.35">
      <c r="O920" s="388" t="s">
        <v>5474</v>
      </c>
      <c r="P920" s="389" t="s">
        <v>5383</v>
      </c>
      <c r="Q920" s="389" t="str">
        <f t="shared" si="57"/>
        <v>2014Y</v>
      </c>
      <c r="R920" s="390" t="str">
        <f>[1]!SNLLabel(287,324681,,"&lt;&gt;362")</f>
        <v>AR: Group Life</v>
      </c>
      <c r="S920" s="366"/>
      <c r="T920" s="391" t="s">
        <v>29</v>
      </c>
    </row>
    <row r="921" spans="15:20" ht="11.25" customHeight="1" x14ac:dyDescent="0.35">
      <c r="O921" s="388" t="s">
        <v>5474</v>
      </c>
      <c r="P921" s="389" t="s">
        <v>5383</v>
      </c>
      <c r="Q921" s="389" t="str">
        <f t="shared" si="57"/>
        <v>2014Y</v>
      </c>
      <c r="R921" s="390" t="str">
        <f>[1]!SNLLabel(287,324681,,"&lt;&gt;363")</f>
        <v>AR: Individual Annuities</v>
      </c>
      <c r="S921" s="366"/>
      <c r="T921" s="391" t="s">
        <v>29</v>
      </c>
    </row>
    <row r="922" spans="15:20" ht="11.25" customHeight="1" x14ac:dyDescent="0.35">
      <c r="O922" s="388" t="s">
        <v>5474</v>
      </c>
      <c r="P922" s="389" t="s">
        <v>5383</v>
      </c>
      <c r="Q922" s="389" t="str">
        <f t="shared" si="57"/>
        <v>2014Y</v>
      </c>
      <c r="R922" s="390" t="str">
        <f>[1]!SNLLabel(287,324681,,"&lt;&gt;364")</f>
        <v>AR: Group Annuities</v>
      </c>
      <c r="S922" s="366"/>
      <c r="T922" s="391" t="s">
        <v>29</v>
      </c>
    </row>
    <row r="923" spans="15:20" ht="11.25" customHeight="1" x14ac:dyDescent="0.35">
      <c r="O923" s="388" t="s">
        <v>5474</v>
      </c>
      <c r="P923" s="389" t="s">
        <v>5383</v>
      </c>
      <c r="Q923" s="389" t="str">
        <f t="shared" si="57"/>
        <v>2014Y</v>
      </c>
      <c r="R923" s="390" t="str">
        <f>[1]!SNLLabel(287,324681,,"&lt;&gt;365")</f>
        <v>AR: Accident and Health</v>
      </c>
      <c r="S923" s="366"/>
      <c r="T923" s="391" t="s">
        <v>29</v>
      </c>
    </row>
    <row r="924" spans="15:20" ht="11.25" customHeight="1" x14ac:dyDescent="0.35">
      <c r="O924" s="388" t="s">
        <v>5474</v>
      </c>
      <c r="P924" s="389" t="s">
        <v>5383</v>
      </c>
      <c r="Q924" s="389" t="str">
        <f t="shared" si="57"/>
        <v>2014Y</v>
      </c>
      <c r="R924" s="390" t="str">
        <f>[1]!SNLLabel(287,324681,,"&lt;&gt;366")</f>
        <v>AR: Fraternal</v>
      </c>
      <c r="S924" s="366"/>
      <c r="T924" s="391" t="s">
        <v>29</v>
      </c>
    </row>
    <row r="925" spans="15:20" ht="11.25" customHeight="1" x14ac:dyDescent="0.35">
      <c r="O925" s="388" t="s">
        <v>5474</v>
      </c>
      <c r="P925" s="389" t="s">
        <v>5383</v>
      </c>
      <c r="Q925" s="389" t="str">
        <f t="shared" si="57"/>
        <v>2014Y</v>
      </c>
      <c r="R925" s="390" t="str">
        <f>[1]!SNLLabel(287,324681,,"&lt;&gt;367")</f>
        <v>AR: Other Lines of Business</v>
      </c>
      <c r="S925" s="366"/>
      <c r="T925" s="391" t="s">
        <v>29</v>
      </c>
    </row>
    <row r="926" spans="15:20" ht="11.25" customHeight="1" x14ac:dyDescent="0.35">
      <c r="O926" s="388" t="s">
        <v>5474</v>
      </c>
      <c r="P926" s="389" t="s">
        <v>5383</v>
      </c>
      <c r="Q926" s="389" t="str">
        <f t="shared" si="57"/>
        <v>2014Y</v>
      </c>
      <c r="R926" s="390" t="str">
        <f>[1]!SNLLabel(287,324681,,"&lt;&gt;368")</f>
        <v>AR: YRT Mortality Risk Only</v>
      </c>
      <c r="S926" s="366"/>
      <c r="T926" s="391" t="s">
        <v>29</v>
      </c>
    </row>
    <row r="927" spans="15:20" ht="11.25" customHeight="1" x14ac:dyDescent="0.35">
      <c r="O927" s="388" t="s">
        <v>5474</v>
      </c>
      <c r="P927" s="389" t="s">
        <v>5383</v>
      </c>
      <c r="Q927" s="389" t="str">
        <f t="shared" si="57"/>
        <v>2014Y</v>
      </c>
      <c r="R927" s="390" t="str">
        <f>[1]!SNLLabel(287,324681,,"&lt;&gt;369")</f>
        <v>AR: Individual and Group Life</v>
      </c>
      <c r="S927" s="366"/>
      <c r="T927" s="391" t="s">
        <v>29</v>
      </c>
    </row>
    <row r="928" spans="15:20" ht="11.25" customHeight="1" x14ac:dyDescent="0.35">
      <c r="O928" s="367" t="s">
        <v>5474</v>
      </c>
      <c r="P928" s="368" t="s">
        <v>5383</v>
      </c>
      <c r="Q928" s="368" t="str">
        <f t="shared" si="57"/>
        <v>2014Y</v>
      </c>
      <c r="R928" s="369" t="str">
        <f>[1]!SNLLabel(287,324681,,"&lt;&gt;370")</f>
        <v>AR: Individual and Group Annuities</v>
      </c>
      <c r="S928" s="370"/>
      <c r="T928" s="371" t="s">
        <v>29</v>
      </c>
    </row>
    <row r="929" spans="15:20" ht="11.25" customHeight="1" x14ac:dyDescent="0.35">
      <c r="O929" s="384" t="s">
        <v>5474</v>
      </c>
      <c r="P929" s="385" t="s">
        <v>5383</v>
      </c>
      <c r="Q929" s="385" t="str">
        <f t="shared" ref="Q929:Q939" si="58">LEFT(Period,4)-1&amp;"Y"</f>
        <v>2013Y</v>
      </c>
      <c r="R929" s="386" t="str">
        <f>[1]!SNLLabel(287,324681,,"&lt;&gt;360")</f>
        <v>AR: Analysis of Operations All Lines</v>
      </c>
      <c r="S929" s="365"/>
      <c r="T929" s="387" t="s">
        <v>29</v>
      </c>
    </row>
    <row r="930" spans="15:20" ht="11.25" customHeight="1" x14ac:dyDescent="0.35">
      <c r="O930" s="388" t="s">
        <v>5474</v>
      </c>
      <c r="P930" s="389" t="s">
        <v>5383</v>
      </c>
      <c r="Q930" s="389" t="str">
        <f t="shared" si="58"/>
        <v>2013Y</v>
      </c>
      <c r="R930" s="390" t="str">
        <f>[1]!SNLLabel(287,324681,,"&lt;&gt;361")</f>
        <v>AR: Individual Life</v>
      </c>
      <c r="S930" s="366"/>
      <c r="T930" s="391" t="s">
        <v>29</v>
      </c>
    </row>
    <row r="931" spans="15:20" ht="11.25" customHeight="1" x14ac:dyDescent="0.35">
      <c r="O931" s="388" t="s">
        <v>5474</v>
      </c>
      <c r="P931" s="389" t="s">
        <v>5383</v>
      </c>
      <c r="Q931" s="389" t="str">
        <f t="shared" si="58"/>
        <v>2013Y</v>
      </c>
      <c r="R931" s="390" t="str">
        <f>[1]!SNLLabel(287,324681,,"&lt;&gt;362")</f>
        <v>AR: Group Life</v>
      </c>
      <c r="S931" s="366"/>
      <c r="T931" s="391" t="s">
        <v>29</v>
      </c>
    </row>
    <row r="932" spans="15:20" ht="11.25" customHeight="1" x14ac:dyDescent="0.35">
      <c r="O932" s="388" t="s">
        <v>5474</v>
      </c>
      <c r="P932" s="389" t="s">
        <v>5383</v>
      </c>
      <c r="Q932" s="389" t="str">
        <f t="shared" si="58"/>
        <v>2013Y</v>
      </c>
      <c r="R932" s="390" t="str">
        <f>[1]!SNLLabel(287,324681,,"&lt;&gt;363")</f>
        <v>AR: Individual Annuities</v>
      </c>
      <c r="S932" s="366"/>
      <c r="T932" s="391" t="s">
        <v>29</v>
      </c>
    </row>
    <row r="933" spans="15:20" ht="11.25" customHeight="1" x14ac:dyDescent="0.35">
      <c r="O933" s="388" t="s">
        <v>5474</v>
      </c>
      <c r="P933" s="389" t="s">
        <v>5383</v>
      </c>
      <c r="Q933" s="389" t="str">
        <f t="shared" si="58"/>
        <v>2013Y</v>
      </c>
      <c r="R933" s="390" t="str">
        <f>[1]!SNLLabel(287,324681,,"&lt;&gt;364")</f>
        <v>AR: Group Annuities</v>
      </c>
      <c r="S933" s="366"/>
      <c r="T933" s="391" t="s">
        <v>29</v>
      </c>
    </row>
    <row r="934" spans="15:20" ht="11.25" customHeight="1" x14ac:dyDescent="0.35">
      <c r="O934" s="388" t="s">
        <v>5474</v>
      </c>
      <c r="P934" s="389" t="s">
        <v>5383</v>
      </c>
      <c r="Q934" s="389" t="str">
        <f t="shared" si="58"/>
        <v>2013Y</v>
      </c>
      <c r="R934" s="390" t="str">
        <f>[1]!SNLLabel(287,324681,,"&lt;&gt;365")</f>
        <v>AR: Accident and Health</v>
      </c>
      <c r="S934" s="366"/>
      <c r="T934" s="391" t="s">
        <v>29</v>
      </c>
    </row>
    <row r="935" spans="15:20" ht="11.25" customHeight="1" x14ac:dyDescent="0.35">
      <c r="O935" s="388" t="s">
        <v>5474</v>
      </c>
      <c r="P935" s="389" t="s">
        <v>5383</v>
      </c>
      <c r="Q935" s="389" t="str">
        <f t="shared" si="58"/>
        <v>2013Y</v>
      </c>
      <c r="R935" s="390" t="str">
        <f>[1]!SNLLabel(287,324681,,"&lt;&gt;366")</f>
        <v>AR: Fraternal</v>
      </c>
      <c r="S935" s="366"/>
      <c r="T935" s="391" t="s">
        <v>29</v>
      </c>
    </row>
    <row r="936" spans="15:20" ht="11.25" customHeight="1" x14ac:dyDescent="0.35">
      <c r="O936" s="388" t="s">
        <v>5474</v>
      </c>
      <c r="P936" s="389" t="s">
        <v>5383</v>
      </c>
      <c r="Q936" s="389" t="str">
        <f t="shared" si="58"/>
        <v>2013Y</v>
      </c>
      <c r="R936" s="390" t="str">
        <f>[1]!SNLLabel(287,324681,,"&lt;&gt;367")</f>
        <v>AR: Other Lines of Business</v>
      </c>
      <c r="S936" s="366"/>
      <c r="T936" s="391" t="s">
        <v>29</v>
      </c>
    </row>
    <row r="937" spans="15:20" ht="11.25" customHeight="1" x14ac:dyDescent="0.35">
      <c r="O937" s="388" t="s">
        <v>5474</v>
      </c>
      <c r="P937" s="389" t="s">
        <v>5383</v>
      </c>
      <c r="Q937" s="389" t="str">
        <f t="shared" si="58"/>
        <v>2013Y</v>
      </c>
      <c r="R937" s="390" t="str">
        <f>[1]!SNLLabel(287,324681,,"&lt;&gt;368")</f>
        <v>AR: YRT Mortality Risk Only</v>
      </c>
      <c r="S937" s="366"/>
      <c r="T937" s="391" t="s">
        <v>29</v>
      </c>
    </row>
    <row r="938" spans="15:20" ht="11.25" customHeight="1" x14ac:dyDescent="0.35">
      <c r="O938" s="388" t="s">
        <v>5474</v>
      </c>
      <c r="P938" s="389" t="s">
        <v>5383</v>
      </c>
      <c r="Q938" s="389" t="str">
        <f t="shared" si="58"/>
        <v>2013Y</v>
      </c>
      <c r="R938" s="390" t="str">
        <f>[1]!SNLLabel(287,324681,,"&lt;&gt;369")</f>
        <v>AR: Individual and Group Life</v>
      </c>
      <c r="S938" s="366"/>
      <c r="T938" s="391" t="s">
        <v>29</v>
      </c>
    </row>
    <row r="939" spans="15:20" ht="11.25" customHeight="1" x14ac:dyDescent="0.35">
      <c r="O939" s="367" t="s">
        <v>5474</v>
      </c>
      <c r="P939" s="368" t="s">
        <v>5383</v>
      </c>
      <c r="Q939" s="368" t="str">
        <f t="shared" si="58"/>
        <v>2013Y</v>
      </c>
      <c r="R939" s="369" t="str">
        <f>[1]!SNLLabel(287,324681,,"&lt;&gt;370")</f>
        <v>AR: Individual and Group Annuities</v>
      </c>
      <c r="S939" s="370"/>
      <c r="T939" s="371" t="s">
        <v>29</v>
      </c>
    </row>
    <row r="940" spans="15:20" ht="11.25" customHeight="1" x14ac:dyDescent="0.35">
      <c r="O940" s="384" t="s">
        <v>5474</v>
      </c>
      <c r="P940" s="385" t="s">
        <v>5383</v>
      </c>
      <c r="Q940" s="385" t="str">
        <f t="shared" ref="Q940:Q950" si="59">LEFT(Period,4)-2&amp;"Y"</f>
        <v>2012Y</v>
      </c>
      <c r="R940" s="386" t="str">
        <f>[1]!SNLLabel(287,324681,,"&lt;&gt;360")</f>
        <v>AR: Analysis of Operations All Lines</v>
      </c>
      <c r="S940" s="365"/>
      <c r="T940" s="387" t="s">
        <v>29</v>
      </c>
    </row>
    <row r="941" spans="15:20" ht="11.25" customHeight="1" x14ac:dyDescent="0.35">
      <c r="O941" s="388" t="s">
        <v>5474</v>
      </c>
      <c r="P941" s="389" t="s">
        <v>5383</v>
      </c>
      <c r="Q941" s="389" t="str">
        <f t="shared" si="59"/>
        <v>2012Y</v>
      </c>
      <c r="R941" s="390" t="str">
        <f>[1]!SNLLabel(287,324681,,"&lt;&gt;361")</f>
        <v>AR: Individual Life</v>
      </c>
      <c r="S941" s="366"/>
      <c r="T941" s="391" t="s">
        <v>29</v>
      </c>
    </row>
    <row r="942" spans="15:20" ht="11.25" customHeight="1" x14ac:dyDescent="0.35">
      <c r="O942" s="388" t="s">
        <v>5474</v>
      </c>
      <c r="P942" s="389" t="s">
        <v>5383</v>
      </c>
      <c r="Q942" s="389" t="str">
        <f t="shared" si="59"/>
        <v>2012Y</v>
      </c>
      <c r="R942" s="390" t="str">
        <f>[1]!SNLLabel(287,324681,,"&lt;&gt;362")</f>
        <v>AR: Group Life</v>
      </c>
      <c r="S942" s="366"/>
      <c r="T942" s="391" t="s">
        <v>29</v>
      </c>
    </row>
    <row r="943" spans="15:20" ht="11.25" customHeight="1" x14ac:dyDescent="0.35">
      <c r="O943" s="388" t="s">
        <v>5474</v>
      </c>
      <c r="P943" s="389" t="s">
        <v>5383</v>
      </c>
      <c r="Q943" s="389" t="str">
        <f t="shared" si="59"/>
        <v>2012Y</v>
      </c>
      <c r="R943" s="390" t="str">
        <f>[1]!SNLLabel(287,324681,,"&lt;&gt;363")</f>
        <v>AR: Individual Annuities</v>
      </c>
      <c r="S943" s="366"/>
      <c r="T943" s="391" t="s">
        <v>29</v>
      </c>
    </row>
    <row r="944" spans="15:20" ht="11.25" customHeight="1" x14ac:dyDescent="0.35">
      <c r="O944" s="388" t="s">
        <v>5474</v>
      </c>
      <c r="P944" s="389" t="s">
        <v>5383</v>
      </c>
      <c r="Q944" s="389" t="str">
        <f t="shared" si="59"/>
        <v>2012Y</v>
      </c>
      <c r="R944" s="390" t="str">
        <f>[1]!SNLLabel(287,324681,,"&lt;&gt;364")</f>
        <v>AR: Group Annuities</v>
      </c>
      <c r="S944" s="366"/>
      <c r="T944" s="391" t="s">
        <v>29</v>
      </c>
    </row>
    <row r="945" spans="15:20" ht="11.25" customHeight="1" x14ac:dyDescent="0.35">
      <c r="O945" s="388" t="s">
        <v>5474</v>
      </c>
      <c r="P945" s="389" t="s">
        <v>5383</v>
      </c>
      <c r="Q945" s="389" t="str">
        <f t="shared" si="59"/>
        <v>2012Y</v>
      </c>
      <c r="R945" s="390" t="str">
        <f>[1]!SNLLabel(287,324681,,"&lt;&gt;365")</f>
        <v>AR: Accident and Health</v>
      </c>
      <c r="S945" s="366"/>
      <c r="T945" s="391" t="s">
        <v>29</v>
      </c>
    </row>
    <row r="946" spans="15:20" ht="11.25" customHeight="1" x14ac:dyDescent="0.35">
      <c r="O946" s="388" t="s">
        <v>5474</v>
      </c>
      <c r="P946" s="389" t="s">
        <v>5383</v>
      </c>
      <c r="Q946" s="389" t="str">
        <f t="shared" si="59"/>
        <v>2012Y</v>
      </c>
      <c r="R946" s="390" t="str">
        <f>[1]!SNLLabel(287,324681,,"&lt;&gt;366")</f>
        <v>AR: Fraternal</v>
      </c>
      <c r="S946" s="366"/>
      <c r="T946" s="391" t="s">
        <v>29</v>
      </c>
    </row>
    <row r="947" spans="15:20" ht="11.25" customHeight="1" x14ac:dyDescent="0.35">
      <c r="O947" s="388" t="s">
        <v>5474</v>
      </c>
      <c r="P947" s="389" t="s">
        <v>5383</v>
      </c>
      <c r="Q947" s="389" t="str">
        <f t="shared" si="59"/>
        <v>2012Y</v>
      </c>
      <c r="R947" s="390" t="str">
        <f>[1]!SNLLabel(287,324681,,"&lt;&gt;367")</f>
        <v>AR: Other Lines of Business</v>
      </c>
      <c r="S947" s="366"/>
      <c r="T947" s="391" t="s">
        <v>29</v>
      </c>
    </row>
    <row r="948" spans="15:20" ht="11.25" customHeight="1" x14ac:dyDescent="0.35">
      <c r="O948" s="388" t="s">
        <v>5474</v>
      </c>
      <c r="P948" s="389" t="s">
        <v>5383</v>
      </c>
      <c r="Q948" s="389" t="str">
        <f t="shared" si="59"/>
        <v>2012Y</v>
      </c>
      <c r="R948" s="390" t="str">
        <f>[1]!SNLLabel(287,324681,,"&lt;&gt;368")</f>
        <v>AR: YRT Mortality Risk Only</v>
      </c>
      <c r="S948" s="366"/>
      <c r="T948" s="391" t="s">
        <v>29</v>
      </c>
    </row>
    <row r="949" spans="15:20" ht="11.25" customHeight="1" x14ac:dyDescent="0.35">
      <c r="O949" s="388" t="s">
        <v>5474</v>
      </c>
      <c r="P949" s="389" t="s">
        <v>5383</v>
      </c>
      <c r="Q949" s="389" t="str">
        <f t="shared" si="59"/>
        <v>2012Y</v>
      </c>
      <c r="R949" s="390" t="str">
        <f>[1]!SNLLabel(287,324681,,"&lt;&gt;369")</f>
        <v>AR: Individual and Group Life</v>
      </c>
      <c r="S949" s="366"/>
      <c r="T949" s="391" t="s">
        <v>29</v>
      </c>
    </row>
    <row r="950" spans="15:20" ht="11.25" customHeight="1" x14ac:dyDescent="0.35">
      <c r="O950" s="367" t="s">
        <v>5474</v>
      </c>
      <c r="P950" s="368" t="s">
        <v>5383</v>
      </c>
      <c r="Q950" s="368" t="str">
        <f t="shared" si="59"/>
        <v>2012Y</v>
      </c>
      <c r="R950" s="369" t="str">
        <f>[1]!SNLLabel(287,324681,,"&lt;&gt;370")</f>
        <v>AR: Individual and Group Annuities</v>
      </c>
      <c r="S950" s="370"/>
      <c r="T950" s="371" t="s">
        <v>29</v>
      </c>
    </row>
    <row r="951" spans="15:20" ht="11.25" customHeight="1" x14ac:dyDescent="0.35">
      <c r="O951" s="384" t="s">
        <v>5474</v>
      </c>
      <c r="P951" s="385" t="s">
        <v>5383</v>
      </c>
      <c r="Q951" s="385" t="str">
        <f t="shared" ref="Q951:Q961" si="60">LEFT(Period,4)-3&amp;"Y"</f>
        <v>2011Y</v>
      </c>
      <c r="R951" s="386" t="str">
        <f>[1]!SNLLabel(287,324681,,"&lt;&gt;360")</f>
        <v>AR: Analysis of Operations All Lines</v>
      </c>
      <c r="S951" s="365"/>
      <c r="T951" s="387" t="s">
        <v>29</v>
      </c>
    </row>
    <row r="952" spans="15:20" ht="11.25" customHeight="1" x14ac:dyDescent="0.35">
      <c r="O952" s="388" t="s">
        <v>5474</v>
      </c>
      <c r="P952" s="389" t="s">
        <v>5383</v>
      </c>
      <c r="Q952" s="389" t="str">
        <f t="shared" si="60"/>
        <v>2011Y</v>
      </c>
      <c r="R952" s="390" t="str">
        <f>[1]!SNLLabel(287,324681,,"&lt;&gt;361")</f>
        <v>AR: Individual Life</v>
      </c>
      <c r="S952" s="366"/>
      <c r="T952" s="391" t="s">
        <v>29</v>
      </c>
    </row>
    <row r="953" spans="15:20" ht="11.25" customHeight="1" x14ac:dyDescent="0.35">
      <c r="O953" s="388" t="s">
        <v>5474</v>
      </c>
      <c r="P953" s="389" t="s">
        <v>5383</v>
      </c>
      <c r="Q953" s="389" t="str">
        <f t="shared" si="60"/>
        <v>2011Y</v>
      </c>
      <c r="R953" s="390" t="str">
        <f>[1]!SNLLabel(287,324681,,"&lt;&gt;362")</f>
        <v>AR: Group Life</v>
      </c>
      <c r="S953" s="366"/>
      <c r="T953" s="391" t="s">
        <v>29</v>
      </c>
    </row>
    <row r="954" spans="15:20" ht="11.25" customHeight="1" x14ac:dyDescent="0.35">
      <c r="O954" s="388" t="s">
        <v>5474</v>
      </c>
      <c r="P954" s="389" t="s">
        <v>5383</v>
      </c>
      <c r="Q954" s="389" t="str">
        <f t="shared" si="60"/>
        <v>2011Y</v>
      </c>
      <c r="R954" s="390" t="str">
        <f>[1]!SNLLabel(287,324681,,"&lt;&gt;363")</f>
        <v>AR: Individual Annuities</v>
      </c>
      <c r="S954" s="366"/>
      <c r="T954" s="391" t="s">
        <v>29</v>
      </c>
    </row>
    <row r="955" spans="15:20" ht="11.25" customHeight="1" x14ac:dyDescent="0.35">
      <c r="O955" s="388" t="s">
        <v>5474</v>
      </c>
      <c r="P955" s="389" t="s">
        <v>5383</v>
      </c>
      <c r="Q955" s="389" t="str">
        <f t="shared" si="60"/>
        <v>2011Y</v>
      </c>
      <c r="R955" s="390" t="str">
        <f>[1]!SNLLabel(287,324681,,"&lt;&gt;364")</f>
        <v>AR: Group Annuities</v>
      </c>
      <c r="S955" s="366"/>
      <c r="T955" s="391" t="s">
        <v>29</v>
      </c>
    </row>
    <row r="956" spans="15:20" ht="11.25" customHeight="1" x14ac:dyDescent="0.35">
      <c r="O956" s="388" t="s">
        <v>5474</v>
      </c>
      <c r="P956" s="389" t="s">
        <v>5383</v>
      </c>
      <c r="Q956" s="389" t="str">
        <f t="shared" si="60"/>
        <v>2011Y</v>
      </c>
      <c r="R956" s="390" t="str">
        <f>[1]!SNLLabel(287,324681,,"&lt;&gt;365")</f>
        <v>AR: Accident and Health</v>
      </c>
      <c r="S956" s="366"/>
      <c r="T956" s="391" t="s">
        <v>29</v>
      </c>
    </row>
    <row r="957" spans="15:20" ht="11.25" customHeight="1" x14ac:dyDescent="0.35">
      <c r="O957" s="388" t="s">
        <v>5474</v>
      </c>
      <c r="P957" s="389" t="s">
        <v>5383</v>
      </c>
      <c r="Q957" s="389" t="str">
        <f t="shared" si="60"/>
        <v>2011Y</v>
      </c>
      <c r="R957" s="390" t="str">
        <f>[1]!SNLLabel(287,324681,,"&lt;&gt;366")</f>
        <v>AR: Fraternal</v>
      </c>
      <c r="S957" s="366"/>
      <c r="T957" s="391" t="s">
        <v>29</v>
      </c>
    </row>
    <row r="958" spans="15:20" ht="11.25" customHeight="1" x14ac:dyDescent="0.35">
      <c r="O958" s="388" t="s">
        <v>5474</v>
      </c>
      <c r="P958" s="389" t="s">
        <v>5383</v>
      </c>
      <c r="Q958" s="389" t="str">
        <f t="shared" si="60"/>
        <v>2011Y</v>
      </c>
      <c r="R958" s="390" t="str">
        <f>[1]!SNLLabel(287,324681,,"&lt;&gt;367")</f>
        <v>AR: Other Lines of Business</v>
      </c>
      <c r="S958" s="366"/>
      <c r="T958" s="391" t="s">
        <v>29</v>
      </c>
    </row>
    <row r="959" spans="15:20" ht="11.25" customHeight="1" x14ac:dyDescent="0.35">
      <c r="O959" s="388" t="s">
        <v>5474</v>
      </c>
      <c r="P959" s="389" t="s">
        <v>5383</v>
      </c>
      <c r="Q959" s="389" t="str">
        <f t="shared" si="60"/>
        <v>2011Y</v>
      </c>
      <c r="R959" s="390" t="str">
        <f>[1]!SNLLabel(287,324681,,"&lt;&gt;368")</f>
        <v>AR: YRT Mortality Risk Only</v>
      </c>
      <c r="S959" s="366"/>
      <c r="T959" s="391" t="s">
        <v>29</v>
      </c>
    </row>
    <row r="960" spans="15:20" ht="11.25" customHeight="1" x14ac:dyDescent="0.35">
      <c r="O960" s="388" t="s">
        <v>5474</v>
      </c>
      <c r="P960" s="389" t="s">
        <v>5383</v>
      </c>
      <c r="Q960" s="389" t="str">
        <f t="shared" si="60"/>
        <v>2011Y</v>
      </c>
      <c r="R960" s="390" t="str">
        <f>[1]!SNLLabel(287,324681,,"&lt;&gt;369")</f>
        <v>AR: Individual and Group Life</v>
      </c>
      <c r="S960" s="366"/>
      <c r="T960" s="391" t="s">
        <v>29</v>
      </c>
    </row>
    <row r="961" spans="15:20" ht="11.25" customHeight="1" x14ac:dyDescent="0.35">
      <c r="O961" s="367" t="s">
        <v>5474</v>
      </c>
      <c r="P961" s="368" t="s">
        <v>5383</v>
      </c>
      <c r="Q961" s="368" t="str">
        <f t="shared" si="60"/>
        <v>2011Y</v>
      </c>
      <c r="R961" s="369" t="str">
        <f>[1]!SNLLabel(287,324681,,"&lt;&gt;370")</f>
        <v>AR: Individual and Group Annuities</v>
      </c>
      <c r="S961" s="370"/>
      <c r="T961" s="371" t="s">
        <v>29</v>
      </c>
    </row>
    <row r="962" spans="15:20" ht="11.25" customHeight="1" x14ac:dyDescent="0.35">
      <c r="O962" s="384" t="s">
        <v>5474</v>
      </c>
      <c r="P962" s="385" t="s">
        <v>5383</v>
      </c>
      <c r="Q962" s="385" t="str">
        <f t="shared" ref="Q962:Q972" si="61">LEFT(Period,4)-4&amp;"Y"</f>
        <v>2010Y</v>
      </c>
      <c r="R962" s="386" t="str">
        <f>[1]!SNLLabel(287,324681,,"&lt;&gt;360")</f>
        <v>AR: Analysis of Operations All Lines</v>
      </c>
      <c r="S962" s="365"/>
      <c r="T962" s="387" t="s">
        <v>29</v>
      </c>
    </row>
    <row r="963" spans="15:20" ht="11.25" customHeight="1" x14ac:dyDescent="0.35">
      <c r="O963" s="388" t="s">
        <v>5474</v>
      </c>
      <c r="P963" s="389" t="s">
        <v>5383</v>
      </c>
      <c r="Q963" s="389" t="str">
        <f t="shared" si="61"/>
        <v>2010Y</v>
      </c>
      <c r="R963" s="390" t="str">
        <f>[1]!SNLLabel(287,324681,,"&lt;&gt;361")</f>
        <v>AR: Individual Life</v>
      </c>
      <c r="S963" s="366"/>
      <c r="T963" s="391" t="s">
        <v>29</v>
      </c>
    </row>
    <row r="964" spans="15:20" ht="11.25" customHeight="1" x14ac:dyDescent="0.35">
      <c r="O964" s="388" t="s">
        <v>5474</v>
      </c>
      <c r="P964" s="389" t="s">
        <v>5383</v>
      </c>
      <c r="Q964" s="389" t="str">
        <f t="shared" si="61"/>
        <v>2010Y</v>
      </c>
      <c r="R964" s="390" t="str">
        <f>[1]!SNLLabel(287,324681,,"&lt;&gt;362")</f>
        <v>AR: Group Life</v>
      </c>
      <c r="S964" s="366"/>
      <c r="T964" s="391" t="s">
        <v>29</v>
      </c>
    </row>
    <row r="965" spans="15:20" ht="11.25" customHeight="1" x14ac:dyDescent="0.35">
      <c r="O965" s="388" t="s">
        <v>5474</v>
      </c>
      <c r="P965" s="389" t="s">
        <v>5383</v>
      </c>
      <c r="Q965" s="389" t="str">
        <f t="shared" si="61"/>
        <v>2010Y</v>
      </c>
      <c r="R965" s="390" t="str">
        <f>[1]!SNLLabel(287,324681,,"&lt;&gt;363")</f>
        <v>AR: Individual Annuities</v>
      </c>
      <c r="S965" s="366"/>
      <c r="T965" s="391" t="s">
        <v>29</v>
      </c>
    </row>
    <row r="966" spans="15:20" ht="11.25" customHeight="1" x14ac:dyDescent="0.35">
      <c r="O966" s="388" t="s">
        <v>5474</v>
      </c>
      <c r="P966" s="389" t="s">
        <v>5383</v>
      </c>
      <c r="Q966" s="389" t="str">
        <f t="shared" si="61"/>
        <v>2010Y</v>
      </c>
      <c r="R966" s="390" t="str">
        <f>[1]!SNLLabel(287,324681,,"&lt;&gt;364")</f>
        <v>AR: Group Annuities</v>
      </c>
      <c r="S966" s="366"/>
      <c r="T966" s="391" t="s">
        <v>29</v>
      </c>
    </row>
    <row r="967" spans="15:20" ht="11.25" customHeight="1" x14ac:dyDescent="0.35">
      <c r="O967" s="388" t="s">
        <v>5474</v>
      </c>
      <c r="P967" s="389" t="s">
        <v>5383</v>
      </c>
      <c r="Q967" s="389" t="str">
        <f t="shared" si="61"/>
        <v>2010Y</v>
      </c>
      <c r="R967" s="390" t="str">
        <f>[1]!SNLLabel(287,324681,,"&lt;&gt;365")</f>
        <v>AR: Accident and Health</v>
      </c>
      <c r="S967" s="366"/>
      <c r="T967" s="391" t="s">
        <v>29</v>
      </c>
    </row>
    <row r="968" spans="15:20" ht="11.25" customHeight="1" x14ac:dyDescent="0.35">
      <c r="O968" s="388" t="s">
        <v>5474</v>
      </c>
      <c r="P968" s="389" t="s">
        <v>5383</v>
      </c>
      <c r="Q968" s="389" t="str">
        <f t="shared" si="61"/>
        <v>2010Y</v>
      </c>
      <c r="R968" s="390" t="str">
        <f>[1]!SNLLabel(287,324681,,"&lt;&gt;366")</f>
        <v>AR: Fraternal</v>
      </c>
      <c r="S968" s="366"/>
      <c r="T968" s="391" t="s">
        <v>29</v>
      </c>
    </row>
    <row r="969" spans="15:20" ht="11.25" customHeight="1" x14ac:dyDescent="0.35">
      <c r="O969" s="388" t="s">
        <v>5474</v>
      </c>
      <c r="P969" s="389" t="s">
        <v>5383</v>
      </c>
      <c r="Q969" s="389" t="str">
        <f t="shared" si="61"/>
        <v>2010Y</v>
      </c>
      <c r="R969" s="390" t="str">
        <f>[1]!SNLLabel(287,324681,,"&lt;&gt;367")</f>
        <v>AR: Other Lines of Business</v>
      </c>
      <c r="S969" s="366"/>
      <c r="T969" s="391" t="s">
        <v>29</v>
      </c>
    </row>
    <row r="970" spans="15:20" ht="11.25" customHeight="1" x14ac:dyDescent="0.35">
      <c r="O970" s="388" t="s">
        <v>5474</v>
      </c>
      <c r="P970" s="389" t="s">
        <v>5383</v>
      </c>
      <c r="Q970" s="389" t="str">
        <f t="shared" si="61"/>
        <v>2010Y</v>
      </c>
      <c r="R970" s="390" t="str">
        <f>[1]!SNLLabel(287,324681,,"&lt;&gt;368")</f>
        <v>AR: YRT Mortality Risk Only</v>
      </c>
      <c r="S970" s="366"/>
      <c r="T970" s="391" t="s">
        <v>29</v>
      </c>
    </row>
    <row r="971" spans="15:20" ht="11.25" customHeight="1" x14ac:dyDescent="0.35">
      <c r="O971" s="388" t="s">
        <v>5474</v>
      </c>
      <c r="P971" s="389" t="s">
        <v>5383</v>
      </c>
      <c r="Q971" s="389" t="str">
        <f t="shared" si="61"/>
        <v>2010Y</v>
      </c>
      <c r="R971" s="390" t="str">
        <f>[1]!SNLLabel(287,324681,,"&lt;&gt;369")</f>
        <v>AR: Individual and Group Life</v>
      </c>
      <c r="S971" s="366"/>
      <c r="T971" s="391" t="s">
        <v>29</v>
      </c>
    </row>
    <row r="972" spans="15:20" ht="11.25" customHeight="1" x14ac:dyDescent="0.35">
      <c r="O972" s="367" t="s">
        <v>5474</v>
      </c>
      <c r="P972" s="368" t="s">
        <v>5383</v>
      </c>
      <c r="Q972" s="368" t="str">
        <f t="shared" si="61"/>
        <v>2010Y</v>
      </c>
      <c r="R972" s="369" t="str">
        <f>[1]!SNLLabel(287,324681,,"&lt;&gt;370")</f>
        <v>AR: Individual and Group Annuities</v>
      </c>
      <c r="S972" s="370"/>
      <c r="T972" s="371" t="s">
        <v>29</v>
      </c>
    </row>
    <row r="973" spans="15:20" ht="11.25" customHeight="1" x14ac:dyDescent="0.35">
      <c r="O973" s="377"/>
      <c r="P973" s="378"/>
      <c r="Q973" s="378"/>
      <c r="R973" s="379"/>
      <c r="S973" s="375"/>
      <c r="T973" s="380"/>
    </row>
    <row r="974" spans="15:20" ht="11.25" customHeight="1" x14ac:dyDescent="0.35">
      <c r="O974" s="384" t="s">
        <v>5476</v>
      </c>
      <c r="P974" s="385" t="s">
        <v>5384</v>
      </c>
      <c r="Q974" s="385" t="str">
        <f t="shared" ref="Q974:Q984" si="62">Period</f>
        <v>2014Y</v>
      </c>
      <c r="R974" s="386" t="str">
        <f>[1]!SNLLabel(287,324688,,"&lt;&gt;360")</f>
        <v>AR: Analysis of Operations All Lines</v>
      </c>
      <c r="S974" s="365"/>
      <c r="T974" s="387" t="s">
        <v>29</v>
      </c>
    </row>
    <row r="975" spans="15:20" ht="11.25" customHeight="1" x14ac:dyDescent="0.35">
      <c r="O975" s="388" t="s">
        <v>5476</v>
      </c>
      <c r="P975" s="389" t="s">
        <v>5384</v>
      </c>
      <c r="Q975" s="389" t="str">
        <f t="shared" si="62"/>
        <v>2014Y</v>
      </c>
      <c r="R975" s="390" t="str">
        <f>[1]!SNLLabel(287,324688,,"&lt;&gt;361")</f>
        <v>AR: Individual Life</v>
      </c>
      <c r="S975" s="366"/>
      <c r="T975" s="391" t="s">
        <v>29</v>
      </c>
    </row>
    <row r="976" spans="15:20" ht="11.25" customHeight="1" x14ac:dyDescent="0.35">
      <c r="O976" s="388" t="s">
        <v>5476</v>
      </c>
      <c r="P976" s="389" t="s">
        <v>5384</v>
      </c>
      <c r="Q976" s="389" t="str">
        <f t="shared" si="62"/>
        <v>2014Y</v>
      </c>
      <c r="R976" s="390" t="str">
        <f>[1]!SNLLabel(287,324688,,"&lt;&gt;362")</f>
        <v>AR: Group Life</v>
      </c>
      <c r="S976" s="366"/>
      <c r="T976" s="391" t="s">
        <v>29</v>
      </c>
    </row>
    <row r="977" spans="15:20" ht="11.25" customHeight="1" x14ac:dyDescent="0.35">
      <c r="O977" s="388" t="s">
        <v>5476</v>
      </c>
      <c r="P977" s="389" t="s">
        <v>5384</v>
      </c>
      <c r="Q977" s="389" t="str">
        <f t="shared" si="62"/>
        <v>2014Y</v>
      </c>
      <c r="R977" s="390" t="str">
        <f>[1]!SNLLabel(287,324688,,"&lt;&gt;363")</f>
        <v>AR: Individual Annuities</v>
      </c>
      <c r="S977" s="366"/>
      <c r="T977" s="391" t="s">
        <v>29</v>
      </c>
    </row>
    <row r="978" spans="15:20" ht="11.25" customHeight="1" x14ac:dyDescent="0.35">
      <c r="O978" s="388" t="s">
        <v>5476</v>
      </c>
      <c r="P978" s="389" t="s">
        <v>5384</v>
      </c>
      <c r="Q978" s="389" t="str">
        <f t="shared" si="62"/>
        <v>2014Y</v>
      </c>
      <c r="R978" s="390" t="str">
        <f>[1]!SNLLabel(287,324688,,"&lt;&gt;364")</f>
        <v>AR: Group Annuities</v>
      </c>
      <c r="S978" s="366"/>
      <c r="T978" s="391" t="s">
        <v>29</v>
      </c>
    </row>
    <row r="979" spans="15:20" ht="11.25" customHeight="1" x14ac:dyDescent="0.35">
      <c r="O979" s="388" t="s">
        <v>5476</v>
      </c>
      <c r="P979" s="389" t="s">
        <v>5384</v>
      </c>
      <c r="Q979" s="389" t="str">
        <f t="shared" si="62"/>
        <v>2014Y</v>
      </c>
      <c r="R979" s="390" t="str">
        <f>[1]!SNLLabel(287,324688,,"&lt;&gt;365")</f>
        <v>AR: Accident and Health</v>
      </c>
      <c r="S979" s="366"/>
      <c r="T979" s="391" t="s">
        <v>29</v>
      </c>
    </row>
    <row r="980" spans="15:20" ht="11.25" customHeight="1" x14ac:dyDescent="0.35">
      <c r="O980" s="388" t="s">
        <v>5476</v>
      </c>
      <c r="P980" s="389" t="s">
        <v>5384</v>
      </c>
      <c r="Q980" s="389" t="str">
        <f t="shared" si="62"/>
        <v>2014Y</v>
      </c>
      <c r="R980" s="390" t="str">
        <f>[1]!SNLLabel(287,324688,,"&lt;&gt;366")</f>
        <v>AR: Fraternal</v>
      </c>
      <c r="S980" s="366"/>
      <c r="T980" s="391" t="s">
        <v>29</v>
      </c>
    </row>
    <row r="981" spans="15:20" ht="11.25" customHeight="1" x14ac:dyDescent="0.35">
      <c r="O981" s="388" t="s">
        <v>5476</v>
      </c>
      <c r="P981" s="389" t="s">
        <v>5384</v>
      </c>
      <c r="Q981" s="389" t="str">
        <f t="shared" si="62"/>
        <v>2014Y</v>
      </c>
      <c r="R981" s="390" t="str">
        <f>[1]!SNLLabel(287,324688,,"&lt;&gt;367")</f>
        <v>AR: Other Lines of Business</v>
      </c>
      <c r="S981" s="366"/>
      <c r="T981" s="391" t="s">
        <v>29</v>
      </c>
    </row>
    <row r="982" spans="15:20" ht="11.25" customHeight="1" x14ac:dyDescent="0.35">
      <c r="O982" s="388" t="s">
        <v>5476</v>
      </c>
      <c r="P982" s="389" t="s">
        <v>5384</v>
      </c>
      <c r="Q982" s="389" t="str">
        <f t="shared" si="62"/>
        <v>2014Y</v>
      </c>
      <c r="R982" s="390" t="str">
        <f>[1]!SNLLabel(287,324688,,"&lt;&gt;368")</f>
        <v>AR: YRT Mortality Risk Only</v>
      </c>
      <c r="S982" s="366"/>
      <c r="T982" s="391" t="s">
        <v>29</v>
      </c>
    </row>
    <row r="983" spans="15:20" ht="11.25" customHeight="1" x14ac:dyDescent="0.35">
      <c r="O983" s="388" t="s">
        <v>5476</v>
      </c>
      <c r="P983" s="389" t="s">
        <v>5384</v>
      </c>
      <c r="Q983" s="389" t="str">
        <f t="shared" si="62"/>
        <v>2014Y</v>
      </c>
      <c r="R983" s="390" t="str">
        <f>[1]!SNLLabel(287,324688,,"&lt;&gt;369")</f>
        <v>AR: Individual and Group Life</v>
      </c>
      <c r="S983" s="366"/>
      <c r="T983" s="391" t="s">
        <v>29</v>
      </c>
    </row>
    <row r="984" spans="15:20" ht="11.25" customHeight="1" x14ac:dyDescent="0.35">
      <c r="O984" s="367" t="s">
        <v>5476</v>
      </c>
      <c r="P984" s="368" t="s">
        <v>5384</v>
      </c>
      <c r="Q984" s="368" t="str">
        <f t="shared" si="62"/>
        <v>2014Y</v>
      </c>
      <c r="R984" s="369" t="str">
        <f>[1]!SNLLabel(287,324688,,"&lt;&gt;370")</f>
        <v>AR: Individual and Group Annuities</v>
      </c>
      <c r="S984" s="370"/>
      <c r="T984" s="371" t="s">
        <v>29</v>
      </c>
    </row>
    <row r="985" spans="15:20" ht="11.25" customHeight="1" x14ac:dyDescent="0.35">
      <c r="O985" s="384" t="s">
        <v>5476</v>
      </c>
      <c r="P985" s="385" t="s">
        <v>5384</v>
      </c>
      <c r="Q985" s="385" t="str">
        <f t="shared" ref="Q985:Q995" si="63">LEFT(Period,4)-1&amp;"Y"</f>
        <v>2013Y</v>
      </c>
      <c r="R985" s="386" t="str">
        <f>[1]!SNLLabel(287,324688,,"&lt;&gt;360")</f>
        <v>AR: Analysis of Operations All Lines</v>
      </c>
      <c r="S985" s="365"/>
      <c r="T985" s="387" t="s">
        <v>29</v>
      </c>
    </row>
    <row r="986" spans="15:20" ht="11.25" customHeight="1" x14ac:dyDescent="0.35">
      <c r="O986" s="388" t="s">
        <v>5476</v>
      </c>
      <c r="P986" s="389" t="s">
        <v>5384</v>
      </c>
      <c r="Q986" s="389" t="str">
        <f t="shared" si="63"/>
        <v>2013Y</v>
      </c>
      <c r="R986" s="390" t="str">
        <f>[1]!SNLLabel(287,324688,,"&lt;&gt;361")</f>
        <v>AR: Individual Life</v>
      </c>
      <c r="S986" s="366"/>
      <c r="T986" s="391" t="s">
        <v>29</v>
      </c>
    </row>
    <row r="987" spans="15:20" ht="11.25" customHeight="1" x14ac:dyDescent="0.35">
      <c r="O987" s="388" t="s">
        <v>5476</v>
      </c>
      <c r="P987" s="389" t="s">
        <v>5384</v>
      </c>
      <c r="Q987" s="389" t="str">
        <f t="shared" si="63"/>
        <v>2013Y</v>
      </c>
      <c r="R987" s="390" t="str">
        <f>[1]!SNLLabel(287,324688,,"&lt;&gt;362")</f>
        <v>AR: Group Life</v>
      </c>
      <c r="S987" s="366"/>
      <c r="T987" s="391" t="s">
        <v>29</v>
      </c>
    </row>
    <row r="988" spans="15:20" ht="11.25" customHeight="1" x14ac:dyDescent="0.35">
      <c r="O988" s="388" t="s">
        <v>5476</v>
      </c>
      <c r="P988" s="389" t="s">
        <v>5384</v>
      </c>
      <c r="Q988" s="389" t="str">
        <f t="shared" si="63"/>
        <v>2013Y</v>
      </c>
      <c r="R988" s="390" t="str">
        <f>[1]!SNLLabel(287,324688,,"&lt;&gt;363")</f>
        <v>AR: Individual Annuities</v>
      </c>
      <c r="S988" s="366"/>
      <c r="T988" s="391" t="s">
        <v>29</v>
      </c>
    </row>
    <row r="989" spans="15:20" ht="11.25" customHeight="1" x14ac:dyDescent="0.35">
      <c r="O989" s="388" t="s">
        <v>5476</v>
      </c>
      <c r="P989" s="389" t="s">
        <v>5384</v>
      </c>
      <c r="Q989" s="389" t="str">
        <f t="shared" si="63"/>
        <v>2013Y</v>
      </c>
      <c r="R989" s="390" t="str">
        <f>[1]!SNLLabel(287,324688,,"&lt;&gt;364")</f>
        <v>AR: Group Annuities</v>
      </c>
      <c r="S989" s="366"/>
      <c r="T989" s="391" t="s">
        <v>29</v>
      </c>
    </row>
    <row r="990" spans="15:20" ht="11.25" customHeight="1" x14ac:dyDescent="0.35">
      <c r="O990" s="388" t="s">
        <v>5476</v>
      </c>
      <c r="P990" s="389" t="s">
        <v>5384</v>
      </c>
      <c r="Q990" s="389" t="str">
        <f t="shared" si="63"/>
        <v>2013Y</v>
      </c>
      <c r="R990" s="390" t="str">
        <f>[1]!SNLLabel(287,324688,,"&lt;&gt;365")</f>
        <v>AR: Accident and Health</v>
      </c>
      <c r="S990" s="366"/>
      <c r="T990" s="391" t="s">
        <v>29</v>
      </c>
    </row>
    <row r="991" spans="15:20" ht="11.25" customHeight="1" x14ac:dyDescent="0.35">
      <c r="O991" s="388" t="s">
        <v>5476</v>
      </c>
      <c r="P991" s="389" t="s">
        <v>5384</v>
      </c>
      <c r="Q991" s="389" t="str">
        <f t="shared" si="63"/>
        <v>2013Y</v>
      </c>
      <c r="R991" s="390" t="str">
        <f>[1]!SNLLabel(287,324688,,"&lt;&gt;366")</f>
        <v>AR: Fraternal</v>
      </c>
      <c r="S991" s="366"/>
      <c r="T991" s="391" t="s">
        <v>29</v>
      </c>
    </row>
    <row r="992" spans="15:20" ht="11.25" customHeight="1" x14ac:dyDescent="0.35">
      <c r="O992" s="388" t="s">
        <v>5476</v>
      </c>
      <c r="P992" s="389" t="s">
        <v>5384</v>
      </c>
      <c r="Q992" s="389" t="str">
        <f t="shared" si="63"/>
        <v>2013Y</v>
      </c>
      <c r="R992" s="390" t="str">
        <f>[1]!SNLLabel(287,324688,,"&lt;&gt;367")</f>
        <v>AR: Other Lines of Business</v>
      </c>
      <c r="S992" s="366"/>
      <c r="T992" s="391" t="s">
        <v>29</v>
      </c>
    </row>
    <row r="993" spans="15:20" ht="11.25" customHeight="1" x14ac:dyDescent="0.35">
      <c r="O993" s="388" t="s">
        <v>5476</v>
      </c>
      <c r="P993" s="389" t="s">
        <v>5384</v>
      </c>
      <c r="Q993" s="389" t="str">
        <f t="shared" si="63"/>
        <v>2013Y</v>
      </c>
      <c r="R993" s="390" t="str">
        <f>[1]!SNLLabel(287,324688,,"&lt;&gt;368")</f>
        <v>AR: YRT Mortality Risk Only</v>
      </c>
      <c r="S993" s="366"/>
      <c r="T993" s="391" t="s">
        <v>29</v>
      </c>
    </row>
    <row r="994" spans="15:20" ht="11.25" customHeight="1" x14ac:dyDescent="0.35">
      <c r="O994" s="388" t="s">
        <v>5476</v>
      </c>
      <c r="P994" s="389" t="s">
        <v>5384</v>
      </c>
      <c r="Q994" s="389" t="str">
        <f t="shared" si="63"/>
        <v>2013Y</v>
      </c>
      <c r="R994" s="390" t="str">
        <f>[1]!SNLLabel(287,324688,,"&lt;&gt;369")</f>
        <v>AR: Individual and Group Life</v>
      </c>
      <c r="S994" s="366"/>
      <c r="T994" s="391" t="s">
        <v>29</v>
      </c>
    </row>
    <row r="995" spans="15:20" ht="11.25" customHeight="1" x14ac:dyDescent="0.35">
      <c r="O995" s="367" t="s">
        <v>5476</v>
      </c>
      <c r="P995" s="368" t="s">
        <v>5384</v>
      </c>
      <c r="Q995" s="368" t="str">
        <f t="shared" si="63"/>
        <v>2013Y</v>
      </c>
      <c r="R995" s="369" t="str">
        <f>[1]!SNLLabel(287,324688,,"&lt;&gt;370")</f>
        <v>AR: Individual and Group Annuities</v>
      </c>
      <c r="S995" s="370"/>
      <c r="T995" s="371" t="s">
        <v>29</v>
      </c>
    </row>
    <row r="996" spans="15:20" ht="11.25" customHeight="1" x14ac:dyDescent="0.35">
      <c r="O996" s="384" t="s">
        <v>5476</v>
      </c>
      <c r="P996" s="385" t="s">
        <v>5384</v>
      </c>
      <c r="Q996" s="385" t="str">
        <f t="shared" ref="Q996:Q1006" si="64">LEFT(Period,4)-2&amp;"Y"</f>
        <v>2012Y</v>
      </c>
      <c r="R996" s="386" t="str">
        <f>[1]!SNLLabel(287,324688,,"&lt;&gt;360")</f>
        <v>AR: Analysis of Operations All Lines</v>
      </c>
      <c r="S996" s="365"/>
      <c r="T996" s="387" t="s">
        <v>29</v>
      </c>
    </row>
    <row r="997" spans="15:20" ht="11.25" customHeight="1" x14ac:dyDescent="0.35">
      <c r="O997" s="388" t="s">
        <v>5476</v>
      </c>
      <c r="P997" s="389" t="s">
        <v>5384</v>
      </c>
      <c r="Q997" s="389" t="str">
        <f t="shared" si="64"/>
        <v>2012Y</v>
      </c>
      <c r="R997" s="390" t="str">
        <f>[1]!SNLLabel(287,324688,,"&lt;&gt;361")</f>
        <v>AR: Individual Life</v>
      </c>
      <c r="S997" s="366"/>
      <c r="T997" s="391" t="s">
        <v>29</v>
      </c>
    </row>
    <row r="998" spans="15:20" ht="11.25" customHeight="1" x14ac:dyDescent="0.35">
      <c r="O998" s="388" t="s">
        <v>5476</v>
      </c>
      <c r="P998" s="389" t="s">
        <v>5384</v>
      </c>
      <c r="Q998" s="389" t="str">
        <f t="shared" si="64"/>
        <v>2012Y</v>
      </c>
      <c r="R998" s="390" t="str">
        <f>[1]!SNLLabel(287,324688,,"&lt;&gt;362")</f>
        <v>AR: Group Life</v>
      </c>
      <c r="S998" s="366"/>
      <c r="T998" s="391" t="s">
        <v>29</v>
      </c>
    </row>
    <row r="999" spans="15:20" ht="11.25" customHeight="1" x14ac:dyDescent="0.35">
      <c r="O999" s="388" t="s">
        <v>5476</v>
      </c>
      <c r="P999" s="389" t="s">
        <v>5384</v>
      </c>
      <c r="Q999" s="389" t="str">
        <f t="shared" si="64"/>
        <v>2012Y</v>
      </c>
      <c r="R999" s="390" t="str">
        <f>[1]!SNLLabel(287,324688,,"&lt;&gt;363")</f>
        <v>AR: Individual Annuities</v>
      </c>
      <c r="S999" s="366"/>
      <c r="T999" s="391" t="s">
        <v>29</v>
      </c>
    </row>
    <row r="1000" spans="15:20" ht="11.25" customHeight="1" x14ac:dyDescent="0.35">
      <c r="O1000" s="388" t="s">
        <v>5476</v>
      </c>
      <c r="P1000" s="389" t="s">
        <v>5384</v>
      </c>
      <c r="Q1000" s="389" t="str">
        <f t="shared" si="64"/>
        <v>2012Y</v>
      </c>
      <c r="R1000" s="390" t="str">
        <f>[1]!SNLLabel(287,324688,,"&lt;&gt;364")</f>
        <v>AR: Group Annuities</v>
      </c>
      <c r="S1000" s="366"/>
      <c r="T1000" s="391" t="s">
        <v>29</v>
      </c>
    </row>
    <row r="1001" spans="15:20" ht="11.25" customHeight="1" x14ac:dyDescent="0.35">
      <c r="O1001" s="388" t="s">
        <v>5476</v>
      </c>
      <c r="P1001" s="389" t="s">
        <v>5384</v>
      </c>
      <c r="Q1001" s="389" t="str">
        <f t="shared" si="64"/>
        <v>2012Y</v>
      </c>
      <c r="R1001" s="390" t="str">
        <f>[1]!SNLLabel(287,324688,,"&lt;&gt;365")</f>
        <v>AR: Accident and Health</v>
      </c>
      <c r="S1001" s="366"/>
      <c r="T1001" s="391" t="s">
        <v>29</v>
      </c>
    </row>
    <row r="1002" spans="15:20" ht="11.25" customHeight="1" x14ac:dyDescent="0.35">
      <c r="O1002" s="388" t="s">
        <v>5476</v>
      </c>
      <c r="P1002" s="389" t="s">
        <v>5384</v>
      </c>
      <c r="Q1002" s="389" t="str">
        <f t="shared" si="64"/>
        <v>2012Y</v>
      </c>
      <c r="R1002" s="390" t="str">
        <f>[1]!SNLLabel(287,324688,,"&lt;&gt;366")</f>
        <v>AR: Fraternal</v>
      </c>
      <c r="S1002" s="366"/>
      <c r="T1002" s="391" t="s">
        <v>29</v>
      </c>
    </row>
    <row r="1003" spans="15:20" ht="11.25" customHeight="1" x14ac:dyDescent="0.35">
      <c r="O1003" s="388" t="s">
        <v>5476</v>
      </c>
      <c r="P1003" s="389" t="s">
        <v>5384</v>
      </c>
      <c r="Q1003" s="389" t="str">
        <f t="shared" si="64"/>
        <v>2012Y</v>
      </c>
      <c r="R1003" s="390" t="str">
        <f>[1]!SNLLabel(287,324688,,"&lt;&gt;367")</f>
        <v>AR: Other Lines of Business</v>
      </c>
      <c r="S1003" s="366"/>
      <c r="T1003" s="391" t="s">
        <v>29</v>
      </c>
    </row>
    <row r="1004" spans="15:20" ht="11.25" customHeight="1" x14ac:dyDescent="0.35">
      <c r="O1004" s="388" t="s">
        <v>5476</v>
      </c>
      <c r="P1004" s="389" t="s">
        <v>5384</v>
      </c>
      <c r="Q1004" s="389" t="str">
        <f t="shared" si="64"/>
        <v>2012Y</v>
      </c>
      <c r="R1004" s="390" t="str">
        <f>[1]!SNLLabel(287,324688,,"&lt;&gt;368")</f>
        <v>AR: YRT Mortality Risk Only</v>
      </c>
      <c r="S1004" s="366"/>
      <c r="T1004" s="391" t="s">
        <v>29</v>
      </c>
    </row>
    <row r="1005" spans="15:20" ht="11.25" customHeight="1" x14ac:dyDescent="0.35">
      <c r="O1005" s="388" t="s">
        <v>5476</v>
      </c>
      <c r="P1005" s="389" t="s">
        <v>5384</v>
      </c>
      <c r="Q1005" s="389" t="str">
        <f t="shared" si="64"/>
        <v>2012Y</v>
      </c>
      <c r="R1005" s="390" t="str">
        <f>[1]!SNLLabel(287,324688,,"&lt;&gt;369")</f>
        <v>AR: Individual and Group Life</v>
      </c>
      <c r="S1005" s="366"/>
      <c r="T1005" s="391" t="s">
        <v>29</v>
      </c>
    </row>
    <row r="1006" spans="15:20" ht="11.25" customHeight="1" x14ac:dyDescent="0.35">
      <c r="O1006" s="367" t="s">
        <v>5476</v>
      </c>
      <c r="P1006" s="368" t="s">
        <v>5384</v>
      </c>
      <c r="Q1006" s="368" t="str">
        <f t="shared" si="64"/>
        <v>2012Y</v>
      </c>
      <c r="R1006" s="369" t="str">
        <f>[1]!SNLLabel(287,324688,,"&lt;&gt;370")</f>
        <v>AR: Individual and Group Annuities</v>
      </c>
      <c r="S1006" s="370"/>
      <c r="T1006" s="371" t="s">
        <v>29</v>
      </c>
    </row>
    <row r="1007" spans="15:20" ht="11.25" customHeight="1" x14ac:dyDescent="0.35">
      <c r="O1007" s="384" t="s">
        <v>5476</v>
      </c>
      <c r="P1007" s="385" t="s">
        <v>5384</v>
      </c>
      <c r="Q1007" s="385" t="str">
        <f t="shared" ref="Q1007:Q1017" si="65">LEFT(Period,4)-3&amp;"Y"</f>
        <v>2011Y</v>
      </c>
      <c r="R1007" s="386" t="str">
        <f>[1]!SNLLabel(287,324688,,"&lt;&gt;360")</f>
        <v>AR: Analysis of Operations All Lines</v>
      </c>
      <c r="S1007" s="365"/>
      <c r="T1007" s="387" t="s">
        <v>29</v>
      </c>
    </row>
    <row r="1008" spans="15:20" ht="11.25" customHeight="1" x14ac:dyDescent="0.35">
      <c r="O1008" s="388" t="s">
        <v>5476</v>
      </c>
      <c r="P1008" s="389" t="s">
        <v>5384</v>
      </c>
      <c r="Q1008" s="389" t="str">
        <f t="shared" si="65"/>
        <v>2011Y</v>
      </c>
      <c r="R1008" s="390" t="str">
        <f>[1]!SNLLabel(287,324688,,"&lt;&gt;361")</f>
        <v>AR: Individual Life</v>
      </c>
      <c r="S1008" s="366"/>
      <c r="T1008" s="391" t="s">
        <v>29</v>
      </c>
    </row>
    <row r="1009" spans="15:20" ht="11.25" customHeight="1" x14ac:dyDescent="0.35">
      <c r="O1009" s="388" t="s">
        <v>5476</v>
      </c>
      <c r="P1009" s="389" t="s">
        <v>5384</v>
      </c>
      <c r="Q1009" s="389" t="str">
        <f t="shared" si="65"/>
        <v>2011Y</v>
      </c>
      <c r="R1009" s="390" t="str">
        <f>[1]!SNLLabel(287,324688,,"&lt;&gt;362")</f>
        <v>AR: Group Life</v>
      </c>
      <c r="S1009" s="366"/>
      <c r="T1009" s="391" t="s">
        <v>29</v>
      </c>
    </row>
    <row r="1010" spans="15:20" ht="11.25" customHeight="1" x14ac:dyDescent="0.35">
      <c r="O1010" s="388" t="s">
        <v>5476</v>
      </c>
      <c r="P1010" s="389" t="s">
        <v>5384</v>
      </c>
      <c r="Q1010" s="389" t="str">
        <f t="shared" si="65"/>
        <v>2011Y</v>
      </c>
      <c r="R1010" s="390" t="str">
        <f>[1]!SNLLabel(287,324688,,"&lt;&gt;363")</f>
        <v>AR: Individual Annuities</v>
      </c>
      <c r="S1010" s="366"/>
      <c r="T1010" s="391" t="s">
        <v>29</v>
      </c>
    </row>
    <row r="1011" spans="15:20" ht="11.25" customHeight="1" x14ac:dyDescent="0.35">
      <c r="O1011" s="388" t="s">
        <v>5476</v>
      </c>
      <c r="P1011" s="389" t="s">
        <v>5384</v>
      </c>
      <c r="Q1011" s="389" t="str">
        <f t="shared" si="65"/>
        <v>2011Y</v>
      </c>
      <c r="R1011" s="390" t="str">
        <f>[1]!SNLLabel(287,324688,,"&lt;&gt;364")</f>
        <v>AR: Group Annuities</v>
      </c>
      <c r="S1011" s="366"/>
      <c r="T1011" s="391" t="s">
        <v>29</v>
      </c>
    </row>
    <row r="1012" spans="15:20" ht="11.25" customHeight="1" x14ac:dyDescent="0.35">
      <c r="O1012" s="388" t="s">
        <v>5476</v>
      </c>
      <c r="P1012" s="389" t="s">
        <v>5384</v>
      </c>
      <c r="Q1012" s="389" t="str">
        <f t="shared" si="65"/>
        <v>2011Y</v>
      </c>
      <c r="R1012" s="390" t="str">
        <f>[1]!SNLLabel(287,324688,,"&lt;&gt;365")</f>
        <v>AR: Accident and Health</v>
      </c>
      <c r="S1012" s="366"/>
      <c r="T1012" s="391" t="s">
        <v>29</v>
      </c>
    </row>
    <row r="1013" spans="15:20" ht="11.25" customHeight="1" x14ac:dyDescent="0.35">
      <c r="O1013" s="388" t="s">
        <v>5476</v>
      </c>
      <c r="P1013" s="389" t="s">
        <v>5384</v>
      </c>
      <c r="Q1013" s="389" t="str">
        <f t="shared" si="65"/>
        <v>2011Y</v>
      </c>
      <c r="R1013" s="390" t="str">
        <f>[1]!SNLLabel(287,324688,,"&lt;&gt;366")</f>
        <v>AR: Fraternal</v>
      </c>
      <c r="S1013" s="366"/>
      <c r="T1013" s="391" t="s">
        <v>29</v>
      </c>
    </row>
    <row r="1014" spans="15:20" ht="11.25" customHeight="1" x14ac:dyDescent="0.35">
      <c r="O1014" s="388" t="s">
        <v>5476</v>
      </c>
      <c r="P1014" s="389" t="s">
        <v>5384</v>
      </c>
      <c r="Q1014" s="389" t="str">
        <f t="shared" si="65"/>
        <v>2011Y</v>
      </c>
      <c r="R1014" s="390" t="str">
        <f>[1]!SNLLabel(287,324688,,"&lt;&gt;367")</f>
        <v>AR: Other Lines of Business</v>
      </c>
      <c r="S1014" s="366"/>
      <c r="T1014" s="391" t="s">
        <v>29</v>
      </c>
    </row>
    <row r="1015" spans="15:20" ht="11.25" customHeight="1" x14ac:dyDescent="0.35">
      <c r="O1015" s="388" t="s">
        <v>5476</v>
      </c>
      <c r="P1015" s="389" t="s">
        <v>5384</v>
      </c>
      <c r="Q1015" s="389" t="str">
        <f t="shared" si="65"/>
        <v>2011Y</v>
      </c>
      <c r="R1015" s="390" t="str">
        <f>[1]!SNLLabel(287,324688,,"&lt;&gt;368")</f>
        <v>AR: YRT Mortality Risk Only</v>
      </c>
      <c r="S1015" s="366"/>
      <c r="T1015" s="391" t="s">
        <v>29</v>
      </c>
    </row>
    <row r="1016" spans="15:20" ht="11.25" customHeight="1" x14ac:dyDescent="0.35">
      <c r="O1016" s="388" t="s">
        <v>5476</v>
      </c>
      <c r="P1016" s="389" t="s">
        <v>5384</v>
      </c>
      <c r="Q1016" s="389" t="str">
        <f t="shared" si="65"/>
        <v>2011Y</v>
      </c>
      <c r="R1016" s="390" t="str">
        <f>[1]!SNLLabel(287,324688,,"&lt;&gt;369")</f>
        <v>AR: Individual and Group Life</v>
      </c>
      <c r="S1016" s="366"/>
      <c r="T1016" s="391" t="s">
        <v>29</v>
      </c>
    </row>
    <row r="1017" spans="15:20" ht="11.25" customHeight="1" x14ac:dyDescent="0.35">
      <c r="O1017" s="367" t="s">
        <v>5476</v>
      </c>
      <c r="P1017" s="368" t="s">
        <v>5384</v>
      </c>
      <c r="Q1017" s="368" t="str">
        <f t="shared" si="65"/>
        <v>2011Y</v>
      </c>
      <c r="R1017" s="369" t="str">
        <f>[1]!SNLLabel(287,324688,,"&lt;&gt;370")</f>
        <v>AR: Individual and Group Annuities</v>
      </c>
      <c r="S1017" s="370"/>
      <c r="T1017" s="371" t="s">
        <v>29</v>
      </c>
    </row>
    <row r="1018" spans="15:20" ht="11.25" customHeight="1" x14ac:dyDescent="0.35">
      <c r="O1018" s="384" t="s">
        <v>5476</v>
      </c>
      <c r="P1018" s="385" t="s">
        <v>5384</v>
      </c>
      <c r="Q1018" s="385" t="str">
        <f t="shared" ref="Q1018:Q1028" si="66">LEFT(Period,4)-4&amp;"Y"</f>
        <v>2010Y</v>
      </c>
      <c r="R1018" s="386" t="str">
        <f>[1]!SNLLabel(287,324688,,"&lt;&gt;360")</f>
        <v>AR: Analysis of Operations All Lines</v>
      </c>
      <c r="S1018" s="365"/>
      <c r="T1018" s="387" t="s">
        <v>29</v>
      </c>
    </row>
    <row r="1019" spans="15:20" ht="11.25" customHeight="1" x14ac:dyDescent="0.35">
      <c r="O1019" s="388" t="s">
        <v>5476</v>
      </c>
      <c r="P1019" s="389" t="s">
        <v>5384</v>
      </c>
      <c r="Q1019" s="389" t="str">
        <f t="shared" si="66"/>
        <v>2010Y</v>
      </c>
      <c r="R1019" s="390" t="str">
        <f>[1]!SNLLabel(287,324688,,"&lt;&gt;361")</f>
        <v>AR: Individual Life</v>
      </c>
      <c r="S1019" s="366"/>
      <c r="T1019" s="391" t="s">
        <v>29</v>
      </c>
    </row>
    <row r="1020" spans="15:20" ht="11.25" customHeight="1" x14ac:dyDescent="0.35">
      <c r="O1020" s="388" t="s">
        <v>5476</v>
      </c>
      <c r="P1020" s="389" t="s">
        <v>5384</v>
      </c>
      <c r="Q1020" s="389" t="str">
        <f t="shared" si="66"/>
        <v>2010Y</v>
      </c>
      <c r="R1020" s="390" t="str">
        <f>[1]!SNLLabel(287,324688,,"&lt;&gt;362")</f>
        <v>AR: Group Life</v>
      </c>
      <c r="S1020" s="366"/>
      <c r="T1020" s="391" t="s">
        <v>29</v>
      </c>
    </row>
    <row r="1021" spans="15:20" ht="11.25" customHeight="1" x14ac:dyDescent="0.35">
      <c r="O1021" s="388" t="s">
        <v>5476</v>
      </c>
      <c r="P1021" s="389" t="s">
        <v>5384</v>
      </c>
      <c r="Q1021" s="389" t="str">
        <f t="shared" si="66"/>
        <v>2010Y</v>
      </c>
      <c r="R1021" s="390" t="str">
        <f>[1]!SNLLabel(287,324688,,"&lt;&gt;363")</f>
        <v>AR: Individual Annuities</v>
      </c>
      <c r="S1021" s="366"/>
      <c r="T1021" s="391" t="s">
        <v>29</v>
      </c>
    </row>
    <row r="1022" spans="15:20" ht="11.25" customHeight="1" x14ac:dyDescent="0.35">
      <c r="O1022" s="388" t="s">
        <v>5476</v>
      </c>
      <c r="P1022" s="389" t="s">
        <v>5384</v>
      </c>
      <c r="Q1022" s="389" t="str">
        <f t="shared" si="66"/>
        <v>2010Y</v>
      </c>
      <c r="R1022" s="390" t="str">
        <f>[1]!SNLLabel(287,324688,,"&lt;&gt;364")</f>
        <v>AR: Group Annuities</v>
      </c>
      <c r="S1022" s="366"/>
      <c r="T1022" s="391" t="s">
        <v>29</v>
      </c>
    </row>
    <row r="1023" spans="15:20" ht="11.25" customHeight="1" x14ac:dyDescent="0.35">
      <c r="O1023" s="388" t="s">
        <v>5476</v>
      </c>
      <c r="P1023" s="389" t="s">
        <v>5384</v>
      </c>
      <c r="Q1023" s="389" t="str">
        <f t="shared" si="66"/>
        <v>2010Y</v>
      </c>
      <c r="R1023" s="390" t="str">
        <f>[1]!SNLLabel(287,324688,,"&lt;&gt;365")</f>
        <v>AR: Accident and Health</v>
      </c>
      <c r="S1023" s="366"/>
      <c r="T1023" s="391" t="s">
        <v>29</v>
      </c>
    </row>
    <row r="1024" spans="15:20" ht="11.25" customHeight="1" x14ac:dyDescent="0.35">
      <c r="O1024" s="388" t="s">
        <v>5476</v>
      </c>
      <c r="P1024" s="389" t="s">
        <v>5384</v>
      </c>
      <c r="Q1024" s="389" t="str">
        <f t="shared" si="66"/>
        <v>2010Y</v>
      </c>
      <c r="R1024" s="390" t="str">
        <f>[1]!SNLLabel(287,324688,,"&lt;&gt;366")</f>
        <v>AR: Fraternal</v>
      </c>
      <c r="S1024" s="366"/>
      <c r="T1024" s="391" t="s">
        <v>29</v>
      </c>
    </row>
    <row r="1025" spans="15:20" ht="11.25" customHeight="1" x14ac:dyDescent="0.35">
      <c r="O1025" s="388" t="s">
        <v>5476</v>
      </c>
      <c r="P1025" s="389" t="s">
        <v>5384</v>
      </c>
      <c r="Q1025" s="389" t="str">
        <f t="shared" si="66"/>
        <v>2010Y</v>
      </c>
      <c r="R1025" s="390" t="str">
        <f>[1]!SNLLabel(287,324688,,"&lt;&gt;367")</f>
        <v>AR: Other Lines of Business</v>
      </c>
      <c r="S1025" s="366"/>
      <c r="T1025" s="391" t="s">
        <v>29</v>
      </c>
    </row>
    <row r="1026" spans="15:20" ht="11.25" customHeight="1" x14ac:dyDescent="0.35">
      <c r="O1026" s="388" t="s">
        <v>5476</v>
      </c>
      <c r="P1026" s="389" t="s">
        <v>5384</v>
      </c>
      <c r="Q1026" s="389" t="str">
        <f t="shared" si="66"/>
        <v>2010Y</v>
      </c>
      <c r="R1026" s="390" t="str">
        <f>[1]!SNLLabel(287,324688,,"&lt;&gt;368")</f>
        <v>AR: YRT Mortality Risk Only</v>
      </c>
      <c r="S1026" s="366"/>
      <c r="T1026" s="391" t="s">
        <v>29</v>
      </c>
    </row>
    <row r="1027" spans="15:20" ht="11.25" customHeight="1" x14ac:dyDescent="0.35">
      <c r="O1027" s="388" t="s">
        <v>5476</v>
      </c>
      <c r="P1027" s="389" t="s">
        <v>5384</v>
      </c>
      <c r="Q1027" s="389" t="str">
        <f t="shared" si="66"/>
        <v>2010Y</v>
      </c>
      <c r="R1027" s="390" t="str">
        <f>[1]!SNLLabel(287,324688,,"&lt;&gt;369")</f>
        <v>AR: Individual and Group Life</v>
      </c>
      <c r="S1027" s="366"/>
      <c r="T1027" s="391" t="s">
        <v>29</v>
      </c>
    </row>
    <row r="1028" spans="15:20" ht="11.25" customHeight="1" x14ac:dyDescent="0.35">
      <c r="O1028" s="367" t="s">
        <v>5476</v>
      </c>
      <c r="P1028" s="368" t="s">
        <v>5384</v>
      </c>
      <c r="Q1028" s="368" t="str">
        <f t="shared" si="66"/>
        <v>2010Y</v>
      </c>
      <c r="R1028" s="369" t="str">
        <f>[1]!SNLLabel(287,324688,,"&lt;&gt;370")</f>
        <v>AR: Individual and Group Annuities</v>
      </c>
      <c r="S1028" s="370"/>
      <c r="T1028" s="371" t="s">
        <v>29</v>
      </c>
    </row>
  </sheetData>
  <mergeCells count="1">
    <mergeCell ref="I1:J1"/>
  </mergeCells>
  <hyperlinks>
    <hyperlink ref="I1" location="Instructions!A1" display="Instructions" xr:uid="{00000000-0004-0000-0500-000000000000}"/>
    <hyperlink ref="I1:J1" location="Instructions!A1" tooltip="Go back to Instructions tab." display="Instructions" xr:uid="{00000000-0004-0000-0500-000001000000}"/>
  </hyperlinks>
  <pageMargins left="0.5" right="0.5" top="0.5" bottom="0.5" header="0.5" footer="0.5"/>
  <pageSetup scale="80" orientation="portrait" r:id="rId1"/>
  <headerFooter alignWithMargins="0"/>
  <rowBreaks count="1" manualBreakCount="1">
    <brk id="243"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B1:T1079"/>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54.15625" style="235" bestFit="1" customWidth="1"/>
    <col min="3" max="3" width="7.68359375" style="235" hidden="1" customWidth="1" outlineLevel="1"/>
    <col min="4" max="4" width="12.68359375" style="235" customWidth="1" collapsed="1"/>
    <col min="5" max="8" width="12.68359375" style="235" customWidth="1"/>
    <col min="9" max="13" width="8.83984375" style="235"/>
    <col min="14" max="14" width="38.26171875" style="235" hidden="1" customWidth="1" outlineLevel="1"/>
    <col min="15" max="16" width="8.83984375" style="235" hidden="1" customWidth="1" outlineLevel="1"/>
    <col min="17" max="17" width="24.578125" style="235" hidden="1" customWidth="1" outlineLevel="1"/>
    <col min="18" max="18" width="8.83984375" style="235" hidden="1" customWidth="1" outlineLevel="1"/>
    <col min="19" max="19" width="8.68359375" style="235" hidden="1" customWidth="1" outlineLevel="1"/>
    <col min="20" max="20" width="8.83984375" style="235" collapsed="1"/>
    <col min="21" max="16384" width="8.83984375" style="235"/>
  </cols>
  <sheetData>
    <row r="1" spans="2:10" ht="11.25" customHeight="1" x14ac:dyDescent="0.35">
      <c r="B1" s="239"/>
      <c r="C1" s="239"/>
      <c r="D1" s="239"/>
      <c r="E1" s="239"/>
      <c r="F1" s="239"/>
      <c r="I1" s="461" t="s">
        <v>12</v>
      </c>
      <c r="J1" s="462"/>
    </row>
    <row r="2" spans="2:10" ht="15.75" customHeight="1" x14ac:dyDescent="0.5">
      <c r="B2" s="238" t="str">
        <f>Entity_Name</f>
        <v>Life Industry</v>
      </c>
    </row>
    <row r="3" spans="2:10" ht="14.1" x14ac:dyDescent="0.5">
      <c r="B3" s="240" t="s">
        <v>5356</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463"/>
      <c r="C5" s="464"/>
      <c r="D5" s="464"/>
      <c r="E5" s="464"/>
      <c r="F5" s="464"/>
      <c r="G5" s="464"/>
      <c r="H5" s="464"/>
    </row>
    <row r="6" spans="2:10" ht="11.25" hidden="1" customHeight="1" outlineLevel="1" x14ac:dyDescent="0.35">
      <c r="B6" s="254" t="str">
        <f ca="1">[1]!snltable(287,$D$6:$H$6,$C$10:$C$404,$D$7:$H$7,"NA","Options:Curr=USD,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2010Y</v>
      </c>
      <c r="E9" s="251" t="str">
        <f t="shared" ref="E9:G9" si="1">E7</f>
        <v>2011Y</v>
      </c>
      <c r="F9" s="251" t="str">
        <f t="shared" si="1"/>
        <v>2012Y</v>
      </c>
      <c r="G9" s="251" t="str">
        <f t="shared" si="1"/>
        <v>2013Y</v>
      </c>
      <c r="H9" s="251" t="str">
        <f>H7</f>
        <v>2014Y</v>
      </c>
    </row>
    <row r="10" spans="2:10" ht="11.25" customHeight="1" x14ac:dyDescent="0.35">
      <c r="B10" s="246" t="s">
        <v>4945</v>
      </c>
      <c r="C10" s="308">
        <v>202219</v>
      </c>
      <c r="D10" s="309">
        <v>40543</v>
      </c>
      <c r="E10" s="309">
        <v>40908</v>
      </c>
      <c r="F10" s="309">
        <v>41274</v>
      </c>
      <c r="G10" s="309">
        <v>41639</v>
      </c>
      <c r="H10" s="309">
        <v>42004</v>
      </c>
    </row>
    <row r="11" spans="2:10" ht="11.25" customHeight="1" x14ac:dyDescent="0.35">
      <c r="B11" s="244" t="s">
        <v>4946</v>
      </c>
      <c r="C11" s="247"/>
      <c r="D11" s="248"/>
      <c r="E11" s="248"/>
      <c r="F11" s="248"/>
      <c r="G11" s="248"/>
      <c r="H11" s="248"/>
    </row>
    <row r="12" spans="2:10" ht="11.25" customHeight="1" x14ac:dyDescent="0.35">
      <c r="B12" s="246" t="s">
        <v>4978</v>
      </c>
      <c r="C12" s="247"/>
      <c r="D12" s="248"/>
      <c r="E12" s="248"/>
      <c r="F12" s="248"/>
      <c r="G12" s="248"/>
      <c r="H12" s="248"/>
    </row>
    <row r="13" spans="2:10" ht="11.25" customHeight="1" x14ac:dyDescent="0.35">
      <c r="B13" s="244" t="s">
        <v>5155</v>
      </c>
      <c r="C13" s="245">
        <v>123585</v>
      </c>
      <c r="D13" s="278">
        <v>13.9724676</v>
      </c>
      <c r="E13" s="278">
        <v>7.5802795999999999</v>
      </c>
      <c r="F13" s="278">
        <v>3.4991146</v>
      </c>
      <c r="G13" s="278">
        <v>-10.082288500000001</v>
      </c>
      <c r="H13" s="278">
        <v>15.0578197</v>
      </c>
    </row>
    <row r="14" spans="2:10" ht="11.25" customHeight="1" x14ac:dyDescent="0.35">
      <c r="B14" s="244" t="s">
        <v>4983</v>
      </c>
      <c r="C14" s="245">
        <v>123586</v>
      </c>
      <c r="D14" s="278">
        <v>41.1985636</v>
      </c>
      <c r="E14" s="278">
        <v>39.526636600000003</v>
      </c>
      <c r="F14" s="278">
        <v>38.641255399999999</v>
      </c>
      <c r="G14" s="278">
        <v>44.5517988</v>
      </c>
      <c r="H14" s="278">
        <v>38.894212099999997</v>
      </c>
    </row>
    <row r="15" spans="2:10" ht="11.25" customHeight="1" x14ac:dyDescent="0.35">
      <c r="B15" s="244" t="s">
        <v>5154</v>
      </c>
      <c r="C15" s="245">
        <v>123587</v>
      </c>
      <c r="D15" s="278">
        <v>9.722505</v>
      </c>
      <c r="E15" s="278">
        <v>9.3311741000000001</v>
      </c>
      <c r="F15" s="278">
        <v>9.1435055999999992</v>
      </c>
      <c r="G15" s="278">
        <v>10.392281799999999</v>
      </c>
      <c r="H15" s="278">
        <v>9.1075099999999996</v>
      </c>
    </row>
    <row r="16" spans="2:10" ht="11.25" customHeight="1" x14ac:dyDescent="0.35">
      <c r="B16" s="244" t="s">
        <v>4984</v>
      </c>
      <c r="C16" s="245">
        <v>123588</v>
      </c>
      <c r="D16" s="278">
        <v>8.6932843000000002</v>
      </c>
      <c r="E16" s="278">
        <v>8.4976407999999992</v>
      </c>
      <c r="F16" s="278">
        <v>8.4096297999999994</v>
      </c>
      <c r="G16" s="278">
        <v>9.4236679999999993</v>
      </c>
      <c r="H16" s="278">
        <v>8.0435057000000008</v>
      </c>
    </row>
    <row r="17" spans="2:8" ht="11.25" customHeight="1" x14ac:dyDescent="0.35">
      <c r="B17" s="244" t="s">
        <v>4946</v>
      </c>
      <c r="C17" s="247"/>
      <c r="D17" s="248"/>
      <c r="E17" s="248"/>
      <c r="F17" s="248"/>
      <c r="G17" s="248"/>
      <c r="H17" s="248"/>
    </row>
    <row r="18" spans="2:8" ht="11.25" customHeight="1" x14ac:dyDescent="0.35">
      <c r="B18" s="246" t="s">
        <v>5153</v>
      </c>
      <c r="C18" s="247"/>
      <c r="D18" s="248"/>
      <c r="E18" s="248"/>
      <c r="F18" s="248"/>
      <c r="G18" s="248"/>
      <c r="H18" s="248"/>
    </row>
    <row r="19" spans="2:8" ht="11.25" customHeight="1" x14ac:dyDescent="0.35">
      <c r="B19" s="244" t="s">
        <v>5152</v>
      </c>
      <c r="C19" s="245">
        <v>123589</v>
      </c>
      <c r="D19" s="279">
        <v>256532921.697</v>
      </c>
      <c r="E19" s="279">
        <v>285680701.292</v>
      </c>
      <c r="F19" s="279">
        <v>306239661.86199999</v>
      </c>
      <c r="G19" s="279">
        <v>265782190.41499999</v>
      </c>
      <c r="H19" s="279">
        <v>273880407.24300003</v>
      </c>
    </row>
    <row r="20" spans="2:8" ht="11.25" customHeight="1" x14ac:dyDescent="0.35">
      <c r="B20" s="244" t="s">
        <v>5151</v>
      </c>
      <c r="C20" s="245">
        <v>123590</v>
      </c>
      <c r="D20" s="279">
        <v>356345702.76200002</v>
      </c>
      <c r="E20" s="279">
        <v>371243940.49800003</v>
      </c>
      <c r="F20" s="279">
        <v>378606439.81599998</v>
      </c>
      <c r="G20" s="279">
        <v>380847995.02100003</v>
      </c>
      <c r="H20" s="279">
        <v>388401817.458</v>
      </c>
    </row>
    <row r="21" spans="2:8" ht="11.25" customHeight="1" x14ac:dyDescent="0.35">
      <c r="B21" s="244" t="s">
        <v>5150</v>
      </c>
      <c r="C21" s="245">
        <v>123591</v>
      </c>
      <c r="D21" s="279">
        <v>-52522206.086000003</v>
      </c>
      <c r="E21" s="279">
        <v>-54102260.048</v>
      </c>
      <c r="F21" s="279">
        <v>-61437635.169</v>
      </c>
      <c r="G21" s="279">
        <v>-86515634.414000005</v>
      </c>
      <c r="H21" s="279">
        <v>-17802600.376000002</v>
      </c>
    </row>
    <row r="22" spans="2:8" ht="11.25" customHeight="1" x14ac:dyDescent="0.35">
      <c r="B22" s="244" t="s">
        <v>5149</v>
      </c>
      <c r="C22" s="247">
        <v>123592</v>
      </c>
      <c r="D22" s="279">
        <v>561897905.02600002</v>
      </c>
      <c r="E22" s="279">
        <v>604491337.15799999</v>
      </c>
      <c r="F22" s="279">
        <v>625643181.80430007</v>
      </c>
      <c r="G22" s="279">
        <v>562564031.47389197</v>
      </c>
      <c r="H22" s="279">
        <v>647273909.29062998</v>
      </c>
    </row>
    <row r="23" spans="2:8" ht="11.25" customHeight="1" x14ac:dyDescent="0.35">
      <c r="B23" s="244" t="s">
        <v>5148</v>
      </c>
      <c r="C23" s="245">
        <v>123593</v>
      </c>
      <c r="D23" s="279">
        <v>109815355.772</v>
      </c>
      <c r="E23" s="279">
        <v>111457441.351</v>
      </c>
      <c r="F23" s="279">
        <v>113806345.16600001</v>
      </c>
      <c r="G23" s="279">
        <v>113123327.93100001</v>
      </c>
      <c r="H23" s="279">
        <v>128647096.12800001</v>
      </c>
    </row>
    <row r="24" spans="2:8" ht="11.25" customHeight="1" x14ac:dyDescent="0.35">
      <c r="B24" s="244" t="s">
        <v>4946</v>
      </c>
      <c r="C24" s="247"/>
      <c r="D24" s="248"/>
      <c r="E24" s="248"/>
      <c r="F24" s="248"/>
      <c r="G24" s="248"/>
      <c r="H24" s="248"/>
    </row>
    <row r="25" spans="2:8" ht="11.25" customHeight="1" x14ac:dyDescent="0.35">
      <c r="B25" s="244" t="s">
        <v>5147</v>
      </c>
      <c r="C25" s="245">
        <v>123594</v>
      </c>
      <c r="D25" s="278">
        <v>-2.7404898000000002</v>
      </c>
      <c r="E25" s="278">
        <v>11.3621984</v>
      </c>
      <c r="F25" s="278">
        <v>7.1964820999999999</v>
      </c>
      <c r="G25" s="278">
        <v>-13.2110489</v>
      </c>
      <c r="H25" s="278">
        <v>3.0469373000000002</v>
      </c>
    </row>
    <row r="26" spans="2:8" ht="11.25" customHeight="1" x14ac:dyDescent="0.35">
      <c r="B26" s="244" t="s">
        <v>5146</v>
      </c>
      <c r="C26" s="245">
        <v>123595</v>
      </c>
      <c r="D26" s="278">
        <v>3.4773293000000001</v>
      </c>
      <c r="E26" s="278">
        <v>4.1808382999999996</v>
      </c>
      <c r="F26" s="278">
        <v>1.9831972</v>
      </c>
      <c r="G26" s="278">
        <v>0.59205419999999997</v>
      </c>
      <c r="H26" s="278">
        <v>1.9834219</v>
      </c>
    </row>
    <row r="27" spans="2:8" ht="11.25" customHeight="1" x14ac:dyDescent="0.35">
      <c r="B27" s="244" t="s">
        <v>5145</v>
      </c>
      <c r="C27" s="245">
        <v>123596</v>
      </c>
      <c r="D27" s="278" t="s">
        <v>2107</v>
      </c>
      <c r="E27" s="278" t="s">
        <v>2107</v>
      </c>
      <c r="F27" s="278" t="s">
        <v>2107</v>
      </c>
      <c r="G27" s="278" t="s">
        <v>2107</v>
      </c>
      <c r="H27" s="278" t="s">
        <v>2107</v>
      </c>
    </row>
    <row r="28" spans="2:8" ht="11.25" customHeight="1" x14ac:dyDescent="0.35">
      <c r="B28" s="244" t="s">
        <v>5144</v>
      </c>
      <c r="C28" s="245">
        <v>123597</v>
      </c>
      <c r="D28" s="278">
        <v>13.9724676</v>
      </c>
      <c r="E28" s="278">
        <v>7.5802795999999999</v>
      </c>
      <c r="F28" s="278">
        <v>3.4991146</v>
      </c>
      <c r="G28" s="278">
        <v>-10.082288500000001</v>
      </c>
      <c r="H28" s="278">
        <v>15.0578197</v>
      </c>
    </row>
    <row r="29" spans="2:8" ht="11.25" customHeight="1" x14ac:dyDescent="0.35">
      <c r="B29" s="244" t="s">
        <v>5143</v>
      </c>
      <c r="C29" s="245">
        <v>123598</v>
      </c>
      <c r="D29" s="278">
        <v>-2.3907945000000002</v>
      </c>
      <c r="E29" s="278">
        <v>1.4953151</v>
      </c>
      <c r="F29" s="278">
        <v>2.1074446</v>
      </c>
      <c r="G29" s="278">
        <v>-0.60015739999999995</v>
      </c>
      <c r="H29" s="278">
        <v>13.7228709</v>
      </c>
    </row>
    <row r="30" spans="2:8" ht="11.25" customHeight="1" x14ac:dyDescent="0.35">
      <c r="B30" s="244" t="s">
        <v>4946</v>
      </c>
      <c r="C30" s="247"/>
      <c r="D30" s="248"/>
      <c r="E30" s="248"/>
      <c r="F30" s="248"/>
      <c r="G30" s="248"/>
      <c r="H30" s="248"/>
    </row>
    <row r="31" spans="2:8" ht="11.25" customHeight="1" x14ac:dyDescent="0.35">
      <c r="B31" s="246" t="s">
        <v>5142</v>
      </c>
      <c r="C31" s="247"/>
      <c r="D31" s="248"/>
      <c r="E31" s="248"/>
      <c r="F31" s="248"/>
      <c r="G31" s="248"/>
      <c r="H31" s="248"/>
    </row>
    <row r="32" spans="2:8" ht="11.25" customHeight="1" x14ac:dyDescent="0.35">
      <c r="B32" s="244" t="s">
        <v>5140</v>
      </c>
      <c r="C32" s="245">
        <v>123599</v>
      </c>
      <c r="D32" s="278">
        <v>6.4927948000000004</v>
      </c>
      <c r="E32" s="278">
        <v>6.6807550999999998</v>
      </c>
      <c r="F32" s="278">
        <v>6.8037704999999997</v>
      </c>
      <c r="G32" s="278">
        <v>7.2498424999999997</v>
      </c>
      <c r="H32" s="278">
        <v>6.7484335</v>
      </c>
    </row>
    <row r="33" spans="2:8" ht="11.25" customHeight="1" x14ac:dyDescent="0.35">
      <c r="B33" s="244" t="s">
        <v>5139</v>
      </c>
      <c r="C33" s="245">
        <v>123600</v>
      </c>
      <c r="D33" s="278">
        <v>29.238738999999999</v>
      </c>
      <c r="E33" s="278">
        <v>28.876904799999998</v>
      </c>
      <c r="F33" s="278">
        <v>28.7498121</v>
      </c>
      <c r="G33" s="278">
        <v>28.060578700000001</v>
      </c>
      <c r="H33" s="278">
        <v>29.384380400000001</v>
      </c>
    </row>
    <row r="34" spans="2:8" ht="11.25" customHeight="1" x14ac:dyDescent="0.35">
      <c r="B34" s="244" t="s">
        <v>5138</v>
      </c>
      <c r="C34" s="245">
        <v>123601</v>
      </c>
      <c r="D34" s="278">
        <v>16.901145499999998</v>
      </c>
      <c r="E34" s="278">
        <v>16.822044000000002</v>
      </c>
      <c r="F34" s="278">
        <v>16.499701300000002</v>
      </c>
      <c r="G34" s="278">
        <v>17.0960134</v>
      </c>
      <c r="H34" s="278">
        <v>16.911910500000001</v>
      </c>
    </row>
    <row r="35" spans="2:8" ht="11.25" customHeight="1" x14ac:dyDescent="0.35">
      <c r="B35" s="244" t="s">
        <v>5137</v>
      </c>
      <c r="C35" s="245">
        <v>123602</v>
      </c>
      <c r="D35" s="278">
        <v>20.9431017</v>
      </c>
      <c r="E35" s="278">
        <v>20.829055400000001</v>
      </c>
      <c r="F35" s="278">
        <v>23.1073588</v>
      </c>
      <c r="G35" s="278">
        <v>22.783257899999999</v>
      </c>
      <c r="H35" s="278">
        <v>22.197402</v>
      </c>
    </row>
    <row r="36" spans="2:8" ht="11.25" customHeight="1" x14ac:dyDescent="0.35">
      <c r="B36" s="244" t="s">
        <v>5136</v>
      </c>
      <c r="C36" s="245">
        <v>123603</v>
      </c>
      <c r="D36" s="278">
        <v>9.3531764000000006</v>
      </c>
      <c r="E36" s="278">
        <v>9.2713505999999999</v>
      </c>
      <c r="F36" s="278">
        <v>8.8436117999999997</v>
      </c>
      <c r="G36" s="278">
        <v>9.5398282000000005</v>
      </c>
      <c r="H36" s="278">
        <v>9.5805697999999992</v>
      </c>
    </row>
    <row r="37" spans="2:8" ht="11.25" customHeight="1" x14ac:dyDescent="0.35">
      <c r="B37" s="244" t="s">
        <v>5135</v>
      </c>
      <c r="C37" s="245">
        <v>123604</v>
      </c>
      <c r="D37" s="278">
        <v>13.769125499999999</v>
      </c>
      <c r="E37" s="278">
        <v>13.4982107</v>
      </c>
      <c r="F37" s="278">
        <v>12.411683999999999</v>
      </c>
      <c r="G37" s="278">
        <v>13.378944600000001</v>
      </c>
      <c r="H37" s="278">
        <v>13.618577399999999</v>
      </c>
    </row>
    <row r="38" spans="2:8" ht="11.25" customHeight="1" x14ac:dyDescent="0.35">
      <c r="B38" s="244" t="s">
        <v>4946</v>
      </c>
      <c r="C38" s="247"/>
      <c r="D38" s="248"/>
      <c r="E38" s="248"/>
      <c r="F38" s="248"/>
      <c r="G38" s="248"/>
      <c r="H38" s="248"/>
    </row>
    <row r="39" spans="2:8" ht="11.25" customHeight="1" x14ac:dyDescent="0.35">
      <c r="B39" s="246" t="s">
        <v>5141</v>
      </c>
      <c r="C39" s="247"/>
      <c r="D39" s="248"/>
      <c r="E39" s="248"/>
      <c r="F39" s="248"/>
      <c r="G39" s="248"/>
      <c r="H39" s="248"/>
    </row>
    <row r="40" spans="2:8" ht="11.25" customHeight="1" x14ac:dyDescent="0.35">
      <c r="B40" s="244" t="s">
        <v>5140</v>
      </c>
      <c r="C40" s="245">
        <v>123862</v>
      </c>
      <c r="D40" s="278">
        <v>4.6945359</v>
      </c>
      <c r="E40" s="278">
        <v>4.7661312000000002</v>
      </c>
      <c r="F40" s="278">
        <v>4.9305057999999997</v>
      </c>
      <c r="G40" s="278">
        <v>4.9811285999999999</v>
      </c>
      <c r="H40" s="278">
        <v>4.9374517999999998</v>
      </c>
    </row>
    <row r="41" spans="2:8" ht="11.25" customHeight="1" x14ac:dyDescent="0.35">
      <c r="B41" s="244" t="s">
        <v>5139</v>
      </c>
      <c r="C41" s="245">
        <v>123863</v>
      </c>
      <c r="D41" s="278">
        <v>13.0786275</v>
      </c>
      <c r="E41" s="278">
        <v>13.1095107</v>
      </c>
      <c r="F41" s="278">
        <v>13.822926499999999</v>
      </c>
      <c r="G41" s="278">
        <v>14.541822099999999</v>
      </c>
      <c r="H41" s="278">
        <v>15.4443302</v>
      </c>
    </row>
    <row r="42" spans="2:8" ht="11.25" customHeight="1" x14ac:dyDescent="0.35">
      <c r="B42" s="244" t="s">
        <v>5138</v>
      </c>
      <c r="C42" s="245">
        <v>123864</v>
      </c>
      <c r="D42" s="278">
        <v>21.318907400000001</v>
      </c>
      <c r="E42" s="278">
        <v>20.678295500000001</v>
      </c>
      <c r="F42" s="278">
        <v>20.730680499999998</v>
      </c>
      <c r="G42" s="278">
        <v>21.476585</v>
      </c>
      <c r="H42" s="278">
        <v>21.005785500000002</v>
      </c>
    </row>
    <row r="43" spans="2:8" ht="11.25" customHeight="1" x14ac:dyDescent="0.35">
      <c r="B43" s="244" t="s">
        <v>5137</v>
      </c>
      <c r="C43" s="245">
        <v>123865</v>
      </c>
      <c r="D43" s="278">
        <v>21.4309482</v>
      </c>
      <c r="E43" s="278">
        <v>20.921502499999999</v>
      </c>
      <c r="F43" s="278">
        <v>21.067206200000001</v>
      </c>
      <c r="G43" s="278">
        <v>21.388555799999999</v>
      </c>
      <c r="H43" s="278">
        <v>21.781914400000002</v>
      </c>
    </row>
    <row r="44" spans="2:8" ht="11.25" customHeight="1" x14ac:dyDescent="0.35">
      <c r="B44" s="244" t="s">
        <v>5136</v>
      </c>
      <c r="C44" s="245">
        <v>123866</v>
      </c>
      <c r="D44" s="278">
        <v>12.788041</v>
      </c>
      <c r="E44" s="278">
        <v>12.773400199999999</v>
      </c>
      <c r="F44" s="278">
        <v>12.858475800000001</v>
      </c>
      <c r="G44" s="278">
        <v>13.6376434</v>
      </c>
      <c r="H44" s="278">
        <v>13.808043100000001</v>
      </c>
    </row>
    <row r="45" spans="2:8" ht="11.25" customHeight="1" x14ac:dyDescent="0.35">
      <c r="B45" s="244" t="s">
        <v>5135</v>
      </c>
      <c r="C45" s="245">
        <v>123867</v>
      </c>
      <c r="D45" s="278">
        <v>14.878603099999999</v>
      </c>
      <c r="E45" s="278">
        <v>14.892743899999999</v>
      </c>
      <c r="F45" s="278">
        <v>15.1249284</v>
      </c>
      <c r="G45" s="278">
        <v>15.700215399999999</v>
      </c>
      <c r="H45" s="278">
        <v>15.4170672</v>
      </c>
    </row>
    <row r="46" spans="2:8" ht="11.25" customHeight="1" x14ac:dyDescent="0.35">
      <c r="B46" s="244" t="s">
        <v>4946</v>
      </c>
      <c r="C46" s="247"/>
      <c r="D46" s="248"/>
      <c r="E46" s="248"/>
      <c r="F46" s="248"/>
      <c r="G46" s="248"/>
      <c r="H46" s="248"/>
    </row>
    <row r="47" spans="2:8" ht="11.25" customHeight="1" x14ac:dyDescent="0.35">
      <c r="B47" s="246" t="s">
        <v>5134</v>
      </c>
      <c r="C47" s="247"/>
      <c r="D47" s="248"/>
      <c r="E47" s="248"/>
      <c r="F47" s="248"/>
      <c r="G47" s="248"/>
      <c r="H47" s="248"/>
    </row>
    <row r="48" spans="2:8" ht="11.25" customHeight="1" x14ac:dyDescent="0.35">
      <c r="B48" s="292" t="s">
        <v>5477</v>
      </c>
      <c r="C48" s="247">
        <v>123592</v>
      </c>
      <c r="D48" s="279">
        <v>561897905.02600002</v>
      </c>
      <c r="E48" s="279">
        <v>604491337.15799999</v>
      </c>
      <c r="F48" s="279">
        <v>625643181.80430007</v>
      </c>
      <c r="G48" s="279">
        <v>562564031.47389197</v>
      </c>
      <c r="H48" s="279">
        <v>647273909.29062998</v>
      </c>
    </row>
    <row r="49" spans="2:8" ht="11.25" customHeight="1" x14ac:dyDescent="0.35">
      <c r="B49" s="244" t="s">
        <v>4946</v>
      </c>
      <c r="C49" s="247"/>
      <c r="D49" s="248"/>
      <c r="E49" s="248"/>
      <c r="F49" s="248"/>
      <c r="G49" s="248"/>
      <c r="H49" s="248"/>
    </row>
    <row r="50" spans="2:8" ht="11.25" customHeight="1" x14ac:dyDescent="0.35">
      <c r="B50" s="244" t="s">
        <v>5130</v>
      </c>
      <c r="C50" s="245"/>
      <c r="D50" s="278">
        <f>IF(LEFT(D$7,4)&gt;"2018",D66,D69)</f>
        <v>17.8436369</v>
      </c>
      <c r="E50" s="278">
        <f>IF(LEFT(E$7,4)&gt;"2018",E66,E69)</f>
        <v>20.3162661</v>
      </c>
      <c r="F50" s="278">
        <f>IF(LEFT(F$7,4)&gt;"2018",F66,F69)</f>
        <v>20.865614999999998</v>
      </c>
      <c r="G50" s="278">
        <f>IF(LEFT(G$7,4)&gt;"2018",G66,G69)</f>
        <v>22.3899224</v>
      </c>
      <c r="H50" s="278">
        <f>IF(LEFT(H$7,4)&gt;"2018",H66,H69)</f>
        <v>20.686921600000002</v>
      </c>
    </row>
    <row r="51" spans="2:8" ht="11.25" customHeight="1" x14ac:dyDescent="0.35">
      <c r="B51" s="244" t="s">
        <v>5129</v>
      </c>
      <c r="C51" s="245"/>
      <c r="D51" s="278">
        <f>IF(LEFT(D$7,4)&gt;"2018",D67,D70)</f>
        <v>50.955587999999999</v>
      </c>
      <c r="E51" s="278">
        <f>IF(LEFT(E$7,4)&gt;"2018",E67,E70)</f>
        <v>54.093838699999999</v>
      </c>
      <c r="F51" s="278">
        <f>IF(LEFT(F$7,4)&gt;"2018",F67,F70)</f>
        <v>54.330464300000003</v>
      </c>
      <c r="G51" s="278">
        <f>IF(LEFT(G$7,4)&gt;"2018",G67,G70)</f>
        <v>49.671565200000003</v>
      </c>
      <c r="H51" s="278">
        <f>IF(LEFT(H$7,4)&gt;"2018",H67,H70)</f>
        <v>54.5091757</v>
      </c>
    </row>
    <row r="52" spans="2:8" ht="11.25" customHeight="1" x14ac:dyDescent="0.35">
      <c r="B52" s="244" t="s">
        <v>5128</v>
      </c>
      <c r="C52" s="245"/>
      <c r="D52" s="278">
        <f>IF(LEFT(D$7,4)&gt;"2018",D62,D71)</f>
        <v>26.808485099999999</v>
      </c>
      <c r="E52" s="278">
        <f>IF(LEFT(E$7,4)&gt;"2018",E62,E71)</f>
        <v>24.9878848</v>
      </c>
      <c r="F52" s="278">
        <f>IF(LEFT(F$7,4)&gt;"2018",F62,F71)</f>
        <v>24.195375899999998</v>
      </c>
      <c r="G52" s="278">
        <f>IF(LEFT(G$7,4)&gt;"2018",G62,G71)</f>
        <v>27.247480599999999</v>
      </c>
      <c r="H52" s="278">
        <f>IF(LEFT(H$7,4)&gt;"2018",H62,H71)</f>
        <v>24.194672499999999</v>
      </c>
    </row>
    <row r="53" spans="2:8" ht="11.25" customHeight="1" x14ac:dyDescent="0.35">
      <c r="B53" s="292" t="s">
        <v>5387</v>
      </c>
      <c r="C53" s="245"/>
      <c r="D53" s="278">
        <f>IF(LEFT(D$7,4)&gt;"2018","NA",D72)</f>
        <v>0.27844089999999999</v>
      </c>
      <c r="E53" s="278">
        <f>IF(LEFT(E$7,4)&gt;"2018","NA",E72)</f>
        <v>0.2619475</v>
      </c>
      <c r="F53" s="278">
        <f>IF(LEFT(F$7,4)&gt;"2018","NA",F72)</f>
        <v>0.2488118</v>
      </c>
      <c r="G53" s="278">
        <f>IF(LEFT(G$7,4)&gt;"2018","NA",G72)</f>
        <v>0.2568976</v>
      </c>
      <c r="H53" s="278">
        <f>IF(LEFT(H$7,4)&gt;"2018","NA",H72)</f>
        <v>0.2145292</v>
      </c>
    </row>
    <row r="54" spans="2:8" ht="11.25" customHeight="1" x14ac:dyDescent="0.35">
      <c r="B54" s="244" t="s">
        <v>5127</v>
      </c>
      <c r="C54" s="245"/>
      <c r="D54" s="278">
        <f>IF(LEFT(D$7,4)&gt;"2018",IF(COUNT(D63:D65)=0,"NA",SUM(D63:D65)),D73)</f>
        <v>4.1140246999999999</v>
      </c>
      <c r="E54" s="278">
        <f>IF(LEFT(E$7,4)&gt;"2018",IF(COUNT(E63:E65)=0,"NA",SUM(E63:E65)),E73)</f>
        <v>0.34228419999999998</v>
      </c>
      <c r="F54" s="278">
        <f>IF(LEFT(F$7,4)&gt;"2018",IF(COUNT(F63:F65)=0,"NA",SUM(F63:F65)),F73)</f>
        <v>0.35920239999999998</v>
      </c>
      <c r="G54" s="278">
        <f>IF(LEFT(G$7,4)&gt;"2018",IF(COUNT(G63:G65)=0,"NA",SUM(G63:G65)),G73)</f>
        <v>0.41694809999999999</v>
      </c>
      <c r="H54" s="278">
        <f>IF(LEFT(H$7,4)&gt;"2018",IF(COUNT(H63:H65)=0,"NA",SUM(H63:H65)),H73)</f>
        <v>0.39470110000000003</v>
      </c>
    </row>
    <row r="55" spans="2:8" ht="11.25" customHeight="1" x14ac:dyDescent="0.35">
      <c r="B55" s="244" t="s">
        <v>4946</v>
      </c>
      <c r="C55" s="247"/>
      <c r="D55" s="278"/>
      <c r="E55" s="278"/>
      <c r="F55" s="278"/>
      <c r="G55" s="278"/>
      <c r="H55" s="278"/>
    </row>
    <row r="56" spans="2:8" ht="11.25" customHeight="1" x14ac:dyDescent="0.35">
      <c r="B56" s="246" t="s">
        <v>5509</v>
      </c>
      <c r="C56" s="245"/>
      <c r="D56" s="278"/>
      <c r="E56" s="278"/>
      <c r="F56" s="278"/>
      <c r="G56" s="278"/>
      <c r="H56" s="278"/>
    </row>
    <row r="57" spans="2:8" ht="11.25" customHeight="1" x14ac:dyDescent="0.35">
      <c r="B57" s="292" t="s">
        <v>5365</v>
      </c>
      <c r="C57" s="245"/>
      <c r="D57" s="278" t="str">
        <f>IFERROR(100*SUM(D76,D89)/SUM(D$76,D$89),"NA")</f>
        <v>NA</v>
      </c>
      <c r="E57" s="278" t="str">
        <f>IFERROR(100*SUM(E76,E89)/SUM(E$76,E$89),"NA")</f>
        <v>NA</v>
      </c>
      <c r="F57" s="278" t="str">
        <f>IFERROR(100*SUM(F76,F89)/SUM(F$76,F$89),"NA")</f>
        <v>NA</v>
      </c>
      <c r="G57" s="278" t="str">
        <f>IFERROR(100*SUM(G76,G89)/SUM(G$76,G$89),"NA")</f>
        <v>NA</v>
      </c>
      <c r="H57" s="278" t="str">
        <f>IFERROR(100*SUM(H76,H89)/SUM(H$76,H$89),"NA")</f>
        <v>NA</v>
      </c>
    </row>
    <row r="58" spans="2:8" ht="11.25" customHeight="1" x14ac:dyDescent="0.35">
      <c r="B58" s="244" t="s">
        <v>5366</v>
      </c>
      <c r="C58" s="245"/>
      <c r="D58" s="278" t="str">
        <f>IFERROR(100*SUM(D77,D90)/SUM(D$76,D$89),"NA")</f>
        <v>NA</v>
      </c>
      <c r="E58" s="278" t="str">
        <f>IFERROR(100*SUM(E77,E90)/SUM(E$76,E$89),"NA")</f>
        <v>NA</v>
      </c>
      <c r="F58" s="278" t="str">
        <f>IFERROR(100*SUM(F77,F90)/SUM(F$76,F$89),"NA")</f>
        <v>NA</v>
      </c>
      <c r="G58" s="278" t="str">
        <f>IFERROR(100*SUM(G77,G90)/SUM(G$76,G$89),"NA")</f>
        <v>NA</v>
      </c>
      <c r="H58" s="278" t="str">
        <f>IFERROR(100*SUM(H77,H90)/SUM(H$76,H$89),"NA")</f>
        <v>NA</v>
      </c>
    </row>
    <row r="59" spans="2:8" ht="11.25" customHeight="1" x14ac:dyDescent="0.35">
      <c r="B59" s="244" t="s">
        <v>5122</v>
      </c>
      <c r="C59" s="245"/>
      <c r="D59" s="278" t="str">
        <f>IFERROR(100*SUM(D78,D91)/SUM(D$76,D$89),"NA")</f>
        <v>NA</v>
      </c>
      <c r="E59" s="278" t="str">
        <f>IFERROR(100*SUM(E78,E91)/SUM(E$76,E$89),"NA")</f>
        <v>NA</v>
      </c>
      <c r="F59" s="278" t="str">
        <f>IFERROR(100*SUM(F78,F91)/SUM(F$76,F$89),"NA")</f>
        <v>NA</v>
      </c>
      <c r="G59" s="278" t="str">
        <f>IFERROR(100*SUM(G78,G91)/SUM(G$76,G$89),"NA")</f>
        <v>NA</v>
      </c>
      <c r="H59" s="278" t="str">
        <f>IFERROR(100*SUM(H78,H91)/SUM(H$76,H$89),"NA")</f>
        <v>NA</v>
      </c>
    </row>
    <row r="60" spans="2:8" ht="11.25" customHeight="1" x14ac:dyDescent="0.35">
      <c r="B60" s="244" t="s">
        <v>5124</v>
      </c>
      <c r="C60" s="245"/>
      <c r="D60" s="278" t="str">
        <f>IFERROR(100*SUM(D79,D92)/SUM(D$76,D$89),"NA")</f>
        <v>NA</v>
      </c>
      <c r="E60" s="278" t="str">
        <f>IFERROR(100*SUM(E79,E92)/SUM(E$76,E$89),"NA")</f>
        <v>NA</v>
      </c>
      <c r="F60" s="278" t="str">
        <f>IFERROR(100*SUM(F79,F92)/SUM(F$76,F$89),"NA")</f>
        <v>NA</v>
      </c>
      <c r="G60" s="278" t="str">
        <f>IFERROR(100*SUM(G79,G92)/SUM(G$76,G$89),"NA")</f>
        <v>NA</v>
      </c>
      <c r="H60" s="278" t="str">
        <f>IFERROR(100*SUM(H79,H92)/SUM(H$76,H$89),"NA")</f>
        <v>NA</v>
      </c>
    </row>
    <row r="61" spans="2:8" ht="11.25" customHeight="1" x14ac:dyDescent="0.35">
      <c r="B61" s="244" t="s">
        <v>5121</v>
      </c>
      <c r="C61" s="245"/>
      <c r="D61" s="278" t="str">
        <f>IFERROR(100*SUM(D80,D93)/SUM(D$76,D$89),"NA")</f>
        <v>NA</v>
      </c>
      <c r="E61" s="278" t="str">
        <f>IFERROR(100*SUM(E80,E93)/SUM(E$76,E$89),"NA")</f>
        <v>NA</v>
      </c>
      <c r="F61" s="278" t="str">
        <f>IFERROR(100*SUM(F80,F93)/SUM(F$76,F$89),"NA")</f>
        <v>NA</v>
      </c>
      <c r="G61" s="278" t="str">
        <f>IFERROR(100*SUM(G80,G93)/SUM(G$76,G$89),"NA")</f>
        <v>NA</v>
      </c>
      <c r="H61" s="278" t="str">
        <f>IFERROR(100*SUM(H80,H93)/SUM(H$76,H$89),"NA")</f>
        <v>NA</v>
      </c>
    </row>
    <row r="62" spans="2:8" ht="11.25" customHeight="1" x14ac:dyDescent="0.35">
      <c r="B62" s="244" t="s">
        <v>5367</v>
      </c>
      <c r="C62" s="245"/>
      <c r="D62" s="278" t="str">
        <f>IFERROR(100*SUM(D81,D94)/SUM(D$76,D$89),"NA")</f>
        <v>NA</v>
      </c>
      <c r="E62" s="278" t="str">
        <f>IFERROR(100*SUM(E81,E94)/SUM(E$76,E$89),"NA")</f>
        <v>NA</v>
      </c>
      <c r="F62" s="278" t="str">
        <f>IFERROR(100*SUM(F81,F94)/SUM(F$76,F$89),"NA")</f>
        <v>NA</v>
      </c>
      <c r="G62" s="278" t="str">
        <f>IFERROR(100*SUM(G81,G94)/SUM(G$76,G$89),"NA")</f>
        <v>NA</v>
      </c>
      <c r="H62" s="278" t="str">
        <f>IFERROR(100*SUM(H81,H94)/SUM(H$76,H$89),"NA")</f>
        <v>NA</v>
      </c>
    </row>
    <row r="63" spans="2:8" ht="11.25" customHeight="1" x14ac:dyDescent="0.35">
      <c r="B63" s="244" t="s">
        <v>5368</v>
      </c>
      <c r="C63" s="245"/>
      <c r="D63" s="278" t="str">
        <f>IFERROR(100*SUM(D82,D95)/SUM(D$76,D$89),"NA")</f>
        <v>NA</v>
      </c>
      <c r="E63" s="278" t="str">
        <f>IFERROR(100*SUM(E82,E95)/SUM(E$76,E$89),"NA")</f>
        <v>NA</v>
      </c>
      <c r="F63" s="278" t="str">
        <f>IFERROR(100*SUM(F82,F95)/SUM(F$76,F$89),"NA")</f>
        <v>NA</v>
      </c>
      <c r="G63" s="278" t="str">
        <f>IFERROR(100*SUM(G82,G95)/SUM(G$76,G$89),"NA")</f>
        <v>NA</v>
      </c>
      <c r="H63" s="278" t="str">
        <f>IFERROR(100*SUM(H82,H95)/SUM(H$76,H$89),"NA")</f>
        <v>NA</v>
      </c>
    </row>
    <row r="64" spans="2:8" ht="11.25" customHeight="1" x14ac:dyDescent="0.35">
      <c r="B64" s="244" t="s">
        <v>5369</v>
      </c>
      <c r="C64" s="245"/>
      <c r="D64" s="278" t="str">
        <f>IFERROR(100*SUM(D83,D96)/SUM(D$76,D$89),"NA")</f>
        <v>NA</v>
      </c>
      <c r="E64" s="278" t="str">
        <f>IFERROR(100*SUM(E83,E96)/SUM(E$76,E$89),"NA")</f>
        <v>NA</v>
      </c>
      <c r="F64" s="278" t="str">
        <f>IFERROR(100*SUM(F83,F96)/SUM(F$76,F$89),"NA")</f>
        <v>NA</v>
      </c>
      <c r="G64" s="278" t="str">
        <f>IFERROR(100*SUM(G83,G96)/SUM(G$76,G$89),"NA")</f>
        <v>NA</v>
      </c>
      <c r="H64" s="278" t="str">
        <f>IFERROR(100*SUM(H83,H96)/SUM(H$76,H$89),"NA")</f>
        <v>NA</v>
      </c>
    </row>
    <row r="65" spans="2:8" ht="11.25" customHeight="1" x14ac:dyDescent="0.35">
      <c r="B65" s="244" t="s">
        <v>5370</v>
      </c>
      <c r="C65" s="245"/>
      <c r="D65" s="278" t="str">
        <f>IFERROR(100*SUM(D84,D97)/SUM(D$76,D$89),"NA")</f>
        <v>NA</v>
      </c>
      <c r="E65" s="278" t="str">
        <f>IFERROR(100*SUM(E84,E97)/SUM(E$76,E$89),"NA")</f>
        <v>NA</v>
      </c>
      <c r="F65" s="278" t="str">
        <f>IFERROR(100*SUM(F84,F97)/SUM(F$76,F$89),"NA")</f>
        <v>NA</v>
      </c>
      <c r="G65" s="278" t="str">
        <f>IFERROR(100*SUM(G84,G97)/SUM(G$76,G$89),"NA")</f>
        <v>NA</v>
      </c>
      <c r="H65" s="278" t="str">
        <f>IFERROR(100*SUM(H84,H97)/SUM(H$76,H$89),"NA")</f>
        <v>NA</v>
      </c>
    </row>
    <row r="66" spans="2:8" ht="11.25" customHeight="1" x14ac:dyDescent="0.35">
      <c r="B66" s="244" t="s">
        <v>5371</v>
      </c>
      <c r="C66" s="245"/>
      <c r="D66" s="278" t="str">
        <f>IFERROR(100*SUM(D85,D98)/SUM(D$76,D$89),"NA")</f>
        <v>NA</v>
      </c>
      <c r="E66" s="278" t="str">
        <f>IFERROR(100*SUM(E85,E98)/SUM(E$76,E$89),"NA")</f>
        <v>NA</v>
      </c>
      <c r="F66" s="278" t="str">
        <f>IFERROR(100*SUM(F85,F98)/SUM(F$76,F$89),"NA")</f>
        <v>NA</v>
      </c>
      <c r="G66" s="278" t="str">
        <f>IFERROR(100*SUM(G85,G98)/SUM(G$76,G$89),"NA")</f>
        <v>NA</v>
      </c>
      <c r="H66" s="278" t="str">
        <f>IFERROR(100*SUM(H85,H98)/SUM(H$76,H$89),"NA")</f>
        <v>NA</v>
      </c>
    </row>
    <row r="67" spans="2:8" ht="11.25" customHeight="1" x14ac:dyDescent="0.35">
      <c r="B67" s="244" t="s">
        <v>5372</v>
      </c>
      <c r="C67" s="245"/>
      <c r="D67" s="278" t="str">
        <f>IFERROR(100*SUM(D86,D99)/SUM(D$76,D$89),"NA")</f>
        <v>NA</v>
      </c>
      <c r="E67" s="278" t="str">
        <f>IFERROR(100*SUM(E86,E99)/SUM(E$76,E$89),"NA")</f>
        <v>NA</v>
      </c>
      <c r="F67" s="278" t="str">
        <f>IFERROR(100*SUM(F86,F99)/SUM(F$76,F$89),"NA")</f>
        <v>NA</v>
      </c>
      <c r="G67" s="278" t="str">
        <f>IFERROR(100*SUM(G86,G99)/SUM(G$76,G$89),"NA")</f>
        <v>NA</v>
      </c>
      <c r="H67" s="278" t="str">
        <f>IFERROR(100*SUM(H86,H99)/SUM(H$76,H$89),"NA")</f>
        <v>NA</v>
      </c>
    </row>
    <row r="68" spans="2:8" ht="11.25" customHeight="1" x14ac:dyDescent="0.35">
      <c r="B68" s="244"/>
      <c r="C68" s="245"/>
      <c r="D68" s="278"/>
      <c r="E68" s="278"/>
      <c r="F68" s="278"/>
      <c r="G68" s="278"/>
      <c r="H68" s="278"/>
    </row>
    <row r="69" spans="2:8" ht="11.25" hidden="1" customHeight="1" outlineLevel="1" x14ac:dyDescent="0.35">
      <c r="B69" s="244" t="s">
        <v>4908</v>
      </c>
      <c r="C69" s="245">
        <v>123446</v>
      </c>
      <c r="D69" s="278">
        <v>17.8436369</v>
      </c>
      <c r="E69" s="278">
        <v>20.3162661</v>
      </c>
      <c r="F69" s="278">
        <v>20.865614999999998</v>
      </c>
      <c r="G69" s="278">
        <v>22.3899224</v>
      </c>
      <c r="H69" s="278">
        <v>20.686921600000002</v>
      </c>
    </row>
    <row r="70" spans="2:8" ht="11.25" hidden="1" customHeight="1" outlineLevel="1" x14ac:dyDescent="0.35">
      <c r="B70" s="244" t="s">
        <v>4975</v>
      </c>
      <c r="C70" s="245">
        <v>123447</v>
      </c>
      <c r="D70" s="278">
        <v>50.955587999999999</v>
      </c>
      <c r="E70" s="278">
        <v>54.093838699999999</v>
      </c>
      <c r="F70" s="278">
        <v>54.330464300000003</v>
      </c>
      <c r="G70" s="278">
        <v>49.671565200000003</v>
      </c>
      <c r="H70" s="278">
        <v>54.5091757</v>
      </c>
    </row>
    <row r="71" spans="2:8" ht="11.25" hidden="1" customHeight="1" outlineLevel="1" x14ac:dyDescent="0.35">
      <c r="B71" s="244" t="s">
        <v>4976</v>
      </c>
      <c r="C71" s="245">
        <v>123448</v>
      </c>
      <c r="D71" s="278">
        <v>26.808485099999999</v>
      </c>
      <c r="E71" s="278">
        <v>24.9878848</v>
      </c>
      <c r="F71" s="278">
        <v>24.195375899999998</v>
      </c>
      <c r="G71" s="278">
        <v>27.247480599999999</v>
      </c>
      <c r="H71" s="278">
        <v>24.194672499999999</v>
      </c>
    </row>
    <row r="72" spans="2:8" ht="11.25" hidden="1" customHeight="1" outlineLevel="1" x14ac:dyDescent="0.35">
      <c r="B72" s="244" t="s">
        <v>5385</v>
      </c>
      <c r="C72" s="245">
        <v>123449</v>
      </c>
      <c r="D72" s="278">
        <v>0.27844089999999999</v>
      </c>
      <c r="E72" s="278">
        <v>0.2619475</v>
      </c>
      <c r="F72" s="278">
        <v>0.2488118</v>
      </c>
      <c r="G72" s="278">
        <v>0.2568976</v>
      </c>
      <c r="H72" s="278">
        <v>0.2145292</v>
      </c>
    </row>
    <row r="73" spans="2:8" ht="11.25" hidden="1" customHeight="1" outlineLevel="1" x14ac:dyDescent="0.35">
      <c r="B73" s="244" t="s">
        <v>4977</v>
      </c>
      <c r="C73" s="245">
        <v>123450</v>
      </c>
      <c r="D73" s="278">
        <v>4.1140246999999999</v>
      </c>
      <c r="E73" s="278">
        <v>0.34228419999999998</v>
      </c>
      <c r="F73" s="278">
        <v>0.35920239999999998</v>
      </c>
      <c r="G73" s="278">
        <v>0.41694809999999999</v>
      </c>
      <c r="H73" s="278">
        <v>0.39470110000000003</v>
      </c>
    </row>
    <row r="74" spans="2:8" ht="11.25" hidden="1" customHeight="1" outlineLevel="1" x14ac:dyDescent="0.35">
      <c r="B74" s="244"/>
      <c r="C74" s="245"/>
      <c r="D74" s="278"/>
      <c r="E74" s="278"/>
      <c r="F74" s="278"/>
      <c r="G74" s="278"/>
      <c r="H74" s="278"/>
    </row>
    <row r="75" spans="2:8" s="302" customFormat="1" ht="11.25" hidden="1" customHeight="1" outlineLevel="1" x14ac:dyDescent="0.35">
      <c r="B75" s="246" t="s">
        <v>5458</v>
      </c>
      <c r="C75" s="247"/>
      <c r="D75" s="335"/>
      <c r="E75" s="335"/>
      <c r="F75" s="335"/>
      <c r="G75" s="335"/>
      <c r="H75" s="335"/>
    </row>
    <row r="76" spans="2:8" s="302" customFormat="1" ht="11.25" hidden="1" customHeight="1" outlineLevel="1" x14ac:dyDescent="0.35">
      <c r="B76" s="292" t="s">
        <v>5365</v>
      </c>
      <c r="C76" s="247"/>
      <c r="D76" s="279" t="str">
        <f>IF(S453="","",S453)</f>
        <v>NA</v>
      </c>
      <c r="E76" s="279" t="str">
        <f>IF(S442="","",S442)</f>
        <v>NA</v>
      </c>
      <c r="F76" s="279" t="str">
        <f>IF(S431="","",S431)</f>
        <v>NA</v>
      </c>
      <c r="G76" s="279" t="str">
        <f>IF(S420="","",S420)</f>
        <v>NA</v>
      </c>
      <c r="H76" s="279" t="str">
        <f>IF(S409="","",S409)</f>
        <v>NA</v>
      </c>
    </row>
    <row r="77" spans="2:8" ht="11.25" hidden="1" customHeight="1" outlineLevel="1" x14ac:dyDescent="0.35">
      <c r="B77" s="244" t="s">
        <v>5366</v>
      </c>
      <c r="C77" s="245"/>
      <c r="D77" s="279" t="str">
        <f>IF(S454="","",S454)</f>
        <v>NA</v>
      </c>
      <c r="E77" s="279" t="str">
        <f>IF(S443="","",S443)</f>
        <v>NA</v>
      </c>
      <c r="F77" s="279" t="str">
        <f>IF(S432="","",S432)</f>
        <v>NA</v>
      </c>
      <c r="G77" s="279" t="str">
        <f>IF(S421="","",S421)</f>
        <v>NA</v>
      </c>
      <c r="H77" s="279" t="str">
        <f>IF(S410="","",S410)</f>
        <v>NA</v>
      </c>
    </row>
    <row r="78" spans="2:8" ht="11.25" hidden="1" customHeight="1" outlineLevel="1" x14ac:dyDescent="0.35">
      <c r="B78" s="244" t="s">
        <v>5122</v>
      </c>
      <c r="C78" s="245"/>
      <c r="D78" s="279" t="str">
        <f>IF(S455="","",S455)</f>
        <v>NA</v>
      </c>
      <c r="E78" s="279" t="str">
        <f>IF(S444="","",S444)</f>
        <v>NA</v>
      </c>
      <c r="F78" s="279" t="str">
        <f>IF(S433="","",S433)</f>
        <v>NA</v>
      </c>
      <c r="G78" s="279" t="str">
        <f>IF(S422="","",S422)</f>
        <v>NA</v>
      </c>
      <c r="H78" s="279" t="str">
        <f>IF(S411="","",S411)</f>
        <v>NA</v>
      </c>
    </row>
    <row r="79" spans="2:8" ht="11.25" hidden="1" customHeight="1" outlineLevel="1" x14ac:dyDescent="0.35">
      <c r="B79" s="244" t="s">
        <v>5124</v>
      </c>
      <c r="C79" s="245"/>
      <c r="D79" s="279" t="str">
        <f>IF(S456="","",S456)</f>
        <v>NA</v>
      </c>
      <c r="E79" s="279" t="str">
        <f>IF(S445="","",S445)</f>
        <v>NA</v>
      </c>
      <c r="F79" s="279" t="str">
        <f>IF(S434="","",S434)</f>
        <v>NA</v>
      </c>
      <c r="G79" s="279" t="str">
        <f>IF(S423="","",S423)</f>
        <v>NA</v>
      </c>
      <c r="H79" s="279" t="str">
        <f>IF(S412="","",S412)</f>
        <v>NA</v>
      </c>
    </row>
    <row r="80" spans="2:8" ht="11.25" hidden="1" customHeight="1" outlineLevel="1" x14ac:dyDescent="0.35">
      <c r="B80" s="244" t="s">
        <v>5121</v>
      </c>
      <c r="C80" s="245"/>
      <c r="D80" s="279" t="str">
        <f>IF(S457="","",S457)</f>
        <v>NA</v>
      </c>
      <c r="E80" s="279" t="str">
        <f>IF(S446="","",S446)</f>
        <v>NA</v>
      </c>
      <c r="F80" s="279" t="str">
        <f>IF(S435="","",S435)</f>
        <v>NA</v>
      </c>
      <c r="G80" s="279" t="str">
        <f>IF(S424="","",S424)</f>
        <v>NA</v>
      </c>
      <c r="H80" s="279" t="str">
        <f>IF(S413="","",S413)</f>
        <v>NA</v>
      </c>
    </row>
    <row r="81" spans="2:8" ht="11.25" hidden="1" customHeight="1" outlineLevel="1" x14ac:dyDescent="0.35">
      <c r="B81" s="244" t="s">
        <v>5367</v>
      </c>
      <c r="C81" s="245"/>
      <c r="D81" s="279" t="str">
        <f>IF(S458="","",S458)</f>
        <v>NA</v>
      </c>
      <c r="E81" s="279" t="str">
        <f>IF(S447="","",S447)</f>
        <v>NA</v>
      </c>
      <c r="F81" s="279" t="str">
        <f>IF(S436="","",S436)</f>
        <v>NA</v>
      </c>
      <c r="G81" s="279" t="str">
        <f>IF(S425="","",S425)</f>
        <v>NA</v>
      </c>
      <c r="H81" s="279" t="str">
        <f>IF(S414="","",S414)</f>
        <v>NA</v>
      </c>
    </row>
    <row r="82" spans="2:8" ht="11.25" hidden="1" customHeight="1" outlineLevel="1" x14ac:dyDescent="0.35">
      <c r="B82" s="244" t="s">
        <v>5368</v>
      </c>
      <c r="C82" s="245"/>
      <c r="D82" s="279" t="str">
        <f>IF(S459="","",S459)</f>
        <v>NA</v>
      </c>
      <c r="E82" s="279" t="str">
        <f>IF(S448="","",S448)</f>
        <v>NA</v>
      </c>
      <c r="F82" s="279" t="str">
        <f>IF(S437="","",S437)</f>
        <v>NA</v>
      </c>
      <c r="G82" s="279" t="str">
        <f>IF(S426="","",S426)</f>
        <v>NA</v>
      </c>
      <c r="H82" s="279" t="str">
        <f>IF(S415="","",S415)</f>
        <v>NA</v>
      </c>
    </row>
    <row r="83" spans="2:8" ht="11.25" hidden="1" customHeight="1" outlineLevel="1" x14ac:dyDescent="0.35">
      <c r="B83" s="244" t="s">
        <v>5369</v>
      </c>
      <c r="C83" s="245"/>
      <c r="D83" s="279" t="str">
        <f>IF(S460="","",S460)</f>
        <v>NA</v>
      </c>
      <c r="E83" s="279" t="str">
        <f>IF(S449="","",S449)</f>
        <v>NA</v>
      </c>
      <c r="F83" s="279" t="str">
        <f>IF(S438="","",S438)</f>
        <v>NA</v>
      </c>
      <c r="G83" s="279" t="str">
        <f>IF(S427="","",S427)</f>
        <v>NA</v>
      </c>
      <c r="H83" s="279" t="str">
        <f>IF(S416="","",S416)</f>
        <v>NA</v>
      </c>
    </row>
    <row r="84" spans="2:8" ht="11.25" hidden="1" customHeight="1" outlineLevel="1" x14ac:dyDescent="0.35">
      <c r="B84" s="244" t="s">
        <v>5370</v>
      </c>
      <c r="C84" s="245"/>
      <c r="D84" s="279" t="str">
        <f>IF(S461="","",S461)</f>
        <v>NA</v>
      </c>
      <c r="E84" s="279" t="str">
        <f>IF(S450="","",S450)</f>
        <v>NA</v>
      </c>
      <c r="F84" s="279" t="str">
        <f>IF(S439="","",S439)</f>
        <v>NA</v>
      </c>
      <c r="G84" s="279" t="str">
        <f>IF(S428="","",S428)</f>
        <v>NA</v>
      </c>
      <c r="H84" s="279" t="str">
        <f>IF(S417="","",S417)</f>
        <v>NA</v>
      </c>
    </row>
    <row r="85" spans="2:8" ht="11.25" hidden="1" customHeight="1" outlineLevel="1" x14ac:dyDescent="0.35">
      <c r="B85" s="244" t="s">
        <v>5371</v>
      </c>
      <c r="C85" s="245"/>
      <c r="D85" s="279" t="str">
        <f>IF(S462="","",S462)</f>
        <v>NA</v>
      </c>
      <c r="E85" s="279" t="str">
        <f>IF(S451="","",S451)</f>
        <v>NA</v>
      </c>
      <c r="F85" s="279" t="str">
        <f>IF(S440="","",S440)</f>
        <v>NA</v>
      </c>
      <c r="G85" s="279" t="str">
        <f>IF(S429="","",S429)</f>
        <v>NA</v>
      </c>
      <c r="H85" s="279" t="str">
        <f>IF(S418="","",S418)</f>
        <v>NA</v>
      </c>
    </row>
    <row r="86" spans="2:8" ht="11.25" hidden="1" customHeight="1" outlineLevel="1" x14ac:dyDescent="0.35">
      <c r="B86" s="244" t="s">
        <v>5372</v>
      </c>
      <c r="C86" s="245"/>
      <c r="D86" s="279" t="str">
        <f>IF(S463="","",S463)</f>
        <v>NA</v>
      </c>
      <c r="E86" s="279" t="str">
        <f>IF(S452="","",S452)</f>
        <v>NA</v>
      </c>
      <c r="F86" s="279" t="str">
        <f>IF(S441="","",S441)</f>
        <v>NA</v>
      </c>
      <c r="G86" s="279" t="str">
        <f>IF(S430="","",S430)</f>
        <v>NA</v>
      </c>
      <c r="H86" s="279" t="str">
        <f>IF(S419="","",S419)</f>
        <v>NA</v>
      </c>
    </row>
    <row r="87" spans="2:8" ht="11.25" hidden="1" customHeight="1" outlineLevel="1" x14ac:dyDescent="0.35">
      <c r="B87" s="244"/>
      <c r="C87" s="245"/>
      <c r="D87" s="404"/>
      <c r="E87" s="404"/>
      <c r="F87" s="404"/>
      <c r="G87" s="404"/>
      <c r="H87" s="404"/>
    </row>
    <row r="88" spans="2:8" ht="11.25" hidden="1" customHeight="1" outlineLevel="1" x14ac:dyDescent="0.35">
      <c r="B88" s="246" t="s">
        <v>5459</v>
      </c>
      <c r="C88" s="245"/>
      <c r="D88" s="279"/>
      <c r="E88" s="279"/>
      <c r="F88" s="279"/>
      <c r="G88" s="279"/>
      <c r="H88" s="279"/>
    </row>
    <row r="89" spans="2:8" ht="11.25" hidden="1" customHeight="1" outlineLevel="1" x14ac:dyDescent="0.35">
      <c r="B89" s="292" t="s">
        <v>5365</v>
      </c>
      <c r="C89" s="245"/>
      <c r="D89" s="279" t="str">
        <f>IF(S509="","",S509)</f>
        <v>NA</v>
      </c>
      <c r="E89" s="279" t="str">
        <f>IF(S498="","",S498)</f>
        <v>NA</v>
      </c>
      <c r="F89" s="279" t="str">
        <f>IF(S487="","",S487)</f>
        <v>NA</v>
      </c>
      <c r="G89" s="279" t="str">
        <f>IF(S476="","",S476)</f>
        <v>NA</v>
      </c>
      <c r="H89" s="279" t="str">
        <f>IF(S465="","",S465)</f>
        <v>NA</v>
      </c>
    </row>
    <row r="90" spans="2:8" ht="11.25" hidden="1" customHeight="1" outlineLevel="1" x14ac:dyDescent="0.35">
      <c r="B90" s="244" t="s">
        <v>5366</v>
      </c>
      <c r="C90" s="245"/>
      <c r="D90" s="279" t="str">
        <f>IF(S510="","",S510)</f>
        <v>NA</v>
      </c>
      <c r="E90" s="279" t="str">
        <f>IF(S499="","",S499)</f>
        <v>NA</v>
      </c>
      <c r="F90" s="279" t="str">
        <f>IF(S488="","",S488)</f>
        <v>NA</v>
      </c>
      <c r="G90" s="279" t="str">
        <f>IF(S477="","",S477)</f>
        <v>NA</v>
      </c>
      <c r="H90" s="279" t="str">
        <f>IF(S466="","",S466)</f>
        <v>NA</v>
      </c>
    </row>
    <row r="91" spans="2:8" ht="11.25" hidden="1" customHeight="1" outlineLevel="1" x14ac:dyDescent="0.35">
      <c r="B91" s="244" t="s">
        <v>5122</v>
      </c>
      <c r="C91" s="245"/>
      <c r="D91" s="279" t="str">
        <f>IF(S511="","",S511)</f>
        <v>NA</v>
      </c>
      <c r="E91" s="279" t="str">
        <f>IF(S500="","",S500)</f>
        <v>NA</v>
      </c>
      <c r="F91" s="279" t="str">
        <f>IF(S489="","",S489)</f>
        <v>NA</v>
      </c>
      <c r="G91" s="279" t="str">
        <f>IF(S478="","",S478)</f>
        <v>NA</v>
      </c>
      <c r="H91" s="279" t="str">
        <f>IF(S467="","",S467)</f>
        <v>NA</v>
      </c>
    </row>
    <row r="92" spans="2:8" ht="11.25" hidden="1" customHeight="1" outlineLevel="1" x14ac:dyDescent="0.35">
      <c r="B92" s="244" t="s">
        <v>5124</v>
      </c>
      <c r="C92" s="245"/>
      <c r="D92" s="279" t="str">
        <f>IF(S512="","",S512)</f>
        <v>NA</v>
      </c>
      <c r="E92" s="279" t="str">
        <f>IF(S501="","",S501)</f>
        <v>NA</v>
      </c>
      <c r="F92" s="279" t="str">
        <f>IF(S490="","",S490)</f>
        <v>NA</v>
      </c>
      <c r="G92" s="279" t="str">
        <f>IF(S479="","",S479)</f>
        <v>NA</v>
      </c>
      <c r="H92" s="279" t="str">
        <f>IF(S468="","",S468)</f>
        <v>NA</v>
      </c>
    </row>
    <row r="93" spans="2:8" ht="11.25" hidden="1" customHeight="1" outlineLevel="1" x14ac:dyDescent="0.35">
      <c r="B93" s="244" t="s">
        <v>5121</v>
      </c>
      <c r="C93" s="245"/>
      <c r="D93" s="279" t="str">
        <f>IF(S513="","",S513)</f>
        <v>NA</v>
      </c>
      <c r="E93" s="279" t="str">
        <f>IF(S502="","",S502)</f>
        <v>NA</v>
      </c>
      <c r="F93" s="279" t="str">
        <f>IF(S491="","",S491)</f>
        <v>NA</v>
      </c>
      <c r="G93" s="279" t="str">
        <f>IF(S480="","",S480)</f>
        <v>NA</v>
      </c>
      <c r="H93" s="279" t="str">
        <f>IF(S469="","",S469)</f>
        <v>NA</v>
      </c>
    </row>
    <row r="94" spans="2:8" ht="11.25" hidden="1" customHeight="1" outlineLevel="1" x14ac:dyDescent="0.35">
      <c r="B94" s="244" t="s">
        <v>5367</v>
      </c>
      <c r="C94" s="245"/>
      <c r="D94" s="279" t="str">
        <f>IF(S514="","",S514)</f>
        <v>NA</v>
      </c>
      <c r="E94" s="279" t="str">
        <f>IF(S503="","",S503)</f>
        <v>NA</v>
      </c>
      <c r="F94" s="279" t="str">
        <f>IF(S492="","",S492)</f>
        <v>NA</v>
      </c>
      <c r="G94" s="279" t="str">
        <f>IF(S481="","",S481)</f>
        <v>NA</v>
      </c>
      <c r="H94" s="279" t="str">
        <f>IF(S470="","",S470)</f>
        <v>NA</v>
      </c>
    </row>
    <row r="95" spans="2:8" ht="11.25" hidden="1" customHeight="1" outlineLevel="1" x14ac:dyDescent="0.35">
      <c r="B95" s="244" t="s">
        <v>5368</v>
      </c>
      <c r="C95" s="245"/>
      <c r="D95" s="279" t="str">
        <f>IF(S515="","",S515)</f>
        <v>NA</v>
      </c>
      <c r="E95" s="279" t="str">
        <f>IF(S504="","",S504)</f>
        <v>NA</v>
      </c>
      <c r="F95" s="279" t="str">
        <f>IF(S493="","",S493)</f>
        <v>NA</v>
      </c>
      <c r="G95" s="279" t="str">
        <f>IF(S482="","",S482)</f>
        <v>NA</v>
      </c>
      <c r="H95" s="279" t="str">
        <f>IF(S471="","",S471)</f>
        <v>NA</v>
      </c>
    </row>
    <row r="96" spans="2:8" ht="11.25" hidden="1" customHeight="1" outlineLevel="1" x14ac:dyDescent="0.35">
      <c r="B96" s="244" t="s">
        <v>5369</v>
      </c>
      <c r="C96" s="245"/>
      <c r="D96" s="279" t="str">
        <f>IF(S516="","",S516)</f>
        <v>NA</v>
      </c>
      <c r="E96" s="279" t="str">
        <f>IF(S505="","",S505)</f>
        <v>NA</v>
      </c>
      <c r="F96" s="279" t="str">
        <f>IF(S494="","",S494)</f>
        <v>NA</v>
      </c>
      <c r="G96" s="279" t="str">
        <f>IF(S483="","",S483)</f>
        <v>NA</v>
      </c>
      <c r="H96" s="279" t="str">
        <f>IF(S472="","",S472)</f>
        <v>NA</v>
      </c>
    </row>
    <row r="97" spans="2:8" ht="11.25" hidden="1" customHeight="1" outlineLevel="1" x14ac:dyDescent="0.35">
      <c r="B97" s="244" t="s">
        <v>5370</v>
      </c>
      <c r="C97" s="245"/>
      <c r="D97" s="279" t="str">
        <f>IF(S517="","",S517)</f>
        <v>NA</v>
      </c>
      <c r="E97" s="279" t="str">
        <f>IF(S506="","",S506)</f>
        <v>NA</v>
      </c>
      <c r="F97" s="279" t="str">
        <f>IF(S495="","",S495)</f>
        <v>NA</v>
      </c>
      <c r="G97" s="279" t="str">
        <f>IF(S484="","",S484)</f>
        <v>NA</v>
      </c>
      <c r="H97" s="279" t="str">
        <f>IF(S473="","",S473)</f>
        <v>NA</v>
      </c>
    </row>
    <row r="98" spans="2:8" ht="11.25" hidden="1" customHeight="1" outlineLevel="1" x14ac:dyDescent="0.35">
      <c r="B98" s="244" t="s">
        <v>5371</v>
      </c>
      <c r="C98" s="245"/>
      <c r="D98" s="279" t="str">
        <f>IF(S518="","",S518)</f>
        <v>NA</v>
      </c>
      <c r="E98" s="279" t="str">
        <f>IF(S507="","",S507)</f>
        <v>NA</v>
      </c>
      <c r="F98" s="279" t="str">
        <f>IF(S496="","",S496)</f>
        <v>NA</v>
      </c>
      <c r="G98" s="279" t="str">
        <f>IF(S485="","",S485)</f>
        <v>NA</v>
      </c>
      <c r="H98" s="279" t="str">
        <f>IF(S474="","",S474)</f>
        <v>NA</v>
      </c>
    </row>
    <row r="99" spans="2:8" ht="11.25" hidden="1" customHeight="1" outlineLevel="1" x14ac:dyDescent="0.35">
      <c r="B99" s="244" t="s">
        <v>5372</v>
      </c>
      <c r="C99" s="245"/>
      <c r="D99" s="279" t="str">
        <f>IF(S519="","",S519)</f>
        <v>NA</v>
      </c>
      <c r="E99" s="279" t="str">
        <f>IF(S508="","",S508)</f>
        <v>NA</v>
      </c>
      <c r="F99" s="279" t="str">
        <f>IF(S497="","",S497)</f>
        <v>NA</v>
      </c>
      <c r="G99" s="279" t="str">
        <f>IF(S486="","",S486)</f>
        <v>NA</v>
      </c>
      <c r="H99" s="279" t="str">
        <f>IF(S475="","",S475)</f>
        <v>NA</v>
      </c>
    </row>
    <row r="100" spans="2:8" ht="11.25" hidden="1" customHeight="1" outlineLevel="1" x14ac:dyDescent="0.35">
      <c r="B100" s="301"/>
      <c r="C100" s="247"/>
      <c r="D100" s="278"/>
      <c r="E100" s="278"/>
      <c r="F100" s="278"/>
      <c r="G100" s="278"/>
      <c r="H100" s="278"/>
    </row>
    <row r="101" spans="2:8" s="342" customFormat="1" ht="11.25" customHeight="1" collapsed="1" x14ac:dyDescent="0.35">
      <c r="B101" s="246" t="s">
        <v>5510</v>
      </c>
      <c r="C101" s="247"/>
      <c r="D101" s="278"/>
      <c r="E101" s="278"/>
      <c r="F101" s="278"/>
      <c r="G101" s="278"/>
      <c r="H101" s="278"/>
    </row>
    <row r="102" spans="2:8" ht="11.25" customHeight="1" x14ac:dyDescent="0.35">
      <c r="B102" s="292" t="s">
        <v>5126</v>
      </c>
      <c r="C102" s="245">
        <v>123626</v>
      </c>
      <c r="D102" s="278">
        <v>-0.1540646</v>
      </c>
      <c r="E102" s="278">
        <v>1.7537400000000002E-2</v>
      </c>
      <c r="F102" s="278">
        <v>2.6492999999999999E-2</v>
      </c>
      <c r="G102" s="278">
        <v>6.8098800000000001E-2</v>
      </c>
      <c r="H102" s="278">
        <v>8.4861800000000001E-2</v>
      </c>
    </row>
    <row r="103" spans="2:8" ht="11.25" customHeight="1" x14ac:dyDescent="0.35">
      <c r="B103" s="292" t="s">
        <v>5125</v>
      </c>
      <c r="C103" s="245">
        <v>123630</v>
      </c>
      <c r="D103" s="278">
        <v>13.6851687</v>
      </c>
      <c r="E103" s="278">
        <v>16.009401199999999</v>
      </c>
      <c r="F103" s="278">
        <v>16.308352899999999</v>
      </c>
      <c r="G103" s="278">
        <v>17.580470999999999</v>
      </c>
      <c r="H103" s="278">
        <v>16.269603700000001</v>
      </c>
    </row>
    <row r="104" spans="2:8" ht="11.25" customHeight="1" x14ac:dyDescent="0.35">
      <c r="B104" s="292" t="s">
        <v>5124</v>
      </c>
      <c r="C104" s="245">
        <v>123634</v>
      </c>
      <c r="D104" s="278">
        <v>32.502367399999997</v>
      </c>
      <c r="E104" s="278">
        <v>34.726450700000001</v>
      </c>
      <c r="F104" s="278">
        <v>28.9410521</v>
      </c>
      <c r="G104" s="278">
        <v>30.455109799999999</v>
      </c>
      <c r="H104" s="278">
        <v>36.851180800000002</v>
      </c>
    </row>
    <row r="105" spans="2:8" ht="11.25" customHeight="1" x14ac:dyDescent="0.35">
      <c r="B105" s="292" t="s">
        <v>5123</v>
      </c>
      <c r="C105" s="245">
        <v>123642</v>
      </c>
      <c r="D105" s="278">
        <v>0.1486007</v>
      </c>
      <c r="E105" s="278">
        <v>0.14448459999999999</v>
      </c>
      <c r="F105" s="278">
        <v>0.133323</v>
      </c>
      <c r="G105" s="278">
        <v>0.12804550000000001</v>
      </c>
      <c r="H105" s="278">
        <v>0.10547910000000001</v>
      </c>
    </row>
    <row r="106" spans="2:8" ht="11.25" customHeight="1" x14ac:dyDescent="0.35">
      <c r="B106" s="292" t="s">
        <v>5122</v>
      </c>
      <c r="C106" s="245">
        <v>123646</v>
      </c>
      <c r="D106" s="278">
        <v>4.3125327999999996</v>
      </c>
      <c r="E106" s="278">
        <v>4.2893274000000003</v>
      </c>
      <c r="F106" s="278">
        <v>4.5307690000000003</v>
      </c>
      <c r="G106" s="278">
        <v>4.7413525999999999</v>
      </c>
      <c r="H106" s="278">
        <v>4.3324560999999999</v>
      </c>
    </row>
    <row r="107" spans="2:8" ht="11.25" customHeight="1" x14ac:dyDescent="0.35">
      <c r="B107" s="292" t="s">
        <v>5121</v>
      </c>
      <c r="C107" s="245">
        <v>123650</v>
      </c>
      <c r="D107" s="278">
        <v>18.4532205</v>
      </c>
      <c r="E107" s="278">
        <v>19.367387900000001</v>
      </c>
      <c r="F107" s="278">
        <v>25.389412199999999</v>
      </c>
      <c r="G107" s="278">
        <v>19.216455400000001</v>
      </c>
      <c r="H107" s="278">
        <v>17.657994899999998</v>
      </c>
    </row>
    <row r="108" spans="2:8" ht="11.25" customHeight="1" x14ac:dyDescent="0.35">
      <c r="B108" s="292" t="s">
        <v>5120</v>
      </c>
      <c r="C108" s="245">
        <v>123654</v>
      </c>
      <c r="D108" s="278">
        <v>14.9728095</v>
      </c>
      <c r="E108" s="278">
        <v>14.010680600000001</v>
      </c>
      <c r="F108" s="278">
        <v>13.7895153</v>
      </c>
      <c r="G108" s="278">
        <v>15.7950024</v>
      </c>
      <c r="H108" s="278">
        <v>13.9761629</v>
      </c>
    </row>
    <row r="109" spans="2:8" ht="11.25" customHeight="1" x14ac:dyDescent="0.35">
      <c r="B109" s="292" t="s">
        <v>5119</v>
      </c>
      <c r="C109" s="245">
        <v>123658</v>
      </c>
      <c r="D109" s="278">
        <v>0.12984019999999999</v>
      </c>
      <c r="E109" s="278">
        <v>0.1174629</v>
      </c>
      <c r="F109" s="278">
        <v>0.1154888</v>
      </c>
      <c r="G109" s="278">
        <v>0.1288522</v>
      </c>
      <c r="H109" s="278">
        <v>0.1090501</v>
      </c>
    </row>
    <row r="110" spans="2:8" ht="11.25" customHeight="1" x14ac:dyDescent="0.35">
      <c r="B110" s="292" t="s">
        <v>5107</v>
      </c>
      <c r="C110" s="245">
        <v>123662</v>
      </c>
      <c r="D110" s="278">
        <v>11.8356756</v>
      </c>
      <c r="E110" s="278">
        <v>10.9772041</v>
      </c>
      <c r="F110" s="278">
        <v>10.4058606</v>
      </c>
      <c r="G110" s="278">
        <v>11.4524781</v>
      </c>
      <c r="H110" s="278">
        <v>10.2185095</v>
      </c>
    </row>
    <row r="111" spans="2:8" ht="11.25" customHeight="1" x14ac:dyDescent="0.35">
      <c r="B111" s="292" t="s">
        <v>4946</v>
      </c>
      <c r="C111" s="247"/>
      <c r="D111" s="248"/>
      <c r="E111" s="248"/>
      <c r="F111" s="248"/>
      <c r="G111" s="248"/>
      <c r="H111" s="248"/>
    </row>
    <row r="112" spans="2:8" ht="11.25" customHeight="1" x14ac:dyDescent="0.35">
      <c r="B112" s="347" t="s">
        <v>5133</v>
      </c>
      <c r="C112" s="247"/>
      <c r="D112" s="248"/>
      <c r="E112" s="248"/>
      <c r="F112" s="248"/>
      <c r="G112" s="248"/>
      <c r="H112" s="248"/>
    </row>
    <row r="113" spans="2:8" ht="11.25" customHeight="1" x14ac:dyDescent="0.35">
      <c r="B113" s="292" t="s">
        <v>5130</v>
      </c>
      <c r="C113" s="245"/>
      <c r="D113" s="278">
        <f>IF(LEFT(D$7,4)&gt;"2018",IFERROR(100*SUM(D135,D148,D161,D174,D187,D200,D213)/SUM(D226,D239),"NA"),D119)</f>
        <v>57.615439199999997</v>
      </c>
      <c r="E113" s="278">
        <f>IF(LEFT(E$7,4)&gt;"2018",IFERROR(100*SUM(E135,E148,E161,E174,E187,E200,E213)/SUM(E226,E239),"NA"),E119)</f>
        <v>49.961355599999997</v>
      </c>
      <c r="F113" s="278">
        <f>IF(LEFT(F$7,4)&gt;"2018",IFERROR(100*SUM(F135,F148,F161,F174,F187,F200,F213)/SUM(F226,F239),"NA"),F119)</f>
        <v>47.7991417</v>
      </c>
      <c r="G113" s="278">
        <f>IF(LEFT(G$7,4)&gt;"2018",IFERROR(100*SUM(G135,G148,G161,G174,G187,G200,G213)/SUM(G226,G239),"NA"),G119)</f>
        <v>50.050121699999998</v>
      </c>
      <c r="H113" s="278">
        <f>IF(LEFT(H$7,4)&gt;"2018",IFERROR(100*SUM(H135,H148,H161,H174,H187,H200,H213)/SUM(H226,H239),"NA"),H119)</f>
        <v>50.003801699999997</v>
      </c>
    </row>
    <row r="114" spans="2:8" ht="11.25" customHeight="1" x14ac:dyDescent="0.35">
      <c r="B114" s="292" t="s">
        <v>5129</v>
      </c>
      <c r="C114" s="245"/>
      <c r="D114" s="278">
        <f>IF(LEFT(D$7,4)&gt;"2018",IFERROR(100*SUM(D136,D149,D162,D175,D188,D201,D214)/SUM(D227,D240),"NA"),D120)</f>
        <v>23.3858578</v>
      </c>
      <c r="E114" s="278">
        <f>IF(LEFT(E$7,4)&gt;"2018",IFERROR(100*SUM(E136,E149,E162,E175,E188,E201,E214)/SUM(E227,E240),"NA"),E120)</f>
        <v>21.726163</v>
      </c>
      <c r="F114" s="278">
        <f>IF(LEFT(F$7,4)&gt;"2018",IFERROR(100*SUM(F136,F149,F162,F175,F188,F201,F214)/SUM(F227,F240),"NA"),F120)</f>
        <v>20.7148562</v>
      </c>
      <c r="G114" s="278">
        <f>IF(LEFT(G$7,4)&gt;"2018",IFERROR(100*SUM(G136,G149,G162,G175,G188,G201,G214)/SUM(G227,G240),"NA"),G120)</f>
        <v>26.814700800000001</v>
      </c>
      <c r="H114" s="278">
        <f>IF(LEFT(H$7,4)&gt;"2018",IFERROR(100*SUM(H136,H149,H162,H175,H188,H201,H214)/SUM(H227,H240),"NA"),H120)</f>
        <v>19.734971399999999</v>
      </c>
    </row>
    <row r="115" spans="2:8" ht="11.25" customHeight="1" x14ac:dyDescent="0.35">
      <c r="B115" s="292" t="s">
        <v>5128</v>
      </c>
      <c r="C115" s="245"/>
      <c r="D115" s="278">
        <f>IF(LEFT(D$7,4)&gt;"2018",IFERROR(100*SUM(D131,D144,D157,D170,D183,D196,D209)/SUM(D222,D235),"NA"),D121)</f>
        <v>69.8050389</v>
      </c>
      <c r="E115" s="278">
        <f>IF(LEFT(E$7,4)&gt;"2018",IFERROR(100*SUM(E131,E144,E157,E170,E183,E196,E209)/SUM(E222,E235),"NA"),E121)</f>
        <v>69.001463299999998</v>
      </c>
      <c r="F115" s="278">
        <f>IF(LEFT(F$7,4)&gt;"2018",IFERROR(100*SUM(F131,F144,F157,F170,F183,F196,F209)/SUM(F222,F235),"NA"),F121)</f>
        <v>70.472683599999996</v>
      </c>
      <c r="G115" s="278">
        <f>IF(LEFT(G$7,4)&gt;"2018",IFERROR(100*SUM(G131,G144,G157,G170,G183,G196,G209)/SUM(G222,G235),"NA"),G121)</f>
        <v>71.684268099999997</v>
      </c>
      <c r="H115" s="278">
        <f>IF(LEFT(H$7,4)&gt;"2018",IFERROR(100*SUM(H131,H144,H157,H170,H183,H196,H209)/SUM(H222,H235),"NA"),H121)</f>
        <v>71.968553200000002</v>
      </c>
    </row>
    <row r="116" spans="2:8" ht="11.25" customHeight="1" x14ac:dyDescent="0.35">
      <c r="B116" s="292" t="s">
        <v>5387</v>
      </c>
      <c r="C116" s="245"/>
      <c r="D116" s="278">
        <f>IF(LEFT(D$7,4)&gt;"2018","NA",D122)</f>
        <v>57.613002700000003</v>
      </c>
      <c r="E116" s="278">
        <f>IF(LEFT(E$7,4)&gt;"2018","NA",E122)</f>
        <v>53.465493299999999</v>
      </c>
      <c r="F116" s="278">
        <f>IF(LEFT(F$7,4)&gt;"2018","NA",F122)</f>
        <v>44.052272199999997</v>
      </c>
      <c r="G116" s="278">
        <f>IF(LEFT(G$7,4)&gt;"2018","NA",G122)</f>
        <v>45.151809999999998</v>
      </c>
      <c r="H116" s="278">
        <f>IF(LEFT(H$7,4)&gt;"2018","NA",H122)</f>
        <v>43.046992099999997</v>
      </c>
    </row>
    <row r="117" spans="2:8" ht="11.25" customHeight="1" x14ac:dyDescent="0.35">
      <c r="B117" s="292" t="s">
        <v>5127</v>
      </c>
      <c r="C117" s="245"/>
      <c r="D117" s="278">
        <f>IF(LEFT(D$7,4)&gt;"2018",IFERROR(100*SUM(D132:D134,D145:D147,D158:D160,D171:D173,D184:D186,D197:D199,D210:D212)/SUM(D223:D225,D236:D238),"NA"),D123)</f>
        <v>3.0966559</v>
      </c>
      <c r="E117" s="278">
        <f>IF(LEFT(E$7,4)&gt;"2018",IFERROR(100*SUM(E132:E134,E145:E147,E158:E160,E171:E173,E184:E186,E197:E199,E210:E212)/SUM(E223:E225,E236:E238),"NA"),E123)</f>
        <v>70.637641799999997</v>
      </c>
      <c r="F117" s="278">
        <f>IF(LEFT(F$7,4)&gt;"2018",IFERROR(100*SUM(F132:F134,F145:F147,F158:F160,F171:F173,F184:F186,F197:F199,F210:F212)/SUM(F223:F225,F236:F238),"NA"),F123)</f>
        <v>70.282123499999997</v>
      </c>
      <c r="G117" s="278">
        <f>IF(LEFT(G$7,4)&gt;"2018",IFERROR(100*SUM(G132:G134,G145:G147,G158:G160,G171:G173,G184:G186,G197:G199,G210:G212)/SUM(G223:G225,G236:G238),"NA"),G123)</f>
        <v>72.706427500000004</v>
      </c>
      <c r="H117" s="278">
        <f>IF(LEFT(H$7,4)&gt;"2018",IFERROR(100*SUM(H132:H134,H145:H147,H158:H160,H171:H173,H184:H186,H197:H199,H210:H212)/SUM(H223:H225,H236:H238),"NA"),H123)</f>
        <v>72.717358599999997</v>
      </c>
    </row>
    <row r="118" spans="2:8" ht="11.25" customHeight="1" x14ac:dyDescent="0.35">
      <c r="B118" s="292" t="s">
        <v>4946</v>
      </c>
      <c r="C118" s="247"/>
      <c r="D118" s="278"/>
      <c r="E118" s="278"/>
      <c r="F118" s="278"/>
      <c r="G118" s="278"/>
      <c r="H118" s="278"/>
    </row>
    <row r="119" spans="2:8" ht="11.25" hidden="1" customHeight="1" outlineLevel="1" x14ac:dyDescent="0.35">
      <c r="B119" s="292" t="s">
        <v>5130</v>
      </c>
      <c r="C119" s="245">
        <v>123607</v>
      </c>
      <c r="D119" s="278">
        <v>57.615439199999997</v>
      </c>
      <c r="E119" s="278">
        <v>49.961355599999997</v>
      </c>
      <c r="F119" s="278">
        <v>47.7991417</v>
      </c>
      <c r="G119" s="278">
        <v>50.050121699999998</v>
      </c>
      <c r="H119" s="278">
        <v>50.003801699999997</v>
      </c>
    </row>
    <row r="120" spans="2:8" ht="11.25" hidden="1" customHeight="1" outlineLevel="1" x14ac:dyDescent="0.35">
      <c r="B120" s="292" t="s">
        <v>5129</v>
      </c>
      <c r="C120" s="245">
        <v>123611</v>
      </c>
      <c r="D120" s="278">
        <v>23.3858578</v>
      </c>
      <c r="E120" s="278">
        <v>21.726163</v>
      </c>
      <c r="F120" s="278">
        <v>20.7148562</v>
      </c>
      <c r="G120" s="278">
        <v>26.814700800000001</v>
      </c>
      <c r="H120" s="278">
        <v>19.734971399999999</v>
      </c>
    </row>
    <row r="121" spans="2:8" ht="11.25" hidden="1" customHeight="1" outlineLevel="1" x14ac:dyDescent="0.35">
      <c r="B121" s="292" t="s">
        <v>5128</v>
      </c>
      <c r="C121" s="245">
        <v>123615</v>
      </c>
      <c r="D121" s="278">
        <v>69.8050389</v>
      </c>
      <c r="E121" s="278">
        <v>69.001463299999998</v>
      </c>
      <c r="F121" s="278">
        <v>70.472683599999996</v>
      </c>
      <c r="G121" s="278">
        <v>71.684268099999997</v>
      </c>
      <c r="H121" s="278">
        <v>71.968553200000002</v>
      </c>
    </row>
    <row r="122" spans="2:8" ht="11.25" hidden="1" customHeight="1" outlineLevel="1" x14ac:dyDescent="0.35">
      <c r="B122" s="292" t="s">
        <v>5387</v>
      </c>
      <c r="C122" s="245">
        <v>123619</v>
      </c>
      <c r="D122" s="278">
        <v>57.613002700000003</v>
      </c>
      <c r="E122" s="278">
        <v>53.465493299999999</v>
      </c>
      <c r="F122" s="278">
        <v>44.052272199999997</v>
      </c>
      <c r="G122" s="278">
        <v>45.151809999999998</v>
      </c>
      <c r="H122" s="278">
        <v>43.046992099999997</v>
      </c>
    </row>
    <row r="123" spans="2:8" ht="11.25" hidden="1" customHeight="1" outlineLevel="1" x14ac:dyDescent="0.35">
      <c r="B123" s="292" t="s">
        <v>5127</v>
      </c>
      <c r="C123" s="245">
        <v>123623</v>
      </c>
      <c r="D123" s="278">
        <v>3.0966559</v>
      </c>
      <c r="E123" s="278">
        <v>70.637641799999997</v>
      </c>
      <c r="F123" s="278">
        <v>70.282123499999997</v>
      </c>
      <c r="G123" s="278">
        <v>72.706427500000004</v>
      </c>
      <c r="H123" s="278">
        <v>72.717358599999997</v>
      </c>
    </row>
    <row r="124" spans="2:8" ht="11.25" hidden="1" customHeight="1" outlineLevel="1" x14ac:dyDescent="0.35">
      <c r="B124" s="244"/>
      <c r="C124" s="247"/>
      <c r="D124" s="278"/>
      <c r="E124" s="278"/>
      <c r="F124" s="278"/>
      <c r="G124" s="278"/>
      <c r="H124" s="278"/>
    </row>
    <row r="125" spans="2:8" s="302" customFormat="1" ht="11.25" hidden="1" customHeight="1" outlineLevel="1" x14ac:dyDescent="0.35">
      <c r="B125" s="246" t="s">
        <v>5463</v>
      </c>
      <c r="C125" s="405"/>
      <c r="D125" s="406"/>
      <c r="E125" s="406"/>
      <c r="F125" s="406"/>
      <c r="G125" s="406"/>
      <c r="H125" s="406"/>
    </row>
    <row r="126" spans="2:8" s="302" customFormat="1" ht="11.25" hidden="1" customHeight="1" outlineLevel="1" x14ac:dyDescent="0.35">
      <c r="B126" s="292" t="s">
        <v>5365</v>
      </c>
      <c r="C126" s="405"/>
      <c r="D126" s="278" t="str">
        <f>IF(S565="","",S565)</f>
        <v>NA</v>
      </c>
      <c r="E126" s="278" t="str">
        <f>IF(S554="","",S554)</f>
        <v>NA</v>
      </c>
      <c r="F126" s="278" t="str">
        <f>IF(S543="","",S543)</f>
        <v>NA</v>
      </c>
      <c r="G126" s="278" t="str">
        <f>IF(S532="","",S532)</f>
        <v>NA</v>
      </c>
      <c r="H126" s="278" t="str">
        <f>IF(S521="","",S521)</f>
        <v>NA</v>
      </c>
    </row>
    <row r="127" spans="2:8" ht="11.25" hidden="1" customHeight="1" outlineLevel="1" x14ac:dyDescent="0.35">
      <c r="B127" s="244" t="s">
        <v>5366</v>
      </c>
      <c r="C127" s="245"/>
      <c r="D127" s="278" t="str">
        <f>IF(S566="","",S566)</f>
        <v>NA</v>
      </c>
      <c r="E127" s="278" t="str">
        <f>IF(S555="","",S555)</f>
        <v>NA</v>
      </c>
      <c r="F127" s="278" t="str">
        <f>IF(S544="","",S544)</f>
        <v>NA</v>
      </c>
      <c r="G127" s="278" t="str">
        <f>IF(S533="","",S533)</f>
        <v>NA</v>
      </c>
      <c r="H127" s="278" t="str">
        <f>IF(S522="","",S522)</f>
        <v>NA</v>
      </c>
    </row>
    <row r="128" spans="2:8" ht="11.25" hidden="1" customHeight="1" outlineLevel="1" x14ac:dyDescent="0.35">
      <c r="B128" s="244" t="s">
        <v>5122</v>
      </c>
      <c r="C128" s="245"/>
      <c r="D128" s="278" t="str">
        <f>IF(S567="","",S567)</f>
        <v>NA</v>
      </c>
      <c r="E128" s="278" t="str">
        <f>IF(S556="","",S556)</f>
        <v>NA</v>
      </c>
      <c r="F128" s="278" t="str">
        <f>IF(S545="","",S545)</f>
        <v>NA</v>
      </c>
      <c r="G128" s="278" t="str">
        <f>IF(S534="","",S534)</f>
        <v>NA</v>
      </c>
      <c r="H128" s="278" t="str">
        <f>IF(S523="","",S523)</f>
        <v>NA</v>
      </c>
    </row>
    <row r="129" spans="2:8" ht="11.25" hidden="1" customHeight="1" outlineLevel="1" x14ac:dyDescent="0.35">
      <c r="B129" s="244" t="s">
        <v>5124</v>
      </c>
      <c r="C129" s="245"/>
      <c r="D129" s="278" t="str">
        <f>IF(S568="","",S568)</f>
        <v>NA</v>
      </c>
      <c r="E129" s="278" t="str">
        <f>IF(S557="","",S557)</f>
        <v>NA</v>
      </c>
      <c r="F129" s="278" t="str">
        <f>IF(S546="","",S546)</f>
        <v>NA</v>
      </c>
      <c r="G129" s="278" t="str">
        <f>IF(S535="","",S535)</f>
        <v>NA</v>
      </c>
      <c r="H129" s="278" t="str">
        <f>IF(S524="","",S524)</f>
        <v>NA</v>
      </c>
    </row>
    <row r="130" spans="2:8" ht="11.25" hidden="1" customHeight="1" outlineLevel="1" x14ac:dyDescent="0.35">
      <c r="B130" s="244" t="s">
        <v>5121</v>
      </c>
      <c r="C130" s="245"/>
      <c r="D130" s="278" t="str">
        <f>IF(S569="","",S569)</f>
        <v>NA</v>
      </c>
      <c r="E130" s="278" t="str">
        <f>IF(S558="","",S558)</f>
        <v>NA</v>
      </c>
      <c r="F130" s="278" t="str">
        <f>IF(S547="","",S547)</f>
        <v>NA</v>
      </c>
      <c r="G130" s="278" t="str">
        <f>IF(S536="","",S536)</f>
        <v>NA</v>
      </c>
      <c r="H130" s="278" t="str">
        <f>IF(S525="","",S525)</f>
        <v>NA</v>
      </c>
    </row>
    <row r="131" spans="2:8" ht="11.25" hidden="1" customHeight="1" outlineLevel="1" x14ac:dyDescent="0.35">
      <c r="B131" s="244" t="s">
        <v>5367</v>
      </c>
      <c r="C131" s="245"/>
      <c r="D131" s="278" t="str">
        <f>IF(S570="","",S570)</f>
        <v>NA</v>
      </c>
      <c r="E131" s="278" t="str">
        <f>IF(S559="","",S559)</f>
        <v>NA</v>
      </c>
      <c r="F131" s="278" t="str">
        <f>IF(S548="","",S548)</f>
        <v>NA</v>
      </c>
      <c r="G131" s="278" t="str">
        <f>IF(S537="","",S537)</f>
        <v>NA</v>
      </c>
      <c r="H131" s="278" t="str">
        <f>IF(S526="","",S526)</f>
        <v>NA</v>
      </c>
    </row>
    <row r="132" spans="2:8" ht="11.25" hidden="1" customHeight="1" outlineLevel="1" x14ac:dyDescent="0.35">
      <c r="B132" s="244" t="s">
        <v>5368</v>
      </c>
      <c r="C132" s="245"/>
      <c r="D132" s="278" t="str">
        <f>IF(S571="","",S571)</f>
        <v>NA</v>
      </c>
      <c r="E132" s="278" t="str">
        <f>IF(S560="","",S560)</f>
        <v>NA</v>
      </c>
      <c r="F132" s="278" t="str">
        <f>IF(S549="","",S549)</f>
        <v>NA</v>
      </c>
      <c r="G132" s="278" t="str">
        <f>IF(S538="","",S538)</f>
        <v>NA</v>
      </c>
      <c r="H132" s="278" t="str">
        <f>IF(S527="","",S527)</f>
        <v>NA</v>
      </c>
    </row>
    <row r="133" spans="2:8" ht="11.25" hidden="1" customHeight="1" outlineLevel="1" x14ac:dyDescent="0.35">
      <c r="B133" s="244" t="s">
        <v>5369</v>
      </c>
      <c r="C133" s="245"/>
      <c r="D133" s="278" t="str">
        <f>IF(S572="","",S572)</f>
        <v>NA</v>
      </c>
      <c r="E133" s="278" t="str">
        <f>IF(S561="","",S561)</f>
        <v>NA</v>
      </c>
      <c r="F133" s="278" t="str">
        <f>IF(S550="","",S550)</f>
        <v>NA</v>
      </c>
      <c r="G133" s="278" t="str">
        <f>IF(S539="","",S539)</f>
        <v>NA</v>
      </c>
      <c r="H133" s="278" t="str">
        <f>IF(S528="","",S528)</f>
        <v>NA</v>
      </c>
    </row>
    <row r="134" spans="2:8" ht="11.25" hidden="1" customHeight="1" outlineLevel="1" x14ac:dyDescent="0.35">
      <c r="B134" s="244" t="s">
        <v>5370</v>
      </c>
      <c r="C134" s="245"/>
      <c r="D134" s="278" t="str">
        <f>IF(S573="","",S573)</f>
        <v>NA</v>
      </c>
      <c r="E134" s="278" t="str">
        <f>IF(S562="","",S562)</f>
        <v>NA</v>
      </c>
      <c r="F134" s="278" t="str">
        <f>IF(S551="","",S551)</f>
        <v>NA</v>
      </c>
      <c r="G134" s="278" t="str">
        <f>IF(S540="","",S540)</f>
        <v>NA</v>
      </c>
      <c r="H134" s="278" t="str">
        <f>IF(S529="","",S529)</f>
        <v>NA</v>
      </c>
    </row>
    <row r="135" spans="2:8" ht="11.25" hidden="1" customHeight="1" outlineLevel="1" x14ac:dyDescent="0.35">
      <c r="B135" s="244" t="s">
        <v>5371</v>
      </c>
      <c r="C135" s="245"/>
      <c r="D135" s="278" t="str">
        <f>IF(S574="","",S574)</f>
        <v>NA</v>
      </c>
      <c r="E135" s="278" t="str">
        <f>IF(S563="","",S563)</f>
        <v>NA</v>
      </c>
      <c r="F135" s="278" t="str">
        <f>IF(S552="","",S552)</f>
        <v>NA</v>
      </c>
      <c r="G135" s="278" t="str">
        <f>IF(S541="","",S541)</f>
        <v>NA</v>
      </c>
      <c r="H135" s="278" t="str">
        <f>IF(S530="","",S530)</f>
        <v>NA</v>
      </c>
    </row>
    <row r="136" spans="2:8" ht="11.25" hidden="1" customHeight="1" outlineLevel="1" x14ac:dyDescent="0.35">
      <c r="B136" s="244" t="s">
        <v>5372</v>
      </c>
      <c r="C136" s="245"/>
      <c r="D136" s="278" t="str">
        <f>IF(S575="","",S575)</f>
        <v>NA</v>
      </c>
      <c r="E136" s="278" t="str">
        <f>IF(S564="","",S564)</f>
        <v>NA</v>
      </c>
      <c r="F136" s="278" t="str">
        <f>IF(S553="","",S553)</f>
        <v>NA</v>
      </c>
      <c r="G136" s="278" t="str">
        <f>IF(S542="","",S542)</f>
        <v>NA</v>
      </c>
      <c r="H136" s="278" t="str">
        <f>IF(S531="","",S531)</f>
        <v>NA</v>
      </c>
    </row>
    <row r="137" spans="2:8" ht="11.25" hidden="1" customHeight="1" outlineLevel="1" x14ac:dyDescent="0.35">
      <c r="B137" s="244"/>
      <c r="C137" s="245"/>
      <c r="D137" s="301"/>
      <c r="E137" s="301"/>
      <c r="F137" s="301"/>
      <c r="G137" s="301"/>
      <c r="H137" s="301"/>
    </row>
    <row r="138" spans="2:8" ht="11.25" hidden="1" customHeight="1" outlineLevel="1" x14ac:dyDescent="0.35">
      <c r="B138" s="246" t="s">
        <v>5464</v>
      </c>
      <c r="C138" s="245"/>
      <c r="D138" s="278"/>
      <c r="E138" s="278"/>
      <c r="F138" s="278"/>
      <c r="G138" s="278"/>
      <c r="H138" s="278"/>
    </row>
    <row r="139" spans="2:8" ht="11.25" hidden="1" customHeight="1" outlineLevel="1" x14ac:dyDescent="0.35">
      <c r="B139" s="292" t="s">
        <v>5365</v>
      </c>
      <c r="C139" s="245"/>
      <c r="D139" s="278" t="str">
        <f>IF(S621="","",S621)</f>
        <v>NA</v>
      </c>
      <c r="E139" s="278" t="str">
        <f>IF(S610="","",S610)</f>
        <v>NA</v>
      </c>
      <c r="F139" s="278" t="str">
        <f>IF(S599="","",S599)</f>
        <v>NA</v>
      </c>
      <c r="G139" s="278" t="str">
        <f>IF(S588="","",S588)</f>
        <v>NA</v>
      </c>
      <c r="H139" s="278" t="str">
        <f>IF(S577="","",S577)</f>
        <v>NA</v>
      </c>
    </row>
    <row r="140" spans="2:8" ht="11.25" hidden="1" customHeight="1" outlineLevel="1" x14ac:dyDescent="0.35">
      <c r="B140" s="244" t="s">
        <v>5366</v>
      </c>
      <c r="C140" s="245"/>
      <c r="D140" s="278" t="str">
        <f>IF(S622="","",S622)</f>
        <v>NA</v>
      </c>
      <c r="E140" s="278" t="str">
        <f>IF(S611="","",S611)</f>
        <v>NA</v>
      </c>
      <c r="F140" s="278" t="str">
        <f>IF(S600="","",S600)</f>
        <v>NA</v>
      </c>
      <c r="G140" s="278" t="str">
        <f>IF(S589="","",S589)</f>
        <v>NA</v>
      </c>
      <c r="H140" s="278" t="str">
        <f>IF(S578="","",S578)</f>
        <v>NA</v>
      </c>
    </row>
    <row r="141" spans="2:8" ht="11.25" hidden="1" customHeight="1" outlineLevel="1" x14ac:dyDescent="0.35">
      <c r="B141" s="244" t="s">
        <v>5122</v>
      </c>
      <c r="C141" s="245"/>
      <c r="D141" s="278" t="str">
        <f>IF(S623="","",S623)</f>
        <v>NA</v>
      </c>
      <c r="E141" s="278" t="str">
        <f>IF(S612="","",S612)</f>
        <v>NA</v>
      </c>
      <c r="F141" s="278" t="str">
        <f>IF(S601="","",S601)</f>
        <v>NA</v>
      </c>
      <c r="G141" s="278" t="str">
        <f>IF(S590="","",S590)</f>
        <v>NA</v>
      </c>
      <c r="H141" s="278" t="str">
        <f>IF(S579="","",S579)</f>
        <v>NA</v>
      </c>
    </row>
    <row r="142" spans="2:8" ht="11.25" hidden="1" customHeight="1" outlineLevel="1" x14ac:dyDescent="0.35">
      <c r="B142" s="244" t="s">
        <v>5124</v>
      </c>
      <c r="C142" s="245"/>
      <c r="D142" s="278" t="str">
        <f>IF(S624="","",S624)</f>
        <v>NA</v>
      </c>
      <c r="E142" s="278" t="str">
        <f>IF(S613="","",S613)</f>
        <v>NA</v>
      </c>
      <c r="F142" s="278" t="str">
        <f>IF(S602="","",S602)</f>
        <v>NA</v>
      </c>
      <c r="G142" s="278" t="str">
        <f>IF(S591="","",S591)</f>
        <v>NA</v>
      </c>
      <c r="H142" s="278" t="str">
        <f>IF(S580="","",S580)</f>
        <v>NA</v>
      </c>
    </row>
    <row r="143" spans="2:8" ht="11.25" hidden="1" customHeight="1" outlineLevel="1" x14ac:dyDescent="0.35">
      <c r="B143" s="244" t="s">
        <v>5121</v>
      </c>
      <c r="C143" s="245"/>
      <c r="D143" s="278" t="str">
        <f>IF(S625="","",S625)</f>
        <v>NA</v>
      </c>
      <c r="E143" s="278" t="str">
        <f>IF(S614="","",S614)</f>
        <v>NA</v>
      </c>
      <c r="F143" s="278" t="str">
        <f>IF(S603="","",S603)</f>
        <v>NA</v>
      </c>
      <c r="G143" s="278" t="str">
        <f>IF(S592="","",S592)</f>
        <v>NA</v>
      </c>
      <c r="H143" s="278" t="str">
        <f>IF(S581="","",S581)</f>
        <v>NA</v>
      </c>
    </row>
    <row r="144" spans="2:8" ht="11.25" hidden="1" customHeight="1" outlineLevel="1" x14ac:dyDescent="0.35">
      <c r="B144" s="244" t="s">
        <v>5367</v>
      </c>
      <c r="C144" s="245"/>
      <c r="D144" s="278" t="str">
        <f>IF(S626="","",S626)</f>
        <v>NA</v>
      </c>
      <c r="E144" s="278" t="str">
        <f>IF(S615="","",S615)</f>
        <v>NA</v>
      </c>
      <c r="F144" s="278" t="str">
        <f>IF(S604="","",S604)</f>
        <v>NA</v>
      </c>
      <c r="G144" s="278" t="str">
        <f>IF(S593="","",S593)</f>
        <v>NA</v>
      </c>
      <c r="H144" s="278" t="str">
        <f>IF(S582="","",S582)</f>
        <v>NA</v>
      </c>
    </row>
    <row r="145" spans="2:8" ht="11.25" hidden="1" customHeight="1" outlineLevel="1" x14ac:dyDescent="0.35">
      <c r="B145" s="244" t="s">
        <v>5368</v>
      </c>
      <c r="C145" s="245"/>
      <c r="D145" s="278" t="str">
        <f>IF(S627="","",S627)</f>
        <v>NA</v>
      </c>
      <c r="E145" s="278" t="str">
        <f>IF(S616="","",S616)</f>
        <v>NA</v>
      </c>
      <c r="F145" s="278" t="str">
        <f>IF(S605="","",S605)</f>
        <v>NA</v>
      </c>
      <c r="G145" s="278" t="str">
        <f>IF(S594="","",S594)</f>
        <v>NA</v>
      </c>
      <c r="H145" s="278" t="str">
        <f>IF(S583="","",S583)</f>
        <v>NA</v>
      </c>
    </row>
    <row r="146" spans="2:8" ht="11.25" hidden="1" customHeight="1" outlineLevel="1" x14ac:dyDescent="0.35">
      <c r="B146" s="244" t="s">
        <v>5369</v>
      </c>
      <c r="C146" s="245"/>
      <c r="D146" s="278" t="str">
        <f>IF(S628="","",S628)</f>
        <v>NA</v>
      </c>
      <c r="E146" s="278" t="str">
        <f>IF(S617="","",S617)</f>
        <v>NA</v>
      </c>
      <c r="F146" s="278" t="str">
        <f>IF(S606="","",S606)</f>
        <v>NA</v>
      </c>
      <c r="G146" s="278" t="str">
        <f>IF(S595="","",S595)</f>
        <v>NA</v>
      </c>
      <c r="H146" s="278" t="str">
        <f>IF(S584="","",S584)</f>
        <v>NA</v>
      </c>
    </row>
    <row r="147" spans="2:8" ht="11.25" hidden="1" customHeight="1" outlineLevel="1" x14ac:dyDescent="0.35">
      <c r="B147" s="244" t="s">
        <v>5370</v>
      </c>
      <c r="C147" s="245"/>
      <c r="D147" s="278" t="str">
        <f>IF(S629="","",S629)</f>
        <v>NA</v>
      </c>
      <c r="E147" s="278" t="str">
        <f>IF(S618="","",S618)</f>
        <v>NA</v>
      </c>
      <c r="F147" s="278" t="str">
        <f>IF(S607="","",S607)</f>
        <v>NA</v>
      </c>
      <c r="G147" s="278" t="str">
        <f>IF(S596="","",S596)</f>
        <v>NA</v>
      </c>
      <c r="H147" s="278" t="str">
        <f>IF(S585="","",S585)</f>
        <v>NA</v>
      </c>
    </row>
    <row r="148" spans="2:8" ht="11.25" hidden="1" customHeight="1" outlineLevel="1" x14ac:dyDescent="0.35">
      <c r="B148" s="244" t="s">
        <v>5371</v>
      </c>
      <c r="C148" s="245"/>
      <c r="D148" s="278" t="str">
        <f>IF(S630="","",S630)</f>
        <v>NA</v>
      </c>
      <c r="E148" s="278" t="str">
        <f>IF(S619="","",S619)</f>
        <v>NA</v>
      </c>
      <c r="F148" s="278" t="str">
        <f>IF(S608="","",S608)</f>
        <v>NA</v>
      </c>
      <c r="G148" s="278" t="str">
        <f>IF(S597="","",S597)</f>
        <v>NA</v>
      </c>
      <c r="H148" s="278" t="str">
        <f>IF(S586="","",S586)</f>
        <v>NA</v>
      </c>
    </row>
    <row r="149" spans="2:8" ht="11.25" hidden="1" customHeight="1" outlineLevel="1" x14ac:dyDescent="0.35">
      <c r="B149" s="244" t="s">
        <v>5372</v>
      </c>
      <c r="C149" s="245"/>
      <c r="D149" s="278" t="str">
        <f>IF(S631="","",S631)</f>
        <v>NA</v>
      </c>
      <c r="E149" s="278" t="str">
        <f>IF(S620="","",S620)</f>
        <v>NA</v>
      </c>
      <c r="F149" s="278" t="str">
        <f>IF(S609="","",S609)</f>
        <v>NA</v>
      </c>
      <c r="G149" s="278" t="str">
        <f>IF(S598="","",S598)</f>
        <v>NA</v>
      </c>
      <c r="H149" s="278" t="str">
        <f>IF(S587="","",S587)</f>
        <v>NA</v>
      </c>
    </row>
    <row r="150" spans="2:8" ht="11.25" hidden="1" customHeight="1" outlineLevel="1" x14ac:dyDescent="0.35">
      <c r="B150" s="244"/>
      <c r="C150" s="245"/>
      <c r="D150" s="278"/>
      <c r="E150" s="278"/>
      <c r="F150" s="278"/>
      <c r="G150" s="278"/>
      <c r="H150" s="278"/>
    </row>
    <row r="151" spans="2:8" s="364" customFormat="1" ht="11.25" hidden="1" customHeight="1" outlineLevel="1" x14ac:dyDescent="0.35">
      <c r="B151" s="246" t="s">
        <v>5465</v>
      </c>
      <c r="C151" s="245"/>
      <c r="D151" s="278"/>
      <c r="E151" s="278"/>
      <c r="F151" s="278"/>
      <c r="G151" s="278"/>
      <c r="H151" s="278"/>
    </row>
    <row r="152" spans="2:8" ht="11.25" hidden="1" customHeight="1" outlineLevel="1" x14ac:dyDescent="0.35">
      <c r="B152" s="292" t="s">
        <v>5365</v>
      </c>
      <c r="C152" s="245"/>
      <c r="D152" s="278" t="str">
        <f>IF(S677="","",S677)</f>
        <v>NA</v>
      </c>
      <c r="E152" s="278" t="str">
        <f>IF(S666="","",S666)</f>
        <v>NA</v>
      </c>
      <c r="F152" s="278" t="str">
        <f>IF(S655="","",S655)</f>
        <v>NA</v>
      </c>
      <c r="G152" s="278" t="str">
        <f>IF(S644="","",S644)</f>
        <v>NA</v>
      </c>
      <c r="H152" s="278" t="str">
        <f>IF(S633="","",S633)</f>
        <v>NA</v>
      </c>
    </row>
    <row r="153" spans="2:8" ht="11.25" hidden="1" customHeight="1" outlineLevel="1" x14ac:dyDescent="0.35">
      <c r="B153" s="244" t="s">
        <v>5366</v>
      </c>
      <c r="C153" s="245"/>
      <c r="D153" s="278" t="str">
        <f>IF(S678="","",S678)</f>
        <v>NA</v>
      </c>
      <c r="E153" s="278" t="str">
        <f>IF(S667="","",S667)</f>
        <v>NA</v>
      </c>
      <c r="F153" s="278" t="str">
        <f>IF(S656="","",S656)</f>
        <v>NA</v>
      </c>
      <c r="G153" s="278" t="str">
        <f>IF(S645="","",S645)</f>
        <v>NA</v>
      </c>
      <c r="H153" s="278" t="str">
        <f>IF(S634="","",S634)</f>
        <v>NA</v>
      </c>
    </row>
    <row r="154" spans="2:8" ht="11.25" hidden="1" customHeight="1" outlineLevel="1" x14ac:dyDescent="0.35">
      <c r="B154" s="244" t="s">
        <v>5122</v>
      </c>
      <c r="C154" s="245"/>
      <c r="D154" s="278" t="str">
        <f>IF(S679="","",S679)</f>
        <v>NA</v>
      </c>
      <c r="E154" s="278" t="str">
        <f>IF(S668="","",S668)</f>
        <v>NA</v>
      </c>
      <c r="F154" s="278" t="str">
        <f>IF(S657="","",S657)</f>
        <v>NA</v>
      </c>
      <c r="G154" s="278" t="str">
        <f>IF(S646="","",S646)</f>
        <v>NA</v>
      </c>
      <c r="H154" s="278" t="str">
        <f>IF(S635="","",S635)</f>
        <v>NA</v>
      </c>
    </row>
    <row r="155" spans="2:8" ht="11.25" hidden="1" customHeight="1" outlineLevel="1" x14ac:dyDescent="0.35">
      <c r="B155" s="244" t="s">
        <v>5124</v>
      </c>
      <c r="C155" s="245"/>
      <c r="D155" s="278" t="str">
        <f>IF(S680="","",S680)</f>
        <v>NA</v>
      </c>
      <c r="E155" s="278" t="str">
        <f>IF(S669="","",S669)</f>
        <v>NA</v>
      </c>
      <c r="F155" s="278" t="str">
        <f>IF(S658="","",S658)</f>
        <v>NA</v>
      </c>
      <c r="G155" s="278" t="str">
        <f>IF(S647="","",S647)</f>
        <v>NA</v>
      </c>
      <c r="H155" s="278" t="str">
        <f>IF(S636="","",S636)</f>
        <v>NA</v>
      </c>
    </row>
    <row r="156" spans="2:8" ht="11.25" hidden="1" customHeight="1" outlineLevel="1" x14ac:dyDescent="0.35">
      <c r="B156" s="244" t="s">
        <v>5121</v>
      </c>
      <c r="C156" s="245"/>
      <c r="D156" s="278" t="str">
        <f>IF(S681="","",S681)</f>
        <v>NA</v>
      </c>
      <c r="E156" s="278" t="str">
        <f>IF(S670="","",S670)</f>
        <v>NA</v>
      </c>
      <c r="F156" s="278" t="str">
        <f>IF(S659="","",S659)</f>
        <v>NA</v>
      </c>
      <c r="G156" s="278" t="str">
        <f>IF(S648="","",S648)</f>
        <v>NA</v>
      </c>
      <c r="H156" s="278" t="str">
        <f>IF(S637="","",S637)</f>
        <v>NA</v>
      </c>
    </row>
    <row r="157" spans="2:8" ht="11.25" hidden="1" customHeight="1" outlineLevel="1" x14ac:dyDescent="0.35">
      <c r="B157" s="244" t="s">
        <v>5367</v>
      </c>
      <c r="C157" s="245"/>
      <c r="D157" s="278" t="str">
        <f>IF(S682="","",S682)</f>
        <v>NA</v>
      </c>
      <c r="E157" s="278" t="str">
        <f>IF(S671="","",S671)</f>
        <v>NA</v>
      </c>
      <c r="F157" s="278" t="str">
        <f>IF(S660="","",S660)</f>
        <v>NA</v>
      </c>
      <c r="G157" s="278" t="str">
        <f>IF(S649="","",S649)</f>
        <v>NA</v>
      </c>
      <c r="H157" s="278" t="str">
        <f>IF(S638="","",S638)</f>
        <v>NA</v>
      </c>
    </row>
    <row r="158" spans="2:8" ht="11.25" hidden="1" customHeight="1" outlineLevel="1" x14ac:dyDescent="0.35">
      <c r="B158" s="244" t="s">
        <v>5368</v>
      </c>
      <c r="C158" s="245"/>
      <c r="D158" s="278" t="str">
        <f>IF(S683="","",S683)</f>
        <v>NA</v>
      </c>
      <c r="E158" s="278" t="str">
        <f>IF(S672="","",S672)</f>
        <v>NA</v>
      </c>
      <c r="F158" s="278" t="str">
        <f>IF(S661="","",S661)</f>
        <v>NA</v>
      </c>
      <c r="G158" s="278" t="str">
        <f>IF(S650="","",S650)</f>
        <v>NA</v>
      </c>
      <c r="H158" s="278" t="str">
        <f>IF(S639="","",S639)</f>
        <v>NA</v>
      </c>
    </row>
    <row r="159" spans="2:8" ht="11.25" hidden="1" customHeight="1" outlineLevel="1" x14ac:dyDescent="0.35">
      <c r="B159" s="244" t="s">
        <v>5369</v>
      </c>
      <c r="C159" s="245"/>
      <c r="D159" s="278" t="str">
        <f>IF(S684="","",S684)</f>
        <v>NA</v>
      </c>
      <c r="E159" s="278" t="str">
        <f>IF(S673="","",S673)</f>
        <v>NA</v>
      </c>
      <c r="F159" s="278" t="str">
        <f>IF(S662="","",S662)</f>
        <v>NA</v>
      </c>
      <c r="G159" s="278" t="str">
        <f>IF(S651="","",S651)</f>
        <v>NA</v>
      </c>
      <c r="H159" s="278" t="str">
        <f>IF(S640="","",S640)</f>
        <v>NA</v>
      </c>
    </row>
    <row r="160" spans="2:8" ht="11.25" hidden="1" customHeight="1" outlineLevel="1" x14ac:dyDescent="0.35">
      <c r="B160" s="244" t="s">
        <v>5370</v>
      </c>
      <c r="C160" s="245"/>
      <c r="D160" s="278" t="str">
        <f>IF(S685="","",S685)</f>
        <v>NA</v>
      </c>
      <c r="E160" s="278" t="str">
        <f>IF(S674="","",S674)</f>
        <v>NA</v>
      </c>
      <c r="F160" s="278" t="str">
        <f>IF(S663="","",S663)</f>
        <v>NA</v>
      </c>
      <c r="G160" s="278" t="str">
        <f>IF(S652="","",S652)</f>
        <v>NA</v>
      </c>
      <c r="H160" s="278" t="str">
        <f>IF(S641="","",S641)</f>
        <v>NA</v>
      </c>
    </row>
    <row r="161" spans="2:8" ht="11.25" hidden="1" customHeight="1" outlineLevel="1" x14ac:dyDescent="0.35">
      <c r="B161" s="244" t="s">
        <v>5371</v>
      </c>
      <c r="C161" s="245"/>
      <c r="D161" s="278" t="str">
        <f>IF(S686="","",S686)</f>
        <v>NA</v>
      </c>
      <c r="E161" s="278" t="str">
        <f>IF(S675="","",S675)</f>
        <v>NA</v>
      </c>
      <c r="F161" s="278" t="str">
        <f>IF(S664="","",S664)</f>
        <v>NA</v>
      </c>
      <c r="G161" s="278" t="str">
        <f>IF(S653="","",S653)</f>
        <v>NA</v>
      </c>
      <c r="H161" s="278" t="str">
        <f>IF(S642="","",S642)</f>
        <v>NA</v>
      </c>
    </row>
    <row r="162" spans="2:8" ht="11.25" hidden="1" customHeight="1" outlineLevel="1" x14ac:dyDescent="0.35">
      <c r="B162" s="244" t="s">
        <v>5372</v>
      </c>
      <c r="C162" s="245"/>
      <c r="D162" s="278" t="str">
        <f>IF(S687="","",S687)</f>
        <v>NA</v>
      </c>
      <c r="E162" s="278" t="str">
        <f>IF(S676="","",S676)</f>
        <v>NA</v>
      </c>
      <c r="F162" s="278" t="str">
        <f>IF(S665="","",S665)</f>
        <v>NA</v>
      </c>
      <c r="G162" s="278" t="str">
        <f>IF(S654="","",S654)</f>
        <v>NA</v>
      </c>
      <c r="H162" s="278" t="str">
        <f>IF(S643="","",S643)</f>
        <v>NA</v>
      </c>
    </row>
    <row r="163" spans="2:8" ht="11.25" hidden="1" customHeight="1" outlineLevel="1" x14ac:dyDescent="0.35">
      <c r="B163" s="244"/>
      <c r="C163" s="245"/>
      <c r="D163" s="278"/>
      <c r="E163" s="278"/>
      <c r="F163" s="278"/>
      <c r="G163" s="278"/>
      <c r="H163" s="278"/>
    </row>
    <row r="164" spans="2:8" s="364" customFormat="1" ht="11.25" hidden="1" customHeight="1" outlineLevel="1" x14ac:dyDescent="0.35">
      <c r="B164" s="246" t="s">
        <v>5466</v>
      </c>
      <c r="C164" s="245"/>
      <c r="D164" s="278"/>
      <c r="E164" s="278"/>
      <c r="F164" s="278"/>
      <c r="G164" s="278"/>
      <c r="H164" s="278"/>
    </row>
    <row r="165" spans="2:8" ht="11.25" hidden="1" customHeight="1" outlineLevel="1" x14ac:dyDescent="0.35">
      <c r="B165" s="292" t="s">
        <v>5365</v>
      </c>
      <c r="C165" s="245"/>
      <c r="D165" s="278" t="str">
        <f>IF(S733="","",S733)</f>
        <v>NA</v>
      </c>
      <c r="E165" s="278" t="str">
        <f>IF(S722="","",S722)</f>
        <v>NA</v>
      </c>
      <c r="F165" s="278" t="str">
        <f>IF(S711="","",S711)</f>
        <v>NA</v>
      </c>
      <c r="G165" s="278" t="str">
        <f>IF(S700="","",S700)</f>
        <v>NA</v>
      </c>
      <c r="H165" s="278" t="str">
        <f>IF(S689="","",S689)</f>
        <v>NA</v>
      </c>
    </row>
    <row r="166" spans="2:8" ht="11.25" hidden="1" customHeight="1" outlineLevel="1" x14ac:dyDescent="0.35">
      <c r="B166" s="244" t="s">
        <v>5366</v>
      </c>
      <c r="C166" s="245"/>
      <c r="D166" s="278" t="str">
        <f>IF(S734="","",S734)</f>
        <v>NA</v>
      </c>
      <c r="E166" s="278" t="str">
        <f>IF(S723="","",S723)</f>
        <v>NA</v>
      </c>
      <c r="F166" s="278" t="str">
        <f>IF(S712="","",S712)</f>
        <v>NA</v>
      </c>
      <c r="G166" s="278" t="str">
        <f>IF(S701="","",S701)</f>
        <v>NA</v>
      </c>
      <c r="H166" s="278" t="str">
        <f>IF(S690="","",S690)</f>
        <v>NA</v>
      </c>
    </row>
    <row r="167" spans="2:8" ht="11.25" hidden="1" customHeight="1" outlineLevel="1" x14ac:dyDescent="0.35">
      <c r="B167" s="244" t="s">
        <v>5122</v>
      </c>
      <c r="C167" s="245"/>
      <c r="D167" s="278" t="str">
        <f>IF(S735="","",S735)</f>
        <v>NA</v>
      </c>
      <c r="E167" s="278" t="str">
        <f>IF(S724="","",S724)</f>
        <v>NA</v>
      </c>
      <c r="F167" s="278" t="str">
        <f>IF(S713="","",S713)</f>
        <v>NA</v>
      </c>
      <c r="G167" s="278" t="str">
        <f>IF(S702="","",S702)</f>
        <v>NA</v>
      </c>
      <c r="H167" s="278" t="str">
        <f>IF(S691="","",S691)</f>
        <v>NA</v>
      </c>
    </row>
    <row r="168" spans="2:8" ht="11.25" hidden="1" customHeight="1" outlineLevel="1" x14ac:dyDescent="0.35">
      <c r="B168" s="244" t="s">
        <v>5124</v>
      </c>
      <c r="C168" s="245"/>
      <c r="D168" s="278" t="str">
        <f>IF(S736="","",S736)</f>
        <v>NA</v>
      </c>
      <c r="E168" s="278" t="str">
        <f>IF(S725="","",S725)</f>
        <v>NA</v>
      </c>
      <c r="F168" s="278" t="str">
        <f>IF(S714="","",S714)</f>
        <v>NA</v>
      </c>
      <c r="G168" s="278" t="str">
        <f>IF(S703="","",S703)</f>
        <v>NA</v>
      </c>
      <c r="H168" s="278" t="str">
        <f>IF(S692="","",S692)</f>
        <v>NA</v>
      </c>
    </row>
    <row r="169" spans="2:8" ht="11.25" hidden="1" customHeight="1" outlineLevel="1" x14ac:dyDescent="0.35">
      <c r="B169" s="244" t="s">
        <v>5121</v>
      </c>
      <c r="C169" s="245"/>
      <c r="D169" s="278" t="str">
        <f>IF(S737="","",S737)</f>
        <v>NA</v>
      </c>
      <c r="E169" s="278" t="str">
        <f>IF(S726="","",S726)</f>
        <v>NA</v>
      </c>
      <c r="F169" s="278" t="str">
        <f>IF(S715="","",S715)</f>
        <v>NA</v>
      </c>
      <c r="G169" s="278" t="str">
        <f>IF(S704="","",S704)</f>
        <v>NA</v>
      </c>
      <c r="H169" s="278" t="str">
        <f>IF(S693="","",S693)</f>
        <v>NA</v>
      </c>
    </row>
    <row r="170" spans="2:8" ht="11.25" hidden="1" customHeight="1" outlineLevel="1" x14ac:dyDescent="0.35">
      <c r="B170" s="244" t="s">
        <v>5367</v>
      </c>
      <c r="C170" s="245"/>
      <c r="D170" s="278" t="str">
        <f>IF(S738="","",S738)</f>
        <v>NA</v>
      </c>
      <c r="E170" s="278" t="str">
        <f>IF(S727="","",S727)</f>
        <v>NA</v>
      </c>
      <c r="F170" s="278" t="str">
        <f>IF(S716="","",S716)</f>
        <v>NA</v>
      </c>
      <c r="G170" s="278" t="str">
        <f>IF(S705="","",S705)</f>
        <v>NA</v>
      </c>
      <c r="H170" s="278" t="str">
        <f>IF(S694="","",S694)</f>
        <v>NA</v>
      </c>
    </row>
    <row r="171" spans="2:8" ht="11.25" hidden="1" customHeight="1" outlineLevel="1" x14ac:dyDescent="0.35">
      <c r="B171" s="244" t="s">
        <v>5368</v>
      </c>
      <c r="C171" s="245"/>
      <c r="D171" s="278" t="str">
        <f>IF(S739="","",S739)</f>
        <v>NA</v>
      </c>
      <c r="E171" s="278" t="str">
        <f>IF(S728="","",S728)</f>
        <v>NA</v>
      </c>
      <c r="F171" s="278" t="str">
        <f>IF(S717="","",S717)</f>
        <v>NA</v>
      </c>
      <c r="G171" s="278" t="str">
        <f>IF(S706="","",S706)</f>
        <v>NA</v>
      </c>
      <c r="H171" s="278" t="str">
        <f>IF(S695="","",S695)</f>
        <v>NA</v>
      </c>
    </row>
    <row r="172" spans="2:8" ht="11.25" hidden="1" customHeight="1" outlineLevel="1" x14ac:dyDescent="0.35">
      <c r="B172" s="244" t="s">
        <v>5369</v>
      </c>
      <c r="C172" s="245"/>
      <c r="D172" s="278" t="str">
        <f>IF(S740="","",S740)</f>
        <v>NA</v>
      </c>
      <c r="E172" s="278" t="str">
        <f>IF(S729="","",S729)</f>
        <v>NA</v>
      </c>
      <c r="F172" s="278" t="str">
        <f>IF(S718="","",S718)</f>
        <v>NA</v>
      </c>
      <c r="G172" s="278" t="str">
        <f>IF(S707="","",S707)</f>
        <v>NA</v>
      </c>
      <c r="H172" s="278" t="str">
        <f>IF(S696="","",S696)</f>
        <v>NA</v>
      </c>
    </row>
    <row r="173" spans="2:8" ht="11.25" hidden="1" customHeight="1" outlineLevel="1" x14ac:dyDescent="0.35">
      <c r="B173" s="244" t="s">
        <v>5370</v>
      </c>
      <c r="C173" s="245"/>
      <c r="D173" s="278" t="str">
        <f>IF(S741="","",S741)</f>
        <v>NA</v>
      </c>
      <c r="E173" s="278" t="str">
        <f>IF(S730="","",S730)</f>
        <v>NA</v>
      </c>
      <c r="F173" s="278" t="str">
        <f>IF(S719="","",S719)</f>
        <v>NA</v>
      </c>
      <c r="G173" s="278" t="str">
        <f>IF(S708="","",S708)</f>
        <v>NA</v>
      </c>
      <c r="H173" s="278" t="str">
        <f>IF(S697="","",S697)</f>
        <v>NA</v>
      </c>
    </row>
    <row r="174" spans="2:8" ht="11.25" hidden="1" customHeight="1" outlineLevel="1" x14ac:dyDescent="0.35">
      <c r="B174" s="244" t="s">
        <v>5371</v>
      </c>
      <c r="C174" s="245"/>
      <c r="D174" s="278" t="str">
        <f>IF(S742="","",S742)</f>
        <v>NA</v>
      </c>
      <c r="E174" s="278" t="str">
        <f>IF(S731="","",S731)</f>
        <v>NA</v>
      </c>
      <c r="F174" s="278" t="str">
        <f>IF(S720="","",S720)</f>
        <v>NA</v>
      </c>
      <c r="G174" s="278" t="str">
        <f>IF(S709="","",S709)</f>
        <v>NA</v>
      </c>
      <c r="H174" s="278" t="str">
        <f>IF(S698="","",S698)</f>
        <v>NA</v>
      </c>
    </row>
    <row r="175" spans="2:8" ht="11.25" hidden="1" customHeight="1" outlineLevel="1" x14ac:dyDescent="0.35">
      <c r="B175" s="244" t="s">
        <v>5372</v>
      </c>
      <c r="C175" s="245"/>
      <c r="D175" s="278" t="str">
        <f>IF(S743="","",S743)</f>
        <v>NA</v>
      </c>
      <c r="E175" s="278" t="str">
        <f>IF(S732="","",S732)</f>
        <v>NA</v>
      </c>
      <c r="F175" s="278" t="str">
        <f>IF(S721="","",S721)</f>
        <v>NA</v>
      </c>
      <c r="G175" s="278" t="str">
        <f>IF(S710="","",S710)</f>
        <v>NA</v>
      </c>
      <c r="H175" s="278" t="str">
        <f>IF(S699="","",S699)</f>
        <v>NA</v>
      </c>
    </row>
    <row r="176" spans="2:8" ht="11.25" hidden="1" customHeight="1" outlineLevel="1" x14ac:dyDescent="0.35">
      <c r="B176" s="244"/>
      <c r="C176" s="245"/>
      <c r="D176" s="278"/>
      <c r="E176" s="278"/>
      <c r="F176" s="278"/>
      <c r="G176" s="278"/>
      <c r="H176" s="278"/>
    </row>
    <row r="177" spans="2:8" s="364" customFormat="1" ht="11.25" hidden="1" customHeight="1" outlineLevel="1" x14ac:dyDescent="0.35">
      <c r="B177" s="246" t="s">
        <v>5467</v>
      </c>
      <c r="C177" s="245"/>
      <c r="D177" s="278"/>
      <c r="E177" s="278"/>
      <c r="F177" s="278"/>
      <c r="G177" s="278"/>
      <c r="H177" s="278"/>
    </row>
    <row r="178" spans="2:8" ht="11.25" hidden="1" customHeight="1" outlineLevel="1" x14ac:dyDescent="0.35">
      <c r="B178" s="292" t="s">
        <v>5365</v>
      </c>
      <c r="C178" s="245"/>
      <c r="D178" s="278" t="str">
        <f>IF(S789="","",S789)</f>
        <v>NA</v>
      </c>
      <c r="E178" s="278" t="str">
        <f>IF(S778="","",S778)</f>
        <v>NA</v>
      </c>
      <c r="F178" s="278" t="str">
        <f>IF(S767="","",S767)</f>
        <v>NA</v>
      </c>
      <c r="G178" s="278" t="str">
        <f>IF(S756="","",S756)</f>
        <v>NA</v>
      </c>
      <c r="H178" s="278" t="str">
        <f>IF(S745="","",S745)</f>
        <v>NA</v>
      </c>
    </row>
    <row r="179" spans="2:8" ht="11.25" hidden="1" customHeight="1" outlineLevel="1" x14ac:dyDescent="0.35">
      <c r="B179" s="244" t="s">
        <v>5366</v>
      </c>
      <c r="C179" s="245"/>
      <c r="D179" s="278" t="str">
        <f>IF(S790="","",S790)</f>
        <v>NA</v>
      </c>
      <c r="E179" s="278" t="str">
        <f>IF(S779="","",S779)</f>
        <v>NA</v>
      </c>
      <c r="F179" s="278" t="str">
        <f>IF(S768="","",S768)</f>
        <v>NA</v>
      </c>
      <c r="G179" s="278" t="str">
        <f>IF(S757="","",S757)</f>
        <v>NA</v>
      </c>
      <c r="H179" s="278" t="str">
        <f>IF(S746="","",S746)</f>
        <v>NA</v>
      </c>
    </row>
    <row r="180" spans="2:8" ht="11.25" hidden="1" customHeight="1" outlineLevel="1" x14ac:dyDescent="0.35">
      <c r="B180" s="244" t="s">
        <v>5122</v>
      </c>
      <c r="C180" s="245"/>
      <c r="D180" s="278" t="str">
        <f>IF(S791="","",S791)</f>
        <v>NA</v>
      </c>
      <c r="E180" s="278" t="str">
        <f>IF(S780="","",S780)</f>
        <v>NA</v>
      </c>
      <c r="F180" s="278" t="str">
        <f>IF(S769="","",S769)</f>
        <v>NA</v>
      </c>
      <c r="G180" s="278" t="str">
        <f>IF(S758="","",S758)</f>
        <v>NA</v>
      </c>
      <c r="H180" s="278" t="str">
        <f>IF(S747="","",S747)</f>
        <v>NA</v>
      </c>
    </row>
    <row r="181" spans="2:8" ht="11.25" hidden="1" customHeight="1" outlineLevel="1" x14ac:dyDescent="0.35">
      <c r="B181" s="244" t="s">
        <v>5124</v>
      </c>
      <c r="C181" s="245"/>
      <c r="D181" s="278" t="str">
        <f>IF(S792="","",S792)</f>
        <v>NA</v>
      </c>
      <c r="E181" s="278" t="str">
        <f>IF(S781="","",S781)</f>
        <v>NA</v>
      </c>
      <c r="F181" s="278" t="str">
        <f>IF(S770="","",S770)</f>
        <v>NA</v>
      </c>
      <c r="G181" s="278" t="str">
        <f>IF(S759="","",S759)</f>
        <v>NA</v>
      </c>
      <c r="H181" s="278" t="str">
        <f>IF(S748="","",S748)</f>
        <v>NA</v>
      </c>
    </row>
    <row r="182" spans="2:8" ht="11.25" hidden="1" customHeight="1" outlineLevel="1" x14ac:dyDescent="0.35">
      <c r="B182" s="244" t="s">
        <v>5121</v>
      </c>
      <c r="C182" s="245"/>
      <c r="D182" s="278" t="str">
        <f>IF(S793="","",S793)</f>
        <v>NA</v>
      </c>
      <c r="E182" s="278" t="str">
        <f>IF(S782="","",S782)</f>
        <v>NA</v>
      </c>
      <c r="F182" s="278" t="str">
        <f>IF(S771="","",S771)</f>
        <v>NA</v>
      </c>
      <c r="G182" s="278" t="str">
        <f>IF(S760="","",S760)</f>
        <v>NA</v>
      </c>
      <c r="H182" s="278" t="str">
        <f>IF(S749="","",S749)</f>
        <v>NA</v>
      </c>
    </row>
    <row r="183" spans="2:8" ht="11.25" hidden="1" customHeight="1" outlineLevel="1" x14ac:dyDescent="0.35">
      <c r="B183" s="244" t="s">
        <v>5367</v>
      </c>
      <c r="C183" s="245"/>
      <c r="D183" s="278" t="str">
        <f>IF(S794="","",S794)</f>
        <v>NA</v>
      </c>
      <c r="E183" s="278" t="str">
        <f>IF(S783="","",S783)</f>
        <v>NA</v>
      </c>
      <c r="F183" s="278" t="str">
        <f>IF(S772="","",S772)</f>
        <v>NA</v>
      </c>
      <c r="G183" s="278" t="str">
        <f>IF(S761="","",S761)</f>
        <v>NA</v>
      </c>
      <c r="H183" s="278" t="str">
        <f>IF(S750="","",S750)</f>
        <v>NA</v>
      </c>
    </row>
    <row r="184" spans="2:8" ht="11.25" hidden="1" customHeight="1" outlineLevel="1" x14ac:dyDescent="0.35">
      <c r="B184" s="244" t="s">
        <v>5368</v>
      </c>
      <c r="C184" s="245"/>
      <c r="D184" s="278" t="str">
        <f>IF(S795="","",S795)</f>
        <v>NA</v>
      </c>
      <c r="E184" s="278" t="str">
        <f>IF(S784="","",S784)</f>
        <v>NA</v>
      </c>
      <c r="F184" s="278" t="str">
        <f>IF(S773="","",S773)</f>
        <v>NA</v>
      </c>
      <c r="G184" s="278" t="str">
        <f>IF(S762="","",S762)</f>
        <v>NA</v>
      </c>
      <c r="H184" s="278" t="str">
        <f>IF(S751="","",S751)</f>
        <v>NA</v>
      </c>
    </row>
    <row r="185" spans="2:8" ht="11.25" hidden="1" customHeight="1" outlineLevel="1" x14ac:dyDescent="0.35">
      <c r="B185" s="244" t="s">
        <v>5369</v>
      </c>
      <c r="C185" s="245"/>
      <c r="D185" s="278" t="str">
        <f>IF(S796="","",S796)</f>
        <v>NA</v>
      </c>
      <c r="E185" s="278" t="str">
        <f>IF(S785="","",S785)</f>
        <v>NA</v>
      </c>
      <c r="F185" s="278" t="str">
        <f>IF(S774="","",S774)</f>
        <v>NA</v>
      </c>
      <c r="G185" s="278" t="str">
        <f>IF(S763="","",S763)</f>
        <v>NA</v>
      </c>
      <c r="H185" s="278" t="str">
        <f>IF(S752="","",S752)</f>
        <v>NA</v>
      </c>
    </row>
    <row r="186" spans="2:8" ht="11.25" hidden="1" customHeight="1" outlineLevel="1" x14ac:dyDescent="0.35">
      <c r="B186" s="244" t="s">
        <v>5370</v>
      </c>
      <c r="C186" s="245"/>
      <c r="D186" s="278" t="str">
        <f>IF(S797="","",S797)</f>
        <v>NA</v>
      </c>
      <c r="E186" s="278" t="str">
        <f>IF(S786="","",S786)</f>
        <v>NA</v>
      </c>
      <c r="F186" s="278" t="str">
        <f>IF(S775="","",S775)</f>
        <v>NA</v>
      </c>
      <c r="G186" s="278" t="str">
        <f>IF(S764="","",S764)</f>
        <v>NA</v>
      </c>
      <c r="H186" s="278" t="str">
        <f>IF(S753="","",S753)</f>
        <v>NA</v>
      </c>
    </row>
    <row r="187" spans="2:8" ht="11.25" hidden="1" customHeight="1" outlineLevel="1" x14ac:dyDescent="0.35">
      <c r="B187" s="244" t="s">
        <v>5371</v>
      </c>
      <c r="C187" s="245"/>
      <c r="D187" s="278" t="str">
        <f>IF(S798="","",S798)</f>
        <v>NA</v>
      </c>
      <c r="E187" s="278" t="str">
        <f>IF(S787="","",S787)</f>
        <v>NA</v>
      </c>
      <c r="F187" s="278" t="str">
        <f>IF(S776="","",S776)</f>
        <v>NA</v>
      </c>
      <c r="G187" s="278" t="str">
        <f>IF(S765="","",S765)</f>
        <v>NA</v>
      </c>
      <c r="H187" s="278" t="str">
        <f>IF(S754="","",S754)</f>
        <v>NA</v>
      </c>
    </row>
    <row r="188" spans="2:8" ht="11.25" hidden="1" customHeight="1" outlineLevel="1" x14ac:dyDescent="0.35">
      <c r="B188" s="244" t="s">
        <v>5372</v>
      </c>
      <c r="C188" s="245"/>
      <c r="D188" s="278" t="str">
        <f>IF(S799="","",S799)</f>
        <v>NA</v>
      </c>
      <c r="E188" s="278" t="str">
        <f>IF(S788="","",S788)</f>
        <v>NA</v>
      </c>
      <c r="F188" s="278" t="str">
        <f>IF(S777="","",S777)</f>
        <v>NA</v>
      </c>
      <c r="G188" s="278" t="str">
        <f>IF(S766="","",S766)</f>
        <v>NA</v>
      </c>
      <c r="H188" s="278" t="str">
        <f>IF(S755="","",S755)</f>
        <v>NA</v>
      </c>
    </row>
    <row r="189" spans="2:8" ht="11.25" hidden="1" customHeight="1" outlineLevel="1" x14ac:dyDescent="0.35">
      <c r="B189" s="244"/>
      <c r="C189" s="245"/>
      <c r="D189" s="278"/>
      <c r="E189" s="278"/>
      <c r="F189" s="278"/>
      <c r="G189" s="278"/>
      <c r="H189" s="278"/>
    </row>
    <row r="190" spans="2:8" s="364" customFormat="1" ht="11.25" hidden="1" customHeight="1" outlineLevel="1" x14ac:dyDescent="0.35">
      <c r="B190" s="246" t="s">
        <v>5468</v>
      </c>
      <c r="C190" s="245"/>
      <c r="D190" s="278"/>
      <c r="E190" s="278"/>
      <c r="F190" s="278"/>
      <c r="G190" s="278"/>
      <c r="H190" s="278"/>
    </row>
    <row r="191" spans="2:8" ht="11.25" hidden="1" customHeight="1" outlineLevel="1" x14ac:dyDescent="0.35">
      <c r="B191" s="292" t="s">
        <v>5365</v>
      </c>
      <c r="C191" s="245"/>
      <c r="D191" s="278" t="str">
        <f>IF(S845="","",S845)</f>
        <v>NA</v>
      </c>
      <c r="E191" s="278" t="str">
        <f>IF(S834="","",S834)</f>
        <v>NA</v>
      </c>
      <c r="F191" s="278" t="str">
        <f>IF(S823="","",S823)</f>
        <v>NA</v>
      </c>
      <c r="G191" s="278" t="str">
        <f>IF(S812="","",S812)</f>
        <v>NA</v>
      </c>
      <c r="H191" s="278" t="str">
        <f>IF(S801="","",S801)</f>
        <v>NA</v>
      </c>
    </row>
    <row r="192" spans="2:8" ht="11.25" hidden="1" customHeight="1" outlineLevel="1" x14ac:dyDescent="0.35">
      <c r="B192" s="244" t="s">
        <v>5366</v>
      </c>
      <c r="C192" s="245"/>
      <c r="D192" s="278" t="str">
        <f>IF(S846="","",S846)</f>
        <v>NA</v>
      </c>
      <c r="E192" s="278" t="str">
        <f>IF(S835="","",S835)</f>
        <v>NA</v>
      </c>
      <c r="F192" s="278" t="str">
        <f>IF(S824="","",S824)</f>
        <v>NA</v>
      </c>
      <c r="G192" s="278" t="str">
        <f>IF(S813="","",S813)</f>
        <v>NA</v>
      </c>
      <c r="H192" s="278" t="str">
        <f>IF(S802="","",S802)</f>
        <v>NA</v>
      </c>
    </row>
    <row r="193" spans="2:8" ht="11.25" hidden="1" customHeight="1" outlineLevel="1" x14ac:dyDescent="0.35">
      <c r="B193" s="244" t="s">
        <v>5122</v>
      </c>
      <c r="C193" s="245"/>
      <c r="D193" s="278" t="str">
        <f>IF(S847="","",S847)</f>
        <v>NA</v>
      </c>
      <c r="E193" s="278" t="str">
        <f>IF(S836="","",S836)</f>
        <v>NA</v>
      </c>
      <c r="F193" s="278" t="str">
        <f>IF(S825="","",S825)</f>
        <v>NA</v>
      </c>
      <c r="G193" s="278" t="str">
        <f>IF(S814="","",S814)</f>
        <v>NA</v>
      </c>
      <c r="H193" s="278" t="str">
        <f>IF(S803="","",S803)</f>
        <v>NA</v>
      </c>
    </row>
    <row r="194" spans="2:8" ht="11.25" hidden="1" customHeight="1" outlineLevel="1" x14ac:dyDescent="0.35">
      <c r="B194" s="244" t="s">
        <v>5124</v>
      </c>
      <c r="C194" s="245"/>
      <c r="D194" s="278" t="str">
        <f>IF(S848="","",S848)</f>
        <v>NA</v>
      </c>
      <c r="E194" s="278" t="str">
        <f>IF(S837="","",S837)</f>
        <v>NA</v>
      </c>
      <c r="F194" s="278" t="str">
        <f>IF(S826="","",S826)</f>
        <v>NA</v>
      </c>
      <c r="G194" s="278" t="str">
        <f>IF(S815="","",S815)</f>
        <v>NA</v>
      </c>
      <c r="H194" s="278" t="str">
        <f>IF(S804="","",S804)</f>
        <v>NA</v>
      </c>
    </row>
    <row r="195" spans="2:8" ht="11.25" hidden="1" customHeight="1" outlineLevel="1" x14ac:dyDescent="0.35">
      <c r="B195" s="244" t="s">
        <v>5121</v>
      </c>
      <c r="C195" s="245"/>
      <c r="D195" s="278" t="str">
        <f>IF(S849="","",S849)</f>
        <v>NA</v>
      </c>
      <c r="E195" s="278" t="str">
        <f>IF(S838="","",S838)</f>
        <v>NA</v>
      </c>
      <c r="F195" s="278" t="str">
        <f>IF(S827="","",S827)</f>
        <v>NA</v>
      </c>
      <c r="G195" s="278" t="str">
        <f>IF(S816="","",S816)</f>
        <v>NA</v>
      </c>
      <c r="H195" s="278" t="str">
        <f>IF(S805="","",S805)</f>
        <v>NA</v>
      </c>
    </row>
    <row r="196" spans="2:8" ht="11.25" hidden="1" customHeight="1" outlineLevel="1" x14ac:dyDescent="0.35">
      <c r="B196" s="244" t="s">
        <v>5367</v>
      </c>
      <c r="C196" s="245"/>
      <c r="D196" s="278" t="str">
        <f>IF(S850="","",S850)</f>
        <v>NA</v>
      </c>
      <c r="E196" s="278" t="str">
        <f>IF(S839="","",S839)</f>
        <v>NA</v>
      </c>
      <c r="F196" s="278" t="str">
        <f>IF(S828="","",S828)</f>
        <v>NA</v>
      </c>
      <c r="G196" s="278" t="str">
        <f>IF(S817="","",S817)</f>
        <v>NA</v>
      </c>
      <c r="H196" s="278" t="str">
        <f>IF(S806="","",S806)</f>
        <v>NA</v>
      </c>
    </row>
    <row r="197" spans="2:8" ht="11.25" hidden="1" customHeight="1" outlineLevel="1" x14ac:dyDescent="0.35">
      <c r="B197" s="244" t="s">
        <v>5368</v>
      </c>
      <c r="C197" s="245"/>
      <c r="D197" s="278" t="str">
        <f>IF(S851="","",S851)</f>
        <v>NA</v>
      </c>
      <c r="E197" s="278" t="str">
        <f>IF(S840="","",S840)</f>
        <v>NA</v>
      </c>
      <c r="F197" s="278" t="str">
        <f>IF(S829="","",S829)</f>
        <v>NA</v>
      </c>
      <c r="G197" s="278" t="str">
        <f>IF(S818="","",S818)</f>
        <v>NA</v>
      </c>
      <c r="H197" s="278" t="str">
        <f>IF(S807="","",S807)</f>
        <v>NA</v>
      </c>
    </row>
    <row r="198" spans="2:8" ht="11.25" hidden="1" customHeight="1" outlineLevel="1" x14ac:dyDescent="0.35">
      <c r="B198" s="244" t="s">
        <v>5369</v>
      </c>
      <c r="C198" s="245"/>
      <c r="D198" s="278" t="str">
        <f>IF(S852="","",S852)</f>
        <v>NA</v>
      </c>
      <c r="E198" s="278" t="str">
        <f>IF(S841="","",S841)</f>
        <v>NA</v>
      </c>
      <c r="F198" s="278" t="str">
        <f>IF(S830="","",S830)</f>
        <v>NA</v>
      </c>
      <c r="G198" s="278" t="str">
        <f>IF(S819="","",S819)</f>
        <v>NA</v>
      </c>
      <c r="H198" s="278" t="str">
        <f>IF(S808="","",S808)</f>
        <v>NA</v>
      </c>
    </row>
    <row r="199" spans="2:8" ht="11.25" hidden="1" customHeight="1" outlineLevel="1" x14ac:dyDescent="0.35">
      <c r="B199" s="244" t="s">
        <v>5370</v>
      </c>
      <c r="C199" s="245"/>
      <c r="D199" s="278" t="str">
        <f>IF(S853="","",S853)</f>
        <v>NA</v>
      </c>
      <c r="E199" s="278" t="str">
        <f>IF(S842="","",S842)</f>
        <v>NA</v>
      </c>
      <c r="F199" s="278" t="str">
        <f>IF(S831="","",S831)</f>
        <v>NA</v>
      </c>
      <c r="G199" s="278" t="str">
        <f>IF(S820="","",S820)</f>
        <v>NA</v>
      </c>
      <c r="H199" s="278" t="str">
        <f>IF(S809="","",S809)</f>
        <v>NA</v>
      </c>
    </row>
    <row r="200" spans="2:8" ht="11.25" hidden="1" customHeight="1" outlineLevel="1" x14ac:dyDescent="0.35">
      <c r="B200" s="244" t="s">
        <v>5371</v>
      </c>
      <c r="C200" s="245"/>
      <c r="D200" s="278" t="str">
        <f>IF(S854="","",S854)</f>
        <v>NA</v>
      </c>
      <c r="E200" s="278" t="str">
        <f>IF(S843="","",S843)</f>
        <v>NA</v>
      </c>
      <c r="F200" s="278" t="str">
        <f>IF(S832="","",S832)</f>
        <v>NA</v>
      </c>
      <c r="G200" s="278" t="str">
        <f>IF(S821="","",S821)</f>
        <v>NA</v>
      </c>
      <c r="H200" s="278" t="str">
        <f>IF(S810="","",S810)</f>
        <v>NA</v>
      </c>
    </row>
    <row r="201" spans="2:8" ht="11.25" hidden="1" customHeight="1" outlineLevel="1" x14ac:dyDescent="0.35">
      <c r="B201" s="244" t="s">
        <v>5372</v>
      </c>
      <c r="C201" s="245"/>
      <c r="D201" s="278" t="str">
        <f>IF(S855="","",S855)</f>
        <v>NA</v>
      </c>
      <c r="E201" s="278" t="str">
        <f>IF(S844="","",S844)</f>
        <v>NA</v>
      </c>
      <c r="F201" s="278" t="str">
        <f>IF(S833="","",S833)</f>
        <v>NA</v>
      </c>
      <c r="G201" s="278" t="str">
        <f>IF(S822="","",S822)</f>
        <v>NA</v>
      </c>
      <c r="H201" s="278" t="str">
        <f>IF(S811="","",S811)</f>
        <v>NA</v>
      </c>
    </row>
    <row r="202" spans="2:8" ht="11.25" hidden="1" customHeight="1" outlineLevel="1" x14ac:dyDescent="0.35">
      <c r="B202" s="244"/>
      <c r="C202" s="245"/>
      <c r="D202" s="278"/>
      <c r="E202" s="278"/>
      <c r="F202" s="278"/>
      <c r="G202" s="278"/>
      <c r="H202" s="278"/>
    </row>
    <row r="203" spans="2:8" s="364" customFormat="1" ht="11.25" hidden="1" customHeight="1" outlineLevel="1" x14ac:dyDescent="0.35">
      <c r="B203" s="246" t="s">
        <v>5469</v>
      </c>
      <c r="C203" s="245"/>
      <c r="D203" s="278"/>
      <c r="E203" s="278"/>
      <c r="F203" s="278"/>
      <c r="G203" s="278"/>
      <c r="H203" s="278"/>
    </row>
    <row r="204" spans="2:8" ht="11.25" hidden="1" customHeight="1" outlineLevel="1" x14ac:dyDescent="0.35">
      <c r="B204" s="292" t="s">
        <v>5365</v>
      </c>
      <c r="C204" s="245"/>
      <c r="D204" s="278" t="str">
        <f>IF(S901="","",S901)</f>
        <v>NA</v>
      </c>
      <c r="E204" s="278" t="str">
        <f>IF(S890="","",S890)</f>
        <v>NA</v>
      </c>
      <c r="F204" s="278" t="str">
        <f>IF(S879="","",S879)</f>
        <v>NA</v>
      </c>
      <c r="G204" s="278" t="str">
        <f>IF(S868="","",S868)</f>
        <v>NA</v>
      </c>
      <c r="H204" s="278" t="str">
        <f>IF(S857="","",S857)</f>
        <v>NA</v>
      </c>
    </row>
    <row r="205" spans="2:8" ht="11.25" hidden="1" customHeight="1" outlineLevel="1" x14ac:dyDescent="0.35">
      <c r="B205" s="244" t="s">
        <v>5366</v>
      </c>
      <c r="C205" s="245"/>
      <c r="D205" s="278" t="str">
        <f>IF(S902="","",S902)</f>
        <v>NA</v>
      </c>
      <c r="E205" s="278" t="str">
        <f>IF(S891="","",S891)</f>
        <v>NA</v>
      </c>
      <c r="F205" s="278" t="str">
        <f>IF(S880="","",S880)</f>
        <v>NA</v>
      </c>
      <c r="G205" s="278" t="str">
        <f>IF(S869="","",S869)</f>
        <v>NA</v>
      </c>
      <c r="H205" s="278" t="str">
        <f>IF(S858="","",S858)</f>
        <v>NA</v>
      </c>
    </row>
    <row r="206" spans="2:8" ht="11.25" hidden="1" customHeight="1" outlineLevel="1" x14ac:dyDescent="0.35">
      <c r="B206" s="244" t="s">
        <v>5122</v>
      </c>
      <c r="C206" s="245"/>
      <c r="D206" s="278" t="str">
        <f>IF(S903="","",S903)</f>
        <v>NA</v>
      </c>
      <c r="E206" s="278" t="str">
        <f>IF(S892="","",S892)</f>
        <v>NA</v>
      </c>
      <c r="F206" s="278" t="str">
        <f>IF(S881="","",S881)</f>
        <v>NA</v>
      </c>
      <c r="G206" s="278" t="str">
        <f>IF(S870="","",S870)</f>
        <v>NA</v>
      </c>
      <c r="H206" s="278" t="str">
        <f>IF(S859="","",S859)</f>
        <v>NA</v>
      </c>
    </row>
    <row r="207" spans="2:8" ht="11.25" hidden="1" customHeight="1" outlineLevel="1" x14ac:dyDescent="0.35">
      <c r="B207" s="244" t="s">
        <v>5124</v>
      </c>
      <c r="C207" s="245"/>
      <c r="D207" s="278" t="str">
        <f>IF(S904="","",S904)</f>
        <v>NA</v>
      </c>
      <c r="E207" s="278" t="str">
        <f>IF(S893="","",S893)</f>
        <v>NA</v>
      </c>
      <c r="F207" s="278" t="str">
        <f>IF(S882="","",S882)</f>
        <v>NA</v>
      </c>
      <c r="G207" s="278" t="str">
        <f>IF(S871="","",S871)</f>
        <v>NA</v>
      </c>
      <c r="H207" s="278" t="str">
        <f>IF(S860="","",S860)</f>
        <v>NA</v>
      </c>
    </row>
    <row r="208" spans="2:8" ht="11.25" hidden="1" customHeight="1" outlineLevel="1" x14ac:dyDescent="0.35">
      <c r="B208" s="244" t="s">
        <v>5121</v>
      </c>
      <c r="C208" s="245"/>
      <c r="D208" s="278" t="str">
        <f>IF(S905="","",S905)</f>
        <v>NA</v>
      </c>
      <c r="E208" s="278" t="str">
        <f>IF(S894="","",S894)</f>
        <v>NA</v>
      </c>
      <c r="F208" s="278" t="str">
        <f>IF(S883="","",S883)</f>
        <v>NA</v>
      </c>
      <c r="G208" s="278" t="str">
        <f>IF(S872="","",S872)</f>
        <v>NA</v>
      </c>
      <c r="H208" s="278" t="str">
        <f>IF(S861="","",S861)</f>
        <v>NA</v>
      </c>
    </row>
    <row r="209" spans="2:8" ht="11.25" hidden="1" customHeight="1" outlineLevel="1" x14ac:dyDescent="0.35">
      <c r="B209" s="244" t="s">
        <v>5367</v>
      </c>
      <c r="C209" s="245"/>
      <c r="D209" s="278" t="str">
        <f>IF(S906="","",S906)</f>
        <v>NA</v>
      </c>
      <c r="E209" s="278" t="str">
        <f>IF(S895="","",S895)</f>
        <v>NA</v>
      </c>
      <c r="F209" s="278" t="str">
        <f>IF(S884="","",S884)</f>
        <v>NA</v>
      </c>
      <c r="G209" s="278" t="str">
        <f>IF(S873="","",S873)</f>
        <v>NA</v>
      </c>
      <c r="H209" s="278" t="str">
        <f>IF(S862="","",S862)</f>
        <v>NA</v>
      </c>
    </row>
    <row r="210" spans="2:8" ht="11.25" hidden="1" customHeight="1" outlineLevel="1" x14ac:dyDescent="0.35">
      <c r="B210" s="244" t="s">
        <v>5368</v>
      </c>
      <c r="C210" s="245"/>
      <c r="D210" s="278" t="str">
        <f>IF(S907="","",S907)</f>
        <v>NA</v>
      </c>
      <c r="E210" s="278" t="str">
        <f>IF(S896="","",S896)</f>
        <v>NA</v>
      </c>
      <c r="F210" s="278" t="str">
        <f>IF(S885="","",S885)</f>
        <v>NA</v>
      </c>
      <c r="G210" s="278" t="str">
        <f>IF(S874="","",S874)</f>
        <v>NA</v>
      </c>
      <c r="H210" s="278" t="str">
        <f>IF(S863="","",S863)</f>
        <v>NA</v>
      </c>
    </row>
    <row r="211" spans="2:8" ht="11.25" hidden="1" customHeight="1" outlineLevel="1" x14ac:dyDescent="0.35">
      <c r="B211" s="244" t="s">
        <v>5369</v>
      </c>
      <c r="C211" s="245"/>
      <c r="D211" s="278" t="str">
        <f>IF(S908="","",S908)</f>
        <v>NA</v>
      </c>
      <c r="E211" s="278" t="str">
        <f>IF(S897="","",S897)</f>
        <v>NA</v>
      </c>
      <c r="F211" s="278" t="str">
        <f>IF(S886="","",S886)</f>
        <v>NA</v>
      </c>
      <c r="G211" s="278" t="str">
        <f>IF(S875="","",S875)</f>
        <v>NA</v>
      </c>
      <c r="H211" s="278" t="str">
        <f>IF(S864="","",S864)</f>
        <v>NA</v>
      </c>
    </row>
    <row r="212" spans="2:8" ht="11.25" hidden="1" customHeight="1" outlineLevel="1" x14ac:dyDescent="0.35">
      <c r="B212" s="244" t="s">
        <v>5370</v>
      </c>
      <c r="C212" s="245"/>
      <c r="D212" s="278" t="str">
        <f>IF(S909="","",S909)</f>
        <v>NA</v>
      </c>
      <c r="E212" s="278" t="str">
        <f>IF(S898="","",S898)</f>
        <v>NA</v>
      </c>
      <c r="F212" s="278" t="str">
        <f>IF(S887="","",S887)</f>
        <v>NA</v>
      </c>
      <c r="G212" s="278" t="str">
        <f>IF(S876="","",S876)</f>
        <v>NA</v>
      </c>
      <c r="H212" s="278" t="str">
        <f>IF(S865="","",S865)</f>
        <v>NA</v>
      </c>
    </row>
    <row r="213" spans="2:8" ht="11.25" hidden="1" customHeight="1" outlineLevel="1" x14ac:dyDescent="0.35">
      <c r="B213" s="244" t="s">
        <v>5371</v>
      </c>
      <c r="C213" s="245"/>
      <c r="D213" s="278" t="str">
        <f>IF(S910="","",S910)</f>
        <v>NA</v>
      </c>
      <c r="E213" s="278" t="str">
        <f>IF(S899="","",S899)</f>
        <v>NA</v>
      </c>
      <c r="F213" s="278" t="str">
        <f>IF(S888="","",S888)</f>
        <v>NA</v>
      </c>
      <c r="G213" s="278" t="str">
        <f>IF(S877="","",S877)</f>
        <v>NA</v>
      </c>
      <c r="H213" s="278" t="str">
        <f>IF(S866="","",S866)</f>
        <v>NA</v>
      </c>
    </row>
    <row r="214" spans="2:8" ht="11.25" hidden="1" customHeight="1" outlineLevel="1" x14ac:dyDescent="0.35">
      <c r="B214" s="244" t="s">
        <v>5372</v>
      </c>
      <c r="C214" s="245"/>
      <c r="D214" s="278" t="str">
        <f>IF(S911="","",S911)</f>
        <v>NA</v>
      </c>
      <c r="E214" s="278" t="str">
        <f>IF(S900="","",S900)</f>
        <v>NA</v>
      </c>
      <c r="F214" s="278" t="str">
        <f>IF(S889="","",S889)</f>
        <v>NA</v>
      </c>
      <c r="G214" s="278" t="str">
        <f>IF(S878="","",S878)</f>
        <v>NA</v>
      </c>
      <c r="H214" s="278" t="str">
        <f>IF(S867="","",S867)</f>
        <v>NA</v>
      </c>
    </row>
    <row r="215" spans="2:8" ht="11.25" hidden="1" customHeight="1" outlineLevel="1" x14ac:dyDescent="0.35">
      <c r="B215" s="244"/>
      <c r="C215" s="245"/>
      <c r="D215" s="278"/>
      <c r="E215" s="278"/>
      <c r="F215" s="278"/>
      <c r="G215" s="278"/>
      <c r="H215" s="278"/>
    </row>
    <row r="216" spans="2:8" s="364" customFormat="1" ht="11.25" hidden="1" customHeight="1" outlineLevel="1" x14ac:dyDescent="0.35">
      <c r="B216" s="246" t="s">
        <v>5458</v>
      </c>
      <c r="C216" s="245"/>
      <c r="D216" s="278"/>
      <c r="E216" s="278"/>
      <c r="F216" s="278"/>
      <c r="G216" s="278"/>
      <c r="H216" s="278"/>
    </row>
    <row r="217" spans="2:8" ht="11.25" hidden="1" customHeight="1" outlineLevel="1" x14ac:dyDescent="0.35">
      <c r="B217" s="292" t="s">
        <v>5365</v>
      </c>
      <c r="C217" s="245"/>
      <c r="D217" s="278" t="str">
        <f>IF(S453="","",S453)</f>
        <v>NA</v>
      </c>
      <c r="E217" s="278" t="str">
        <f>IF(S442="","",S442)</f>
        <v>NA</v>
      </c>
      <c r="F217" s="278" t="str">
        <f>IF(S431="","",S431)</f>
        <v>NA</v>
      </c>
      <c r="G217" s="279" t="str">
        <f>IF(S420="","",S420)</f>
        <v>NA</v>
      </c>
      <c r="H217" s="278" t="str">
        <f>IF(S409="","",S409)</f>
        <v>NA</v>
      </c>
    </row>
    <row r="218" spans="2:8" ht="11.25" hidden="1" customHeight="1" outlineLevel="1" x14ac:dyDescent="0.35">
      <c r="B218" s="244" t="s">
        <v>5366</v>
      </c>
      <c r="C218" s="245"/>
      <c r="D218" s="278" t="str">
        <f>IF(S454="","",S454)</f>
        <v>NA</v>
      </c>
      <c r="E218" s="278" t="str">
        <f>IF(S443="","",S443)</f>
        <v>NA</v>
      </c>
      <c r="F218" s="278" t="str">
        <f>IF(S432="","",S432)</f>
        <v>NA</v>
      </c>
      <c r="G218" s="279" t="str">
        <f>IF(S421="","",S421)</f>
        <v>NA</v>
      </c>
      <c r="H218" s="278" t="str">
        <f>IF(S410="","",S410)</f>
        <v>NA</v>
      </c>
    </row>
    <row r="219" spans="2:8" ht="11.25" hidden="1" customHeight="1" outlineLevel="1" x14ac:dyDescent="0.35">
      <c r="B219" s="244" t="s">
        <v>5122</v>
      </c>
      <c r="C219" s="245"/>
      <c r="D219" s="278" t="str">
        <f>IF(S455="","",S455)</f>
        <v>NA</v>
      </c>
      <c r="E219" s="278" t="str">
        <f>IF(S444="","",S444)</f>
        <v>NA</v>
      </c>
      <c r="F219" s="278" t="str">
        <f>IF(S433="","",S433)</f>
        <v>NA</v>
      </c>
      <c r="G219" s="279" t="str">
        <f>IF(S422="","",S422)</f>
        <v>NA</v>
      </c>
      <c r="H219" s="278" t="str">
        <f>IF(S411="","",S411)</f>
        <v>NA</v>
      </c>
    </row>
    <row r="220" spans="2:8" ht="11.25" hidden="1" customHeight="1" outlineLevel="1" x14ac:dyDescent="0.35">
      <c r="B220" s="244" t="s">
        <v>5124</v>
      </c>
      <c r="C220" s="245"/>
      <c r="D220" s="278" t="str">
        <f>IF(S456="","",S456)</f>
        <v>NA</v>
      </c>
      <c r="E220" s="278" t="str">
        <f>IF(S445="","",S445)</f>
        <v>NA</v>
      </c>
      <c r="F220" s="278" t="str">
        <f>IF(S434="","",S434)</f>
        <v>NA</v>
      </c>
      <c r="G220" s="279" t="str">
        <f>IF(S423="","",S423)</f>
        <v>NA</v>
      </c>
      <c r="H220" s="278" t="str">
        <f>IF(S412="","",S412)</f>
        <v>NA</v>
      </c>
    </row>
    <row r="221" spans="2:8" ht="11.25" hidden="1" customHeight="1" outlineLevel="1" x14ac:dyDescent="0.35">
      <c r="B221" s="244" t="s">
        <v>5121</v>
      </c>
      <c r="C221" s="245"/>
      <c r="D221" s="278" t="str">
        <f>IF(S457="","",S457)</f>
        <v>NA</v>
      </c>
      <c r="E221" s="278" t="str">
        <f>IF(S446="","",S446)</f>
        <v>NA</v>
      </c>
      <c r="F221" s="278" t="str">
        <f>IF(S435="","",S435)</f>
        <v>NA</v>
      </c>
      <c r="G221" s="279" t="str">
        <f>IF(S424="","",S424)</f>
        <v>NA</v>
      </c>
      <c r="H221" s="278" t="str">
        <f>IF(S413="","",S413)</f>
        <v>NA</v>
      </c>
    </row>
    <row r="222" spans="2:8" ht="11.25" hidden="1" customHeight="1" outlineLevel="1" x14ac:dyDescent="0.35">
      <c r="B222" s="244" t="s">
        <v>5367</v>
      </c>
      <c r="C222" s="245"/>
      <c r="D222" s="278" t="str">
        <f>IF(S458="","",S458)</f>
        <v>NA</v>
      </c>
      <c r="E222" s="278" t="str">
        <f>IF(S447="","",S447)</f>
        <v>NA</v>
      </c>
      <c r="F222" s="278" t="str">
        <f>IF(S436="","",S436)</f>
        <v>NA</v>
      </c>
      <c r="G222" s="279" t="str">
        <f>IF(S425="","",S425)</f>
        <v>NA</v>
      </c>
      <c r="H222" s="278" t="str">
        <f>IF(S414="","",S414)</f>
        <v>NA</v>
      </c>
    </row>
    <row r="223" spans="2:8" ht="11.25" hidden="1" customHeight="1" outlineLevel="1" x14ac:dyDescent="0.35">
      <c r="B223" s="244" t="s">
        <v>5368</v>
      </c>
      <c r="C223" s="245"/>
      <c r="D223" s="278" t="str">
        <f>IF(S459="","",S459)</f>
        <v>NA</v>
      </c>
      <c r="E223" s="278" t="str">
        <f>IF(S448="","",S448)</f>
        <v>NA</v>
      </c>
      <c r="F223" s="278" t="str">
        <f>IF(S437="","",S437)</f>
        <v>NA</v>
      </c>
      <c r="G223" s="279" t="str">
        <f>IF(S426="","",S426)</f>
        <v>NA</v>
      </c>
      <c r="H223" s="278" t="str">
        <f>IF(S415="","",S415)</f>
        <v>NA</v>
      </c>
    </row>
    <row r="224" spans="2:8" ht="11.25" hidden="1" customHeight="1" outlineLevel="1" x14ac:dyDescent="0.35">
      <c r="B224" s="244" t="s">
        <v>5369</v>
      </c>
      <c r="C224" s="245"/>
      <c r="D224" s="278" t="str">
        <f>IF(S460="","",S460)</f>
        <v>NA</v>
      </c>
      <c r="E224" s="278" t="str">
        <f>IF(S449="","",S449)</f>
        <v>NA</v>
      </c>
      <c r="F224" s="278" t="str">
        <f>IF(S438="","",S438)</f>
        <v>NA</v>
      </c>
      <c r="G224" s="279" t="str">
        <f>IF(S427="","",S427)</f>
        <v>NA</v>
      </c>
      <c r="H224" s="278" t="str">
        <f>IF(S416="","",S416)</f>
        <v>NA</v>
      </c>
    </row>
    <row r="225" spans="2:8" ht="11.25" hidden="1" customHeight="1" outlineLevel="1" x14ac:dyDescent="0.35">
      <c r="B225" s="244" t="s">
        <v>5370</v>
      </c>
      <c r="C225" s="245"/>
      <c r="D225" s="278" t="str">
        <f>IF(S461="","",S461)</f>
        <v>NA</v>
      </c>
      <c r="E225" s="278" t="str">
        <f>IF(S450="","",S450)</f>
        <v>NA</v>
      </c>
      <c r="F225" s="278" t="str">
        <f>IF(S439="","",S439)</f>
        <v>NA</v>
      </c>
      <c r="G225" s="279" t="str">
        <f>IF(S428="","",S428)</f>
        <v>NA</v>
      </c>
      <c r="H225" s="278" t="str">
        <f>IF(S417="","",S417)</f>
        <v>NA</v>
      </c>
    </row>
    <row r="226" spans="2:8" ht="11.25" hidden="1" customHeight="1" outlineLevel="1" x14ac:dyDescent="0.35">
      <c r="B226" s="244" t="s">
        <v>5371</v>
      </c>
      <c r="C226" s="245"/>
      <c r="D226" s="278" t="str">
        <f>IF(S462="","",S462)</f>
        <v>NA</v>
      </c>
      <c r="E226" s="278" t="str">
        <f>IF(S451="","",S451)</f>
        <v>NA</v>
      </c>
      <c r="F226" s="278" t="str">
        <f>IF(S440="","",S440)</f>
        <v>NA</v>
      </c>
      <c r="G226" s="279" t="str">
        <f>IF(S429="","",S429)</f>
        <v>NA</v>
      </c>
      <c r="H226" s="278" t="str">
        <f>IF(S418="","",S418)</f>
        <v>NA</v>
      </c>
    </row>
    <row r="227" spans="2:8" ht="11.25" hidden="1" customHeight="1" outlineLevel="1" x14ac:dyDescent="0.35">
      <c r="B227" s="244" t="s">
        <v>5372</v>
      </c>
      <c r="C227" s="245"/>
      <c r="D227" s="278" t="str">
        <f>IF(S463="","",S463)</f>
        <v>NA</v>
      </c>
      <c r="E227" s="278" t="str">
        <f>IF(S452="","",S452)</f>
        <v>NA</v>
      </c>
      <c r="F227" s="278" t="str">
        <f>IF(S441="","",S441)</f>
        <v>NA</v>
      </c>
      <c r="G227" s="279" t="str">
        <f>IF(S430="","",S430)</f>
        <v>NA</v>
      </c>
      <c r="H227" s="278" t="str">
        <f>IF(S419="","",S419)</f>
        <v>NA</v>
      </c>
    </row>
    <row r="228" spans="2:8" ht="11.25" hidden="1" customHeight="1" outlineLevel="1" x14ac:dyDescent="0.35">
      <c r="B228" s="244"/>
      <c r="C228" s="245"/>
      <c r="D228" s="278"/>
      <c r="E228" s="278"/>
      <c r="F228" s="278"/>
      <c r="G228" s="278"/>
      <c r="H228" s="278"/>
    </row>
    <row r="229" spans="2:8" s="364" customFormat="1" ht="11.25" hidden="1" customHeight="1" outlineLevel="1" x14ac:dyDescent="0.35">
      <c r="B229" s="246" t="s">
        <v>5461</v>
      </c>
      <c r="C229" s="245"/>
      <c r="D229" s="278"/>
      <c r="E229" s="278"/>
      <c r="F229" s="278"/>
      <c r="G229" s="278"/>
      <c r="H229" s="278"/>
    </row>
    <row r="230" spans="2:8" ht="11.25" hidden="1" customHeight="1" outlineLevel="1" x14ac:dyDescent="0.35">
      <c r="B230" s="292" t="s">
        <v>5365</v>
      </c>
      <c r="C230" s="245"/>
      <c r="D230" s="278" t="str">
        <f>IF(S509="","",S509)</f>
        <v>NA</v>
      </c>
      <c r="E230" s="278" t="str">
        <f>IF(S498="","",S498)</f>
        <v>NA</v>
      </c>
      <c r="F230" s="278" t="str">
        <f>IF(S487="","",S487)</f>
        <v>NA</v>
      </c>
      <c r="G230" s="278" t="str">
        <f>IF(S476="","",S476)</f>
        <v>NA</v>
      </c>
      <c r="H230" s="278" t="str">
        <f>IF(S465="","",S465)</f>
        <v>NA</v>
      </c>
    </row>
    <row r="231" spans="2:8" ht="11.25" hidden="1" customHeight="1" outlineLevel="1" x14ac:dyDescent="0.35">
      <c r="B231" s="244" t="s">
        <v>5366</v>
      </c>
      <c r="C231" s="245"/>
      <c r="D231" s="278" t="str">
        <f>IF(S510="","",S510)</f>
        <v>NA</v>
      </c>
      <c r="E231" s="278" t="str">
        <f>IF(S499="","",S499)</f>
        <v>NA</v>
      </c>
      <c r="F231" s="278" t="str">
        <f>IF(S488="","",S488)</f>
        <v>NA</v>
      </c>
      <c r="G231" s="278" t="str">
        <f>IF(S477="","",S477)</f>
        <v>NA</v>
      </c>
      <c r="H231" s="278" t="str">
        <f>IF(S466="","",S466)</f>
        <v>NA</v>
      </c>
    </row>
    <row r="232" spans="2:8" ht="11.25" hidden="1" customHeight="1" outlineLevel="1" x14ac:dyDescent="0.35">
      <c r="B232" s="244" t="s">
        <v>5122</v>
      </c>
      <c r="C232" s="245"/>
      <c r="D232" s="278" t="str">
        <f>IF(S511="","",S511)</f>
        <v>NA</v>
      </c>
      <c r="E232" s="278" t="str">
        <f>IF(S500="","",S500)</f>
        <v>NA</v>
      </c>
      <c r="F232" s="278" t="str">
        <f>IF(S489="","",S489)</f>
        <v>NA</v>
      </c>
      <c r="G232" s="278" t="str">
        <f>IF(S478="","",S478)</f>
        <v>NA</v>
      </c>
      <c r="H232" s="278" t="str">
        <f>IF(S467="","",S467)</f>
        <v>NA</v>
      </c>
    </row>
    <row r="233" spans="2:8" ht="11.25" hidden="1" customHeight="1" outlineLevel="1" x14ac:dyDescent="0.35">
      <c r="B233" s="244" t="s">
        <v>5124</v>
      </c>
      <c r="C233" s="245"/>
      <c r="D233" s="278" t="str">
        <f>IF(S512="","",S512)</f>
        <v>NA</v>
      </c>
      <c r="E233" s="278" t="str">
        <f>IF(S501="","",S501)</f>
        <v>NA</v>
      </c>
      <c r="F233" s="278" t="str">
        <f>IF(S490="","",S490)</f>
        <v>NA</v>
      </c>
      <c r="G233" s="278" t="str">
        <f>IF(S479="","",S479)</f>
        <v>NA</v>
      </c>
      <c r="H233" s="278" t="str">
        <f>IF(S468="","",S468)</f>
        <v>NA</v>
      </c>
    </row>
    <row r="234" spans="2:8" ht="11.25" hidden="1" customHeight="1" outlineLevel="1" x14ac:dyDescent="0.35">
      <c r="B234" s="244" t="s">
        <v>5121</v>
      </c>
      <c r="C234" s="245"/>
      <c r="D234" s="278" t="str">
        <f>IF(S513="","",S513)</f>
        <v>NA</v>
      </c>
      <c r="E234" s="278" t="str">
        <f>IF(S502="","",S502)</f>
        <v>NA</v>
      </c>
      <c r="F234" s="278" t="str">
        <f>IF(S491="","",S491)</f>
        <v>NA</v>
      </c>
      <c r="G234" s="278" t="str">
        <f>IF(S480="","",S480)</f>
        <v>NA</v>
      </c>
      <c r="H234" s="278" t="str">
        <f>IF(S469="","",S469)</f>
        <v>NA</v>
      </c>
    </row>
    <row r="235" spans="2:8" ht="11.25" hidden="1" customHeight="1" outlineLevel="1" x14ac:dyDescent="0.35">
      <c r="B235" s="244" t="s">
        <v>5367</v>
      </c>
      <c r="C235" s="245"/>
      <c r="D235" s="278" t="str">
        <f>IF(S514="","",S514)</f>
        <v>NA</v>
      </c>
      <c r="E235" s="278" t="str">
        <f>IF(S503="","",S503)</f>
        <v>NA</v>
      </c>
      <c r="F235" s="278" t="str">
        <f>IF(S492="","",S492)</f>
        <v>NA</v>
      </c>
      <c r="G235" s="278" t="str">
        <f>IF(S481="","",S481)</f>
        <v>NA</v>
      </c>
      <c r="H235" s="278" t="str">
        <f>IF(S470="","",S470)</f>
        <v>NA</v>
      </c>
    </row>
    <row r="236" spans="2:8" ht="11.25" hidden="1" customHeight="1" outlineLevel="1" x14ac:dyDescent="0.35">
      <c r="B236" s="244" t="s">
        <v>5368</v>
      </c>
      <c r="C236" s="245"/>
      <c r="D236" s="278" t="str">
        <f>IF(S515="","",S515)</f>
        <v>NA</v>
      </c>
      <c r="E236" s="278" t="str">
        <f>IF(S504="","",S504)</f>
        <v>NA</v>
      </c>
      <c r="F236" s="278" t="str">
        <f>IF(S493="","",S493)</f>
        <v>NA</v>
      </c>
      <c r="G236" s="278" t="str">
        <f>IF(S482="","",S482)</f>
        <v>NA</v>
      </c>
      <c r="H236" s="278" t="str">
        <f>IF(S471="","",S471)</f>
        <v>NA</v>
      </c>
    </row>
    <row r="237" spans="2:8" ht="11.25" hidden="1" customHeight="1" outlineLevel="1" x14ac:dyDescent="0.35">
      <c r="B237" s="244" t="s">
        <v>5369</v>
      </c>
      <c r="C237" s="245"/>
      <c r="D237" s="278" t="str">
        <f>IF(S516="","",S516)</f>
        <v>NA</v>
      </c>
      <c r="E237" s="278" t="str">
        <f>IF(S505="","",S505)</f>
        <v>NA</v>
      </c>
      <c r="F237" s="278" t="str">
        <f>IF(S494="","",S494)</f>
        <v>NA</v>
      </c>
      <c r="G237" s="278" t="str">
        <f>IF(S483="","",S483)</f>
        <v>NA</v>
      </c>
      <c r="H237" s="278" t="str">
        <f>IF(S472="","",S472)</f>
        <v>NA</v>
      </c>
    </row>
    <row r="238" spans="2:8" ht="11.25" hidden="1" customHeight="1" outlineLevel="1" x14ac:dyDescent="0.35">
      <c r="B238" s="244" t="s">
        <v>5370</v>
      </c>
      <c r="C238" s="245"/>
      <c r="D238" s="278" t="str">
        <f>IF(S517="","",S517)</f>
        <v>NA</v>
      </c>
      <c r="E238" s="278" t="str">
        <f>IF(S506="","",S506)</f>
        <v>NA</v>
      </c>
      <c r="F238" s="278" t="str">
        <f>IF(S495="","",S495)</f>
        <v>NA</v>
      </c>
      <c r="G238" s="278" t="str">
        <f>IF(S484="","",S484)</f>
        <v>NA</v>
      </c>
      <c r="H238" s="278" t="str">
        <f>IF(S473="","",S473)</f>
        <v>NA</v>
      </c>
    </row>
    <row r="239" spans="2:8" ht="11.25" hidden="1" customHeight="1" outlineLevel="1" x14ac:dyDescent="0.35">
      <c r="B239" s="244" t="s">
        <v>5371</v>
      </c>
      <c r="C239" s="245"/>
      <c r="D239" s="278" t="str">
        <f>IF(S518="","",S518)</f>
        <v>NA</v>
      </c>
      <c r="E239" s="278" t="str">
        <f>IF(S507="","",S507)</f>
        <v>NA</v>
      </c>
      <c r="F239" s="278" t="str">
        <f>IF(S496="","",S496)</f>
        <v>NA</v>
      </c>
      <c r="G239" s="278" t="str">
        <f>IF(S485="","",S485)</f>
        <v>NA</v>
      </c>
      <c r="H239" s="278" t="str">
        <f>IF(S474="","",S474)</f>
        <v>NA</v>
      </c>
    </row>
    <row r="240" spans="2:8" ht="11.25" hidden="1" customHeight="1" outlineLevel="1" x14ac:dyDescent="0.35">
      <c r="B240" s="244" t="s">
        <v>5372</v>
      </c>
      <c r="C240" s="245"/>
      <c r="D240" s="278" t="str">
        <f>IF(S519="","",S519)</f>
        <v>NA</v>
      </c>
      <c r="E240" s="278" t="str">
        <f>IF(S508="","",S508)</f>
        <v>NA</v>
      </c>
      <c r="F240" s="278" t="str">
        <f>IF(S497="","",S497)</f>
        <v>NA</v>
      </c>
      <c r="G240" s="278" t="str">
        <f>IF(S486="","",S486)</f>
        <v>NA</v>
      </c>
      <c r="H240" s="278" t="str">
        <f>IF(S475="","",S475)</f>
        <v>NA</v>
      </c>
    </row>
    <row r="241" spans="2:8" ht="11.25" hidden="1" customHeight="1" outlineLevel="1" x14ac:dyDescent="0.35">
      <c r="B241" s="347"/>
      <c r="C241" s="247"/>
      <c r="D241" s="278"/>
      <c r="E241" s="278"/>
      <c r="F241" s="278"/>
      <c r="G241" s="278"/>
      <c r="H241" s="278"/>
    </row>
    <row r="242" spans="2:8" s="342" customFormat="1" ht="11.25" customHeight="1" collapsed="1" x14ac:dyDescent="0.35">
      <c r="B242" s="347" t="s">
        <v>5510</v>
      </c>
      <c r="C242" s="247"/>
      <c r="D242" s="278"/>
      <c r="E242" s="278"/>
      <c r="F242" s="278"/>
      <c r="G242" s="278"/>
      <c r="H242" s="278"/>
    </row>
    <row r="243" spans="2:8" ht="11.25" customHeight="1" x14ac:dyDescent="0.35">
      <c r="B243" s="244" t="s">
        <v>5126</v>
      </c>
      <c r="C243" s="245">
        <v>123627</v>
      </c>
      <c r="D243" s="278" t="s">
        <v>2107</v>
      </c>
      <c r="E243" s="278">
        <v>133.73619869999999</v>
      </c>
      <c r="F243" s="278">
        <v>177.10712599999999</v>
      </c>
      <c r="G243" s="278">
        <v>56.8685312</v>
      </c>
      <c r="H243" s="278">
        <v>27.387554300000001</v>
      </c>
    </row>
    <row r="244" spans="2:8" ht="11.25" customHeight="1" x14ac:dyDescent="0.35">
      <c r="B244" s="244" t="s">
        <v>5125</v>
      </c>
      <c r="C244" s="245">
        <v>123631</v>
      </c>
      <c r="D244" s="278">
        <v>49.924475399999999</v>
      </c>
      <c r="E244" s="278">
        <v>42.4523048</v>
      </c>
      <c r="F244" s="278">
        <v>41.1162761</v>
      </c>
      <c r="G244" s="278">
        <v>42.546304200000002</v>
      </c>
      <c r="H244" s="278">
        <v>42.943347699999997</v>
      </c>
    </row>
    <row r="245" spans="2:8" ht="11.25" customHeight="1" x14ac:dyDescent="0.35">
      <c r="B245" s="244" t="s">
        <v>5124</v>
      </c>
      <c r="C245" s="245">
        <v>123635</v>
      </c>
      <c r="D245" s="278">
        <v>22.960729600000001</v>
      </c>
      <c r="E245" s="278">
        <v>21.831450400000001</v>
      </c>
      <c r="F245" s="278">
        <v>25.310160100000001</v>
      </c>
      <c r="G245" s="278">
        <v>27.2431938</v>
      </c>
      <c r="H245" s="278">
        <v>18.481175100000002</v>
      </c>
    </row>
    <row r="246" spans="2:8" ht="11.25" customHeight="1" x14ac:dyDescent="0.35">
      <c r="B246" s="244" t="s">
        <v>5123</v>
      </c>
      <c r="C246" s="245">
        <v>123643</v>
      </c>
      <c r="D246" s="278">
        <v>55.175317100000001</v>
      </c>
      <c r="E246" s="278">
        <v>49.641945</v>
      </c>
      <c r="F246" s="278">
        <v>39.886356399999997</v>
      </c>
      <c r="G246" s="278">
        <v>46.2361407</v>
      </c>
      <c r="H246" s="278">
        <v>45.635522600000002</v>
      </c>
    </row>
    <row r="247" spans="2:8" ht="11.25" customHeight="1" x14ac:dyDescent="0.35">
      <c r="B247" s="244" t="s">
        <v>5122</v>
      </c>
      <c r="C247" s="245">
        <v>123647</v>
      </c>
      <c r="D247" s="278">
        <v>79.238587300000006</v>
      </c>
      <c r="E247" s="278">
        <v>77.645465900000005</v>
      </c>
      <c r="F247" s="278">
        <v>71.097784700000005</v>
      </c>
      <c r="G247" s="278">
        <v>77.775611100000006</v>
      </c>
      <c r="H247" s="278">
        <v>76.960807500000001</v>
      </c>
    </row>
    <row r="248" spans="2:8" ht="11.25" customHeight="1" x14ac:dyDescent="0.35">
      <c r="B248" s="244" t="s">
        <v>5121</v>
      </c>
      <c r="C248" s="245">
        <v>123651</v>
      </c>
      <c r="D248" s="278">
        <v>24.134652599999999</v>
      </c>
      <c r="E248" s="278">
        <v>21.537378799999999</v>
      </c>
      <c r="F248" s="278">
        <v>15.4767306</v>
      </c>
      <c r="G248" s="278">
        <v>26.1356058</v>
      </c>
      <c r="H248" s="278">
        <v>22.3515692</v>
      </c>
    </row>
    <row r="249" spans="2:8" ht="11.25" customHeight="1" x14ac:dyDescent="0.35">
      <c r="B249" s="244" t="s">
        <v>5120</v>
      </c>
      <c r="C249" s="245">
        <v>123655</v>
      </c>
      <c r="D249" s="278">
        <v>74.8961592</v>
      </c>
      <c r="E249" s="278">
        <v>73.837439799999999</v>
      </c>
      <c r="F249" s="278">
        <v>74.252378399999998</v>
      </c>
      <c r="G249" s="278">
        <v>74.398794600000002</v>
      </c>
      <c r="H249" s="278">
        <v>74.295560499999993</v>
      </c>
    </row>
    <row r="250" spans="2:8" ht="11.25" customHeight="1" x14ac:dyDescent="0.35">
      <c r="B250" s="244" t="s">
        <v>5119</v>
      </c>
      <c r="C250" s="245">
        <v>123659</v>
      </c>
      <c r="D250" s="278">
        <v>60.402908699999998</v>
      </c>
      <c r="E250" s="278">
        <v>58.168625900000002</v>
      </c>
      <c r="F250" s="278">
        <v>48.861502199999997</v>
      </c>
      <c r="G250" s="278">
        <v>44.074267999999996</v>
      </c>
      <c r="H250" s="278">
        <v>40.543226500000003</v>
      </c>
    </row>
    <row r="251" spans="2:8" ht="11.25" customHeight="1" x14ac:dyDescent="0.35">
      <c r="B251" s="244" t="s">
        <v>5107</v>
      </c>
      <c r="C251" s="245">
        <v>123663</v>
      </c>
      <c r="D251" s="278">
        <v>63.3644794</v>
      </c>
      <c r="E251" s="278">
        <v>62.829097099999998</v>
      </c>
      <c r="F251" s="278">
        <v>65.463952399999997</v>
      </c>
      <c r="G251" s="278">
        <v>67.940453700000006</v>
      </c>
      <c r="H251" s="278">
        <v>68.785835199999994</v>
      </c>
    </row>
    <row r="252" spans="2:8" ht="11.25" customHeight="1" x14ac:dyDescent="0.35">
      <c r="B252" s="244" t="s">
        <v>4946</v>
      </c>
      <c r="C252" s="247"/>
      <c r="D252" s="248"/>
      <c r="E252" s="248"/>
      <c r="F252" s="248"/>
      <c r="G252" s="248"/>
      <c r="H252" s="248"/>
    </row>
    <row r="253" spans="2:8" ht="11.25" customHeight="1" x14ac:dyDescent="0.35">
      <c r="B253" s="246" t="s">
        <v>5132</v>
      </c>
      <c r="C253" s="247"/>
      <c r="D253" s="248"/>
      <c r="E253" s="248"/>
      <c r="F253" s="248"/>
      <c r="G253" s="248"/>
      <c r="H253" s="248"/>
    </row>
    <row r="254" spans="2:8" ht="11.25" customHeight="1" x14ac:dyDescent="0.35">
      <c r="B254" s="244" t="s">
        <v>5130</v>
      </c>
      <c r="C254" s="245"/>
      <c r="D254" s="278">
        <f>IF(LEFT(D$7,4)&gt;"2018",IFERROR(100*D276/SUM(D289,D302),"NA"),D260)</f>
        <v>21.342233</v>
      </c>
      <c r="E254" s="278">
        <f>IF(LEFT(E$7,4)&gt;"2018",IFERROR(100*E276/SUM(E289,E302),"NA"),E260)</f>
        <v>17.714097299999999</v>
      </c>
      <c r="F254" s="278">
        <f>IF(LEFT(F$7,4)&gt;"2018",IFERROR(100*F276/SUM(F289,F302),"NA"),F260)</f>
        <v>16.978263500000001</v>
      </c>
      <c r="G254" s="278">
        <f>IF(LEFT(G$7,4)&gt;"2018",IFERROR(100*G276/SUM(G289,G302),"NA"),G260)</f>
        <v>17.762112299999998</v>
      </c>
      <c r="H254" s="278">
        <f>IF(LEFT(H$7,4)&gt;"2018",IFERROR(100*H276/SUM(H289,H302),"NA"),H260)</f>
        <v>17.071829000000001</v>
      </c>
    </row>
    <row r="255" spans="2:8" ht="11.25" customHeight="1" x14ac:dyDescent="0.35">
      <c r="B255" s="244" t="s">
        <v>5129</v>
      </c>
      <c r="C255" s="245"/>
      <c r="D255" s="278">
        <f>IF(LEFT(D$7,4)&gt;"2018",IFERROR(100*D277/SUM(D290,D303),"NA"),D261)</f>
        <v>4.5955804999999996</v>
      </c>
      <c r="E255" s="278">
        <f>IF(LEFT(E$7,4)&gt;"2018",IFERROR(100*E277/SUM(E290,E303),"NA"),E261)</f>
        <v>4.2663209999999996</v>
      </c>
      <c r="F255" s="278">
        <f>IF(LEFT(F$7,4)&gt;"2018",IFERROR(100*F277/SUM(F290,F303),"NA"),F261)</f>
        <v>4.2693364999999996</v>
      </c>
      <c r="G255" s="278">
        <f>IF(LEFT(G$7,4)&gt;"2018",IFERROR(100*G277/SUM(G290,G303),"NA"),G261)</f>
        <v>5.3461337999999996</v>
      </c>
      <c r="H255" s="278">
        <f>IF(LEFT(H$7,4)&gt;"2018",IFERROR(100*H277/SUM(H290,H303),"NA"),H261)</f>
        <v>4.3756664000000001</v>
      </c>
    </row>
    <row r="256" spans="2:8" ht="11.25" customHeight="1" x14ac:dyDescent="0.35">
      <c r="B256" s="244" t="s">
        <v>5128</v>
      </c>
      <c r="C256" s="245"/>
      <c r="D256" s="278">
        <f>IF(LEFT(D$7,4)&gt;"2018",IFERROR(100*D272/SUM(D285,D298),"NA"),D262)</f>
        <v>12.2859891</v>
      </c>
      <c r="E256" s="278">
        <f>IF(LEFT(E$7,4)&gt;"2018",IFERROR(100*E272/SUM(E285,E298),"NA"),E262)</f>
        <v>12.775242799999999</v>
      </c>
      <c r="F256" s="278">
        <f>IF(LEFT(F$7,4)&gt;"2018",IFERROR(100*F272/SUM(F285,F298),"NA"),F262)</f>
        <v>12.468959699999999</v>
      </c>
      <c r="G256" s="278">
        <f>IF(LEFT(G$7,4)&gt;"2018",IFERROR(100*G272/SUM(G285,G298),"NA"),G262)</f>
        <v>12.629758799999999</v>
      </c>
      <c r="H256" s="278">
        <f>IF(LEFT(H$7,4)&gt;"2018",IFERROR(100*H272/SUM(H285,H298),"NA"),H262)</f>
        <v>12.1117401</v>
      </c>
    </row>
    <row r="257" spans="2:8" ht="11.25" customHeight="1" x14ac:dyDescent="0.35">
      <c r="B257" s="244" t="s">
        <v>5387</v>
      </c>
      <c r="C257" s="245"/>
      <c r="D257" s="278">
        <f>IF(LEFT(D$7,4)&gt;"2018","NA",D263)</f>
        <v>33.621302100000001</v>
      </c>
      <c r="E257" s="278">
        <f>IF(LEFT(E$7,4)&gt;"2018","NA",E263)</f>
        <v>29.908355799999999</v>
      </c>
      <c r="F257" s="278">
        <f>IF(LEFT(F$7,4)&gt;"2018","NA",F263)</f>
        <v>31.6687014</v>
      </c>
      <c r="G257" s="278">
        <f>IF(LEFT(G$7,4)&gt;"2018","NA",G263)</f>
        <v>33.6631152</v>
      </c>
      <c r="H257" s="278">
        <f>IF(LEFT(H$7,4)&gt;"2018","NA",H263)</f>
        <v>33.745591400000002</v>
      </c>
    </row>
    <row r="258" spans="2:8" ht="11.25" customHeight="1" x14ac:dyDescent="0.35">
      <c r="B258" s="244" t="s">
        <v>5127</v>
      </c>
      <c r="C258" s="245"/>
      <c r="D258" s="278">
        <f>IF(LEFT(D$7,4)&gt;"2018",IFERROR(100*SUM(D273:D275)/SUM(D286:D288,D299:D301),"NA"),D264)</f>
        <v>4.5042042999999996</v>
      </c>
      <c r="E258" s="278">
        <f>IF(LEFT(E$7,4)&gt;"2018",IFERROR(100*SUM(E273:E275)/SUM(E286:E288,E299:E301),"NA"),E264)</f>
        <v>44.962398</v>
      </c>
      <c r="F258" s="278">
        <f>IF(LEFT(F$7,4)&gt;"2018",IFERROR(100*SUM(F273:F275)/SUM(F286:F288,F299:F301),"NA"),F264)</f>
        <v>51.676078699999998</v>
      </c>
      <c r="G258" s="278">
        <f>IF(LEFT(G$7,4)&gt;"2018",IFERROR(100*SUM(G273:G275)/SUM(G286:G288,G299:G301),"NA"),G264)</f>
        <v>55.020009299999998</v>
      </c>
      <c r="H258" s="278">
        <f>IF(LEFT(H$7,4)&gt;"2018",IFERROR(100*SUM(H273:H275)/SUM(H286:H288,H299:H301),"NA"),H264)</f>
        <v>47.615303599999997</v>
      </c>
    </row>
    <row r="259" spans="2:8" ht="11.25" customHeight="1" x14ac:dyDescent="0.35">
      <c r="B259" s="244" t="s">
        <v>4946</v>
      </c>
      <c r="C259" s="247"/>
      <c r="D259" s="278"/>
      <c r="E259" s="278"/>
      <c r="F259" s="278"/>
      <c r="G259" s="278"/>
      <c r="H259" s="278"/>
    </row>
    <row r="260" spans="2:8" ht="11.25" hidden="1" customHeight="1" outlineLevel="1" x14ac:dyDescent="0.35">
      <c r="B260" s="244" t="s">
        <v>5130</v>
      </c>
      <c r="C260" s="245">
        <v>123608</v>
      </c>
      <c r="D260" s="278">
        <v>21.342233</v>
      </c>
      <c r="E260" s="278">
        <v>17.714097299999999</v>
      </c>
      <c r="F260" s="278">
        <v>16.978263500000001</v>
      </c>
      <c r="G260" s="278">
        <v>17.762112299999998</v>
      </c>
      <c r="H260" s="278">
        <v>17.071829000000001</v>
      </c>
    </row>
    <row r="261" spans="2:8" ht="11.25" hidden="1" customHeight="1" outlineLevel="1" x14ac:dyDescent="0.35">
      <c r="B261" s="244" t="s">
        <v>5129</v>
      </c>
      <c r="C261" s="245">
        <v>123612</v>
      </c>
      <c r="D261" s="278">
        <v>4.5955804999999996</v>
      </c>
      <c r="E261" s="278">
        <v>4.2663209999999996</v>
      </c>
      <c r="F261" s="278">
        <v>4.2693364999999996</v>
      </c>
      <c r="G261" s="278">
        <v>5.3461337999999996</v>
      </c>
      <c r="H261" s="278">
        <v>4.3756664000000001</v>
      </c>
    </row>
    <row r="262" spans="2:8" ht="11.25" hidden="1" customHeight="1" outlineLevel="1" x14ac:dyDescent="0.35">
      <c r="B262" s="244" t="s">
        <v>5128</v>
      </c>
      <c r="C262" s="245">
        <v>123616</v>
      </c>
      <c r="D262" s="278">
        <v>12.2859891</v>
      </c>
      <c r="E262" s="278">
        <v>12.775242799999999</v>
      </c>
      <c r="F262" s="278">
        <v>12.468959699999999</v>
      </c>
      <c r="G262" s="278">
        <v>12.629758799999999</v>
      </c>
      <c r="H262" s="278">
        <v>12.1117401</v>
      </c>
    </row>
    <row r="263" spans="2:8" ht="11.25" hidden="1" customHeight="1" outlineLevel="1" x14ac:dyDescent="0.35">
      <c r="B263" s="244" t="s">
        <v>5387</v>
      </c>
      <c r="C263" s="245">
        <v>123620</v>
      </c>
      <c r="D263" s="278">
        <v>33.621302100000001</v>
      </c>
      <c r="E263" s="278">
        <v>29.908355799999999</v>
      </c>
      <c r="F263" s="278">
        <v>31.6687014</v>
      </c>
      <c r="G263" s="278">
        <v>33.6631152</v>
      </c>
      <c r="H263" s="278">
        <v>33.745591400000002</v>
      </c>
    </row>
    <row r="264" spans="2:8" ht="11.25" hidden="1" customHeight="1" outlineLevel="1" x14ac:dyDescent="0.35">
      <c r="B264" s="244" t="s">
        <v>5127</v>
      </c>
      <c r="C264" s="245">
        <v>123624</v>
      </c>
      <c r="D264" s="278">
        <v>4.5042042999999996</v>
      </c>
      <c r="E264" s="278">
        <v>44.962398</v>
      </c>
      <c r="F264" s="278">
        <v>51.676078699999998</v>
      </c>
      <c r="G264" s="278">
        <v>55.020009299999998</v>
      </c>
      <c r="H264" s="278">
        <v>47.615303599999997</v>
      </c>
    </row>
    <row r="265" spans="2:8" ht="11.25" hidden="1" customHeight="1" outlineLevel="1" x14ac:dyDescent="0.35">
      <c r="B265" s="244"/>
      <c r="C265" s="247"/>
      <c r="D265" s="278"/>
      <c r="E265" s="278"/>
      <c r="F265" s="278"/>
      <c r="G265" s="278"/>
      <c r="H265" s="278"/>
    </row>
    <row r="266" spans="2:8" s="302" customFormat="1" ht="11.25" hidden="1" customHeight="1" outlineLevel="1" x14ac:dyDescent="0.35">
      <c r="B266" s="246" t="s">
        <v>5478</v>
      </c>
      <c r="C266" s="247"/>
      <c r="D266" s="335"/>
      <c r="E266" s="335"/>
      <c r="F266" s="335"/>
      <c r="G266" s="335"/>
      <c r="H266" s="335"/>
    </row>
    <row r="267" spans="2:8" s="302" customFormat="1" ht="11.25" hidden="1" customHeight="1" outlineLevel="1" x14ac:dyDescent="0.35">
      <c r="B267" s="292" t="s">
        <v>5365</v>
      </c>
      <c r="C267" s="245"/>
      <c r="D267" s="278" t="str">
        <f>IF(S957="","",S957)</f>
        <v>NA</v>
      </c>
      <c r="E267" s="278" t="str">
        <f>IF(S946="","",S946)</f>
        <v>NA</v>
      </c>
      <c r="F267" s="278" t="str">
        <f>IF(S935="","",S935)</f>
        <v>NA</v>
      </c>
      <c r="G267" s="278" t="str">
        <f>IF(S924="","",S924)</f>
        <v>NA</v>
      </c>
      <c r="H267" s="278" t="str">
        <f>IF(S913="","",S913)</f>
        <v>NA</v>
      </c>
    </row>
    <row r="268" spans="2:8" ht="11.25" hidden="1" customHeight="1" outlineLevel="1" x14ac:dyDescent="0.35">
      <c r="B268" s="244" t="s">
        <v>5366</v>
      </c>
      <c r="C268" s="245"/>
      <c r="D268" s="278" t="str">
        <f>IF(S958="","",S958)</f>
        <v>NA</v>
      </c>
      <c r="E268" s="278" t="str">
        <f>IF(S947="","",S947)</f>
        <v>NA</v>
      </c>
      <c r="F268" s="278" t="str">
        <f>IF(S936="","",S936)</f>
        <v>NA</v>
      </c>
      <c r="G268" s="278" t="str">
        <f>IF(S925="","",S925)</f>
        <v>NA</v>
      </c>
      <c r="H268" s="278" t="str">
        <f>IF(S914="","",S914)</f>
        <v>NA</v>
      </c>
    </row>
    <row r="269" spans="2:8" ht="11.25" hidden="1" customHeight="1" outlineLevel="1" x14ac:dyDescent="0.35">
      <c r="B269" s="244" t="s">
        <v>5122</v>
      </c>
      <c r="C269" s="245"/>
      <c r="D269" s="278" t="str">
        <f>IF(S959="","",S959)</f>
        <v>NA</v>
      </c>
      <c r="E269" s="278" t="str">
        <f>IF(S948="","",S948)</f>
        <v>NA</v>
      </c>
      <c r="F269" s="278" t="str">
        <f>IF(S937="","",S937)</f>
        <v>NA</v>
      </c>
      <c r="G269" s="278" t="str">
        <f>IF(S926="","",S926)</f>
        <v>NA</v>
      </c>
      <c r="H269" s="278" t="str">
        <f>IF(S915="","",S915)</f>
        <v>NA</v>
      </c>
    </row>
    <row r="270" spans="2:8" ht="11.25" hidden="1" customHeight="1" outlineLevel="1" x14ac:dyDescent="0.35">
      <c r="B270" s="244" t="s">
        <v>5124</v>
      </c>
      <c r="C270" s="245"/>
      <c r="D270" s="278" t="str">
        <f>IF(S960="","",S960)</f>
        <v>NA</v>
      </c>
      <c r="E270" s="278" t="str">
        <f>IF(S949="","",S949)</f>
        <v>NA</v>
      </c>
      <c r="F270" s="278" t="str">
        <f>IF(S938="","",S938)</f>
        <v>NA</v>
      </c>
      <c r="G270" s="278" t="str">
        <f>IF(S927="","",S927)</f>
        <v>NA</v>
      </c>
      <c r="H270" s="278" t="str">
        <f>IF(S916="","",S916)</f>
        <v>NA</v>
      </c>
    </row>
    <row r="271" spans="2:8" ht="11.25" hidden="1" customHeight="1" outlineLevel="1" x14ac:dyDescent="0.35">
      <c r="B271" s="244" t="s">
        <v>5121</v>
      </c>
      <c r="C271" s="245"/>
      <c r="D271" s="278" t="str">
        <f>IF(S961="","",S961)</f>
        <v>NA</v>
      </c>
      <c r="E271" s="278" t="str">
        <f>IF(S950="","",S950)</f>
        <v>NA</v>
      </c>
      <c r="F271" s="278" t="str">
        <f>IF(S939="","",S939)</f>
        <v>NA</v>
      </c>
      <c r="G271" s="278" t="str">
        <f>IF(S928="","",S928)</f>
        <v>NA</v>
      </c>
      <c r="H271" s="278" t="str">
        <f>IF(S917="","",S917)</f>
        <v>NA</v>
      </c>
    </row>
    <row r="272" spans="2:8" ht="11.25" hidden="1" customHeight="1" outlineLevel="1" x14ac:dyDescent="0.35">
      <c r="B272" s="244" t="s">
        <v>5367</v>
      </c>
      <c r="C272" s="245"/>
      <c r="D272" s="278" t="str">
        <f>IF(S962="","",S962)</f>
        <v>NA</v>
      </c>
      <c r="E272" s="278" t="str">
        <f>IF(S951="","",S951)</f>
        <v>NA</v>
      </c>
      <c r="F272" s="278" t="str">
        <f>IF(S940="","",S940)</f>
        <v>NA</v>
      </c>
      <c r="G272" s="278" t="str">
        <f>IF(S929="","",S929)</f>
        <v>NA</v>
      </c>
      <c r="H272" s="278" t="str">
        <f>IF(S918="","",S918)</f>
        <v>NA</v>
      </c>
    </row>
    <row r="273" spans="2:8" ht="11.25" hidden="1" customHeight="1" outlineLevel="1" x14ac:dyDescent="0.35">
      <c r="B273" s="244" t="s">
        <v>5368</v>
      </c>
      <c r="C273" s="245"/>
      <c r="D273" s="278" t="str">
        <f>IF(S963="","",S963)</f>
        <v>NA</v>
      </c>
      <c r="E273" s="278" t="str">
        <f>IF(S952="","",S952)</f>
        <v>NA</v>
      </c>
      <c r="F273" s="278" t="str">
        <f>IF(S941="","",S941)</f>
        <v>NA</v>
      </c>
      <c r="G273" s="278" t="str">
        <f>IF(S930="","",S930)</f>
        <v>NA</v>
      </c>
      <c r="H273" s="278" t="str">
        <f>IF(S919="","",S919)</f>
        <v>NA</v>
      </c>
    </row>
    <row r="274" spans="2:8" ht="11.25" hidden="1" customHeight="1" outlineLevel="1" x14ac:dyDescent="0.35">
      <c r="B274" s="244" t="s">
        <v>5369</v>
      </c>
      <c r="C274" s="245"/>
      <c r="D274" s="278" t="str">
        <f>IF(S964="","",S964)</f>
        <v>NA</v>
      </c>
      <c r="E274" s="278" t="str">
        <f>IF(S953="","",S953)</f>
        <v>NA</v>
      </c>
      <c r="F274" s="278" t="str">
        <f>IF(S942="","",S942)</f>
        <v>NA</v>
      </c>
      <c r="G274" s="278" t="str">
        <f>IF(S931="","",S931)</f>
        <v>NA</v>
      </c>
      <c r="H274" s="278" t="str">
        <f>IF(S920="","",S920)</f>
        <v>NA</v>
      </c>
    </row>
    <row r="275" spans="2:8" ht="11.25" hidden="1" customHeight="1" outlineLevel="1" x14ac:dyDescent="0.35">
      <c r="B275" s="244" t="s">
        <v>5370</v>
      </c>
      <c r="C275" s="245"/>
      <c r="D275" s="278" t="str">
        <f>IF(S965="","",S965)</f>
        <v>NA</v>
      </c>
      <c r="E275" s="278" t="str">
        <f>IF(S954="","",S954)</f>
        <v>NA</v>
      </c>
      <c r="F275" s="278" t="str">
        <f>IF(S943="","",S943)</f>
        <v>NA</v>
      </c>
      <c r="G275" s="278" t="str">
        <f>IF(S932="","",S932)</f>
        <v>NA</v>
      </c>
      <c r="H275" s="278" t="str">
        <f>IF(S921="","",S921)</f>
        <v>NA</v>
      </c>
    </row>
    <row r="276" spans="2:8" ht="11.25" hidden="1" customHeight="1" outlineLevel="1" x14ac:dyDescent="0.35">
      <c r="B276" s="244" t="s">
        <v>5371</v>
      </c>
      <c r="C276" s="245"/>
      <c r="D276" s="278" t="str">
        <f>IF(S966="","",S966)</f>
        <v>NA</v>
      </c>
      <c r="E276" s="278" t="str">
        <f>IF(S955="","",S955)</f>
        <v>NA</v>
      </c>
      <c r="F276" s="278" t="str">
        <f>IF(S944="","",S944)</f>
        <v>NA</v>
      </c>
      <c r="G276" s="278" t="str">
        <f>IF(S933="","",S933)</f>
        <v>NA</v>
      </c>
      <c r="H276" s="278" t="str">
        <f>IF(S922="","",S922)</f>
        <v>NA</v>
      </c>
    </row>
    <row r="277" spans="2:8" ht="11.25" hidden="1" customHeight="1" outlineLevel="1" x14ac:dyDescent="0.35">
      <c r="B277" s="244" t="s">
        <v>5372</v>
      </c>
      <c r="C277" s="245"/>
      <c r="D277" s="278" t="str">
        <f>IF(S967="","",S967)</f>
        <v>NA</v>
      </c>
      <c r="E277" s="278" t="str">
        <f>IF(S956="","",S956)</f>
        <v>NA</v>
      </c>
      <c r="F277" s="278" t="str">
        <f>IF(S945="","",S945)</f>
        <v>NA</v>
      </c>
      <c r="G277" s="278" t="str">
        <f>IF(S934="","",S934)</f>
        <v>NA</v>
      </c>
      <c r="H277" s="278" t="str">
        <f>IF(S923="","",S923)</f>
        <v>NA</v>
      </c>
    </row>
    <row r="278" spans="2:8" ht="11.25" hidden="1" customHeight="1" outlineLevel="1" x14ac:dyDescent="0.35">
      <c r="B278" s="301"/>
      <c r="C278" s="301"/>
      <c r="D278" s="301"/>
      <c r="E278" s="301"/>
      <c r="F278" s="301"/>
      <c r="G278" s="301"/>
      <c r="H278" s="301"/>
    </row>
    <row r="279" spans="2:8" ht="11.25" hidden="1" customHeight="1" outlineLevel="1" x14ac:dyDescent="0.35">
      <c r="B279" s="246" t="s">
        <v>5458</v>
      </c>
      <c r="C279" s="245"/>
      <c r="D279" s="278"/>
      <c r="E279" s="278"/>
      <c r="F279" s="278"/>
      <c r="G279" s="278"/>
      <c r="H279" s="278"/>
    </row>
    <row r="280" spans="2:8" ht="11.25" hidden="1" customHeight="1" outlineLevel="1" x14ac:dyDescent="0.35">
      <c r="B280" s="292" t="s">
        <v>5365</v>
      </c>
      <c r="C280" s="245"/>
      <c r="D280" s="278" t="str">
        <f>IF(S453="","",S453)</f>
        <v>NA</v>
      </c>
      <c r="E280" s="278" t="str">
        <f>IF(S442="","",S442)</f>
        <v>NA</v>
      </c>
      <c r="F280" s="278" t="str">
        <f>IF(S431="","",S431)</f>
        <v>NA</v>
      </c>
      <c r="G280" s="278" t="str">
        <f>IF(S420="","",S420)</f>
        <v>NA</v>
      </c>
      <c r="H280" s="278" t="str">
        <f>IF(S409="","",S409)</f>
        <v>NA</v>
      </c>
    </row>
    <row r="281" spans="2:8" ht="11.25" hidden="1" customHeight="1" outlineLevel="1" x14ac:dyDescent="0.35">
      <c r="B281" s="244" t="s">
        <v>5366</v>
      </c>
      <c r="C281" s="245"/>
      <c r="D281" s="278" t="str">
        <f>IF(S454="","",S454)</f>
        <v>NA</v>
      </c>
      <c r="E281" s="278" t="str">
        <f>IF(S443="","",S443)</f>
        <v>NA</v>
      </c>
      <c r="F281" s="278" t="str">
        <f>IF(S432="","",S432)</f>
        <v>NA</v>
      </c>
      <c r="G281" s="278" t="str">
        <f>IF(S421="","",S421)</f>
        <v>NA</v>
      </c>
      <c r="H281" s="278" t="str">
        <f>IF(S410="","",S410)</f>
        <v>NA</v>
      </c>
    </row>
    <row r="282" spans="2:8" ht="11.25" hidden="1" customHeight="1" outlineLevel="1" x14ac:dyDescent="0.35">
      <c r="B282" s="244" t="s">
        <v>5122</v>
      </c>
      <c r="C282" s="245"/>
      <c r="D282" s="278" t="str">
        <f>IF(S455="","",S455)</f>
        <v>NA</v>
      </c>
      <c r="E282" s="278" t="str">
        <f>IF(S444="","",S444)</f>
        <v>NA</v>
      </c>
      <c r="F282" s="278" t="str">
        <f>IF(S433="","",S433)</f>
        <v>NA</v>
      </c>
      <c r="G282" s="278" t="str">
        <f>IF(S422="","",S422)</f>
        <v>NA</v>
      </c>
      <c r="H282" s="278" t="str">
        <f>IF(S411="","",S411)</f>
        <v>NA</v>
      </c>
    </row>
    <row r="283" spans="2:8" ht="11.25" hidden="1" customHeight="1" outlineLevel="1" x14ac:dyDescent="0.35">
      <c r="B283" s="244" t="s">
        <v>5124</v>
      </c>
      <c r="C283" s="245"/>
      <c r="D283" s="278" t="str">
        <f>IF(S456="","",S456)</f>
        <v>NA</v>
      </c>
      <c r="E283" s="278" t="str">
        <f>IF(S445="","",S445)</f>
        <v>NA</v>
      </c>
      <c r="F283" s="278" t="str">
        <f>IF(S434="","",S434)</f>
        <v>NA</v>
      </c>
      <c r="G283" s="278" t="str">
        <f>IF(S423="","",S423)</f>
        <v>NA</v>
      </c>
      <c r="H283" s="278" t="str">
        <f>IF(S412="","",S412)</f>
        <v>NA</v>
      </c>
    </row>
    <row r="284" spans="2:8" ht="11.25" hidden="1" customHeight="1" outlineLevel="1" x14ac:dyDescent="0.35">
      <c r="B284" s="244" t="s">
        <v>5121</v>
      </c>
      <c r="C284" s="245"/>
      <c r="D284" s="278" t="str">
        <f>IF(S457="","",S457)</f>
        <v>NA</v>
      </c>
      <c r="E284" s="278" t="str">
        <f>IF(S446="","",S446)</f>
        <v>NA</v>
      </c>
      <c r="F284" s="278" t="str">
        <f>IF(S435="","",S435)</f>
        <v>NA</v>
      </c>
      <c r="G284" s="278" t="str">
        <f>IF(S424="","",S424)</f>
        <v>NA</v>
      </c>
      <c r="H284" s="278" t="str">
        <f>IF(S413="","",S413)</f>
        <v>NA</v>
      </c>
    </row>
    <row r="285" spans="2:8" ht="11.25" hidden="1" customHeight="1" outlineLevel="1" x14ac:dyDescent="0.35">
      <c r="B285" s="244" t="s">
        <v>5367</v>
      </c>
      <c r="C285" s="245"/>
      <c r="D285" s="278" t="str">
        <f>IF(S458="","",S458)</f>
        <v>NA</v>
      </c>
      <c r="E285" s="278" t="str">
        <f>IF(S447="","",S447)</f>
        <v>NA</v>
      </c>
      <c r="F285" s="278" t="str">
        <f>IF(S436="","",S436)</f>
        <v>NA</v>
      </c>
      <c r="G285" s="278" t="str">
        <f>IF(S425="","",S425)</f>
        <v>NA</v>
      </c>
      <c r="H285" s="278" t="str">
        <f>IF(S414="","",S414)</f>
        <v>NA</v>
      </c>
    </row>
    <row r="286" spans="2:8" ht="11.25" hidden="1" customHeight="1" outlineLevel="1" x14ac:dyDescent="0.35">
      <c r="B286" s="244" t="s">
        <v>5368</v>
      </c>
      <c r="C286" s="245"/>
      <c r="D286" s="278" t="str">
        <f>IF(S459="","",S459)</f>
        <v>NA</v>
      </c>
      <c r="E286" s="278" t="str">
        <f>IF(S448="","",S448)</f>
        <v>NA</v>
      </c>
      <c r="F286" s="278" t="str">
        <f>IF(S437="","",S437)</f>
        <v>NA</v>
      </c>
      <c r="G286" s="278" t="str">
        <f>IF(S426="","",S426)</f>
        <v>NA</v>
      </c>
      <c r="H286" s="278" t="str">
        <f>IF(S415="","",S415)</f>
        <v>NA</v>
      </c>
    </row>
    <row r="287" spans="2:8" ht="11.25" hidden="1" customHeight="1" outlineLevel="1" x14ac:dyDescent="0.35">
      <c r="B287" s="244" t="s">
        <v>5369</v>
      </c>
      <c r="C287" s="245"/>
      <c r="D287" s="278" t="str">
        <f>IF(S460="","",S460)</f>
        <v>NA</v>
      </c>
      <c r="E287" s="278" t="str">
        <f>IF(S449="","",S449)</f>
        <v>NA</v>
      </c>
      <c r="F287" s="278" t="str">
        <f>IF(S438="","",S438)</f>
        <v>NA</v>
      </c>
      <c r="G287" s="278" t="str">
        <f>IF(S427="","",S427)</f>
        <v>NA</v>
      </c>
      <c r="H287" s="278" t="str">
        <f>IF(S416="","",S416)</f>
        <v>NA</v>
      </c>
    </row>
    <row r="288" spans="2:8" ht="11.25" hidden="1" customHeight="1" outlineLevel="1" x14ac:dyDescent="0.35">
      <c r="B288" s="244" t="s">
        <v>5370</v>
      </c>
      <c r="C288" s="245"/>
      <c r="D288" s="278" t="str">
        <f>IF(S461="","",S461)</f>
        <v>NA</v>
      </c>
      <c r="E288" s="278" t="str">
        <f>IF(S450="","",S450)</f>
        <v>NA</v>
      </c>
      <c r="F288" s="278" t="str">
        <f>IF(S439="","",S439)</f>
        <v>NA</v>
      </c>
      <c r="G288" s="278" t="str">
        <f>IF(S428="","",S428)</f>
        <v>NA</v>
      </c>
      <c r="H288" s="278" t="str">
        <f>IF(S417="","",S417)</f>
        <v>NA</v>
      </c>
    </row>
    <row r="289" spans="2:8" ht="11.25" hidden="1" customHeight="1" outlineLevel="1" x14ac:dyDescent="0.35">
      <c r="B289" s="244" t="s">
        <v>5371</v>
      </c>
      <c r="C289" s="245"/>
      <c r="D289" s="278" t="str">
        <f>IF(S462="","",S462)</f>
        <v>NA</v>
      </c>
      <c r="E289" s="278" t="str">
        <f>IF(S451="","",S451)</f>
        <v>NA</v>
      </c>
      <c r="F289" s="278" t="str">
        <f>IF(S440="","",S440)</f>
        <v>NA</v>
      </c>
      <c r="G289" s="278" t="str">
        <f>IF(S429="","",S429)</f>
        <v>NA</v>
      </c>
      <c r="H289" s="278" t="str">
        <f>IF(S418="","",S418)</f>
        <v>NA</v>
      </c>
    </row>
    <row r="290" spans="2:8" ht="11.25" hidden="1" customHeight="1" outlineLevel="1" x14ac:dyDescent="0.35">
      <c r="B290" s="244" t="s">
        <v>5372</v>
      </c>
      <c r="C290" s="245"/>
      <c r="D290" s="278" t="str">
        <f>IF(S463="","",S463)</f>
        <v>NA</v>
      </c>
      <c r="E290" s="278" t="str">
        <f>IF(S452="","",S452)</f>
        <v>NA</v>
      </c>
      <c r="F290" s="278" t="str">
        <f>IF(S441="","",S441)</f>
        <v>NA</v>
      </c>
      <c r="G290" s="278" t="str">
        <f>IF(S430="","",S430)</f>
        <v>NA</v>
      </c>
      <c r="H290" s="278" t="str">
        <f>IF(S419="","",S419)</f>
        <v>NA</v>
      </c>
    </row>
    <row r="291" spans="2:8" ht="11.25" hidden="1" customHeight="1" outlineLevel="1" x14ac:dyDescent="0.35">
      <c r="B291" s="244"/>
      <c r="C291" s="245"/>
      <c r="D291" s="278"/>
      <c r="E291" s="278"/>
      <c r="F291" s="278"/>
      <c r="G291" s="278"/>
      <c r="H291" s="278"/>
    </row>
    <row r="292" spans="2:8" ht="11.25" hidden="1" customHeight="1" outlineLevel="1" x14ac:dyDescent="0.35">
      <c r="B292" s="246" t="s">
        <v>5461</v>
      </c>
      <c r="C292" s="245"/>
      <c r="D292" s="278"/>
      <c r="E292" s="278"/>
      <c r="F292" s="278"/>
      <c r="G292" s="278"/>
      <c r="H292" s="278"/>
    </row>
    <row r="293" spans="2:8" ht="11.25" hidden="1" customHeight="1" outlineLevel="1" x14ac:dyDescent="0.35">
      <c r="B293" s="292" t="s">
        <v>5365</v>
      </c>
      <c r="C293" s="245"/>
      <c r="D293" s="278" t="str">
        <f>IF(S509="","",S509)</f>
        <v>NA</v>
      </c>
      <c r="E293" s="278" t="str">
        <f>IF(S498="","",S498)</f>
        <v>NA</v>
      </c>
      <c r="F293" s="278" t="str">
        <f>IF(S487="","",S487)</f>
        <v>NA</v>
      </c>
      <c r="G293" s="278" t="str">
        <f>IF(S476="","",S476)</f>
        <v>NA</v>
      </c>
      <c r="H293" s="278" t="str">
        <f>IF(S465="","",S465)</f>
        <v>NA</v>
      </c>
    </row>
    <row r="294" spans="2:8" ht="11.25" hidden="1" customHeight="1" outlineLevel="1" x14ac:dyDescent="0.35">
      <c r="B294" s="244" t="s">
        <v>5366</v>
      </c>
      <c r="C294" s="245"/>
      <c r="D294" s="278" t="str">
        <f>IF(S510="","",S510)</f>
        <v>NA</v>
      </c>
      <c r="E294" s="278" t="str">
        <f>IF(S499="","",S499)</f>
        <v>NA</v>
      </c>
      <c r="F294" s="278" t="str">
        <f>IF(S488="","",S488)</f>
        <v>NA</v>
      </c>
      <c r="G294" s="278" t="str">
        <f>IF(S477="","",S477)</f>
        <v>NA</v>
      </c>
      <c r="H294" s="278" t="str">
        <f>IF(S466="","",S466)</f>
        <v>NA</v>
      </c>
    </row>
    <row r="295" spans="2:8" ht="11.25" hidden="1" customHeight="1" outlineLevel="1" x14ac:dyDescent="0.35">
      <c r="B295" s="244" t="s">
        <v>5122</v>
      </c>
      <c r="C295" s="245"/>
      <c r="D295" s="278" t="str">
        <f>IF(S511="","",S511)</f>
        <v>NA</v>
      </c>
      <c r="E295" s="278" t="str">
        <f>IF(S500="","",S500)</f>
        <v>NA</v>
      </c>
      <c r="F295" s="278" t="str">
        <f>IF(S489="","",S489)</f>
        <v>NA</v>
      </c>
      <c r="G295" s="278" t="str">
        <f>IF(S478="","",S478)</f>
        <v>NA</v>
      </c>
      <c r="H295" s="278" t="str">
        <f>IF(S467="","",S467)</f>
        <v>NA</v>
      </c>
    </row>
    <row r="296" spans="2:8" ht="11.25" hidden="1" customHeight="1" outlineLevel="1" x14ac:dyDescent="0.35">
      <c r="B296" s="244" t="s">
        <v>5124</v>
      </c>
      <c r="C296" s="245"/>
      <c r="D296" s="278" t="str">
        <f>IF(S512="","",S512)</f>
        <v>NA</v>
      </c>
      <c r="E296" s="278" t="str">
        <f>IF(S501="","",S501)</f>
        <v>NA</v>
      </c>
      <c r="F296" s="278" t="str">
        <f>IF(S490="","",S490)</f>
        <v>NA</v>
      </c>
      <c r="G296" s="278" t="str">
        <f>IF(S479="","",S479)</f>
        <v>NA</v>
      </c>
      <c r="H296" s="278" t="str">
        <f>IF(S468="","",S468)</f>
        <v>NA</v>
      </c>
    </row>
    <row r="297" spans="2:8" ht="11.25" hidden="1" customHeight="1" outlineLevel="1" x14ac:dyDescent="0.35">
      <c r="B297" s="244" t="s">
        <v>5121</v>
      </c>
      <c r="C297" s="245"/>
      <c r="D297" s="278" t="str">
        <f>IF(S513="","",S513)</f>
        <v>NA</v>
      </c>
      <c r="E297" s="278" t="str">
        <f>IF(S502="","",S502)</f>
        <v>NA</v>
      </c>
      <c r="F297" s="278" t="str">
        <f>IF(S491="","",S491)</f>
        <v>NA</v>
      </c>
      <c r="G297" s="278" t="str">
        <f>IF(S480="","",S480)</f>
        <v>NA</v>
      </c>
      <c r="H297" s="278" t="str">
        <f>IF(S469="","",S469)</f>
        <v>NA</v>
      </c>
    </row>
    <row r="298" spans="2:8" ht="11.25" hidden="1" customHeight="1" outlineLevel="1" x14ac:dyDescent="0.35">
      <c r="B298" s="244" t="s">
        <v>5367</v>
      </c>
      <c r="C298" s="245"/>
      <c r="D298" s="278" t="str">
        <f>IF(S514="","",S514)</f>
        <v>NA</v>
      </c>
      <c r="E298" s="278" t="str">
        <f>IF(S503="","",S503)</f>
        <v>NA</v>
      </c>
      <c r="F298" s="278" t="str">
        <f>IF(S492="","",S492)</f>
        <v>NA</v>
      </c>
      <c r="G298" s="278" t="str">
        <f>IF(S481="","",S481)</f>
        <v>NA</v>
      </c>
      <c r="H298" s="278" t="str">
        <f>IF(S470="","",S470)</f>
        <v>NA</v>
      </c>
    </row>
    <row r="299" spans="2:8" ht="11.25" hidden="1" customHeight="1" outlineLevel="1" x14ac:dyDescent="0.35">
      <c r="B299" s="244" t="s">
        <v>5368</v>
      </c>
      <c r="C299" s="245"/>
      <c r="D299" s="278" t="str">
        <f>IF(S515="","",S515)</f>
        <v>NA</v>
      </c>
      <c r="E299" s="278" t="str">
        <f>IF(S504="","",S504)</f>
        <v>NA</v>
      </c>
      <c r="F299" s="278" t="str">
        <f>IF(S493="","",S493)</f>
        <v>NA</v>
      </c>
      <c r="G299" s="278" t="str">
        <f>IF(S482="","",S482)</f>
        <v>NA</v>
      </c>
      <c r="H299" s="278" t="str">
        <f>IF(S471="","",S471)</f>
        <v>NA</v>
      </c>
    </row>
    <row r="300" spans="2:8" ht="11.25" hidden="1" customHeight="1" outlineLevel="1" x14ac:dyDescent="0.35">
      <c r="B300" s="244" t="s">
        <v>5369</v>
      </c>
      <c r="C300" s="245"/>
      <c r="D300" s="278" t="str">
        <f>IF(S516="","",S516)</f>
        <v>NA</v>
      </c>
      <c r="E300" s="278" t="str">
        <f>IF(S505="","",S505)</f>
        <v>NA</v>
      </c>
      <c r="F300" s="278" t="str">
        <f>IF(S494="","",S494)</f>
        <v>NA</v>
      </c>
      <c r="G300" s="278" t="str">
        <f>IF(S483="","",S483)</f>
        <v>NA</v>
      </c>
      <c r="H300" s="278" t="str">
        <f>IF(S472="","",S472)</f>
        <v>NA</v>
      </c>
    </row>
    <row r="301" spans="2:8" ht="11.25" hidden="1" customHeight="1" outlineLevel="1" x14ac:dyDescent="0.35">
      <c r="B301" s="244" t="s">
        <v>5370</v>
      </c>
      <c r="C301" s="245"/>
      <c r="D301" s="278" t="str">
        <f>IF(S517="","",S517)</f>
        <v>NA</v>
      </c>
      <c r="E301" s="278" t="str">
        <f>IF(S506="","",S506)</f>
        <v>NA</v>
      </c>
      <c r="F301" s="278" t="str">
        <f>IF(S495="","",S495)</f>
        <v>NA</v>
      </c>
      <c r="G301" s="278" t="str">
        <f>IF(S484="","",S484)</f>
        <v>NA</v>
      </c>
      <c r="H301" s="278" t="str">
        <f>IF(S473="","",S473)</f>
        <v>NA</v>
      </c>
    </row>
    <row r="302" spans="2:8" ht="11.25" hidden="1" customHeight="1" outlineLevel="1" x14ac:dyDescent="0.35">
      <c r="B302" s="244" t="s">
        <v>5371</v>
      </c>
      <c r="C302" s="245"/>
      <c r="D302" s="278" t="str">
        <f>IF(S518="","",S518)</f>
        <v>NA</v>
      </c>
      <c r="E302" s="278" t="str">
        <f>IF(S507="","",S507)</f>
        <v>NA</v>
      </c>
      <c r="F302" s="278" t="str">
        <f>IF(S496="","",S496)</f>
        <v>NA</v>
      </c>
      <c r="G302" s="278" t="str">
        <f>IF(S485="","",S485)</f>
        <v>NA</v>
      </c>
      <c r="H302" s="278" t="str">
        <f>IF(S474="","",S474)</f>
        <v>NA</v>
      </c>
    </row>
    <row r="303" spans="2:8" ht="11.25" hidden="1" customHeight="1" outlineLevel="1" x14ac:dyDescent="0.35">
      <c r="B303" s="244" t="s">
        <v>5372</v>
      </c>
      <c r="C303" s="245"/>
      <c r="D303" s="278" t="str">
        <f>IF(S519="","",S519)</f>
        <v>NA</v>
      </c>
      <c r="E303" s="278" t="str">
        <f>IF(S508="","",S508)</f>
        <v>NA</v>
      </c>
      <c r="F303" s="278" t="str">
        <f>IF(S497="","",S497)</f>
        <v>NA</v>
      </c>
      <c r="G303" s="278" t="str">
        <f>IF(S486="","",S486)</f>
        <v>NA</v>
      </c>
      <c r="H303" s="278" t="str">
        <f>IF(S475="","",S475)</f>
        <v>NA</v>
      </c>
    </row>
    <row r="304" spans="2:8" s="342" customFormat="1" ht="11.25" hidden="1" customHeight="1" outlineLevel="1" x14ac:dyDescent="0.35">
      <c r="B304" s="347"/>
      <c r="C304" s="247"/>
      <c r="D304" s="278"/>
      <c r="E304" s="278"/>
      <c r="F304" s="278"/>
      <c r="G304" s="278"/>
      <c r="H304" s="278"/>
    </row>
    <row r="305" spans="2:8" ht="11.25" customHeight="1" collapsed="1" x14ac:dyDescent="0.35">
      <c r="B305" s="347" t="s">
        <v>5510</v>
      </c>
      <c r="C305" s="247"/>
      <c r="D305" s="278"/>
      <c r="E305" s="278"/>
      <c r="F305" s="278"/>
      <c r="G305" s="278"/>
      <c r="H305" s="278"/>
    </row>
    <row r="306" spans="2:8" ht="11.25" customHeight="1" x14ac:dyDescent="0.35">
      <c r="B306" s="244" t="s">
        <v>5126</v>
      </c>
      <c r="C306" s="245">
        <v>123628</v>
      </c>
      <c r="D306" s="278" t="s">
        <v>2107</v>
      </c>
      <c r="E306" s="278">
        <v>114.1201516</v>
      </c>
      <c r="F306" s="278">
        <v>70.283671999999996</v>
      </c>
      <c r="G306" s="278">
        <v>33.911309899999999</v>
      </c>
      <c r="H306" s="278">
        <v>21.5615734</v>
      </c>
    </row>
    <row r="307" spans="2:8" ht="11.25" customHeight="1" x14ac:dyDescent="0.35">
      <c r="B307" s="244" t="s">
        <v>5125</v>
      </c>
      <c r="C307" s="245">
        <v>123632</v>
      </c>
      <c r="D307" s="278">
        <v>23.5482336</v>
      </c>
      <c r="E307" s="278">
        <v>18.94415</v>
      </c>
      <c r="F307" s="278">
        <v>18.232427900000001</v>
      </c>
      <c r="G307" s="278">
        <v>18.855946500000002</v>
      </c>
      <c r="H307" s="278">
        <v>18.127698899999999</v>
      </c>
    </row>
    <row r="308" spans="2:8" ht="11.25" customHeight="1" x14ac:dyDescent="0.35">
      <c r="B308" s="244" t="s">
        <v>5124</v>
      </c>
      <c r="C308" s="245">
        <v>123636</v>
      </c>
      <c r="D308" s="278">
        <v>4.5502492999999999</v>
      </c>
      <c r="E308" s="278">
        <v>4.3750627</v>
      </c>
      <c r="F308" s="278">
        <v>5.3225417000000004</v>
      </c>
      <c r="G308" s="278">
        <v>5.6531886</v>
      </c>
      <c r="H308" s="278">
        <v>4.1976355999999999</v>
      </c>
    </row>
    <row r="309" spans="2:8" ht="11.25" customHeight="1" x14ac:dyDescent="0.35">
      <c r="B309" s="244" t="s">
        <v>5123</v>
      </c>
      <c r="C309" s="245">
        <v>123644</v>
      </c>
      <c r="D309" s="278">
        <v>30.693372700000001</v>
      </c>
      <c r="E309" s="278">
        <v>25.620946499999999</v>
      </c>
      <c r="F309" s="278">
        <v>28.0502632</v>
      </c>
      <c r="G309" s="278">
        <v>31.238132199999999</v>
      </c>
      <c r="H309" s="278">
        <v>31.5740345</v>
      </c>
    </row>
    <row r="310" spans="2:8" ht="11.25" customHeight="1" x14ac:dyDescent="0.35">
      <c r="B310" s="244" t="s">
        <v>5122</v>
      </c>
      <c r="C310" s="245">
        <v>123648</v>
      </c>
      <c r="D310" s="278">
        <v>13.070967</v>
      </c>
      <c r="E310" s="278">
        <v>12.728905599999999</v>
      </c>
      <c r="F310" s="278">
        <v>12.1522442</v>
      </c>
      <c r="G310" s="278">
        <v>13.474335200000001</v>
      </c>
      <c r="H310" s="278">
        <v>13.0187949</v>
      </c>
    </row>
    <row r="311" spans="2:8" ht="11.25" customHeight="1" x14ac:dyDescent="0.35">
      <c r="B311" s="244" t="s">
        <v>5121</v>
      </c>
      <c r="C311" s="245">
        <v>123652</v>
      </c>
      <c r="D311" s="278">
        <v>4.6754240999999999</v>
      </c>
      <c r="E311" s="278">
        <v>4.0713429999999997</v>
      </c>
      <c r="F311" s="278">
        <v>3.0688019999999998</v>
      </c>
      <c r="G311" s="278">
        <v>4.8594993000000004</v>
      </c>
      <c r="H311" s="278">
        <v>4.7472060000000003</v>
      </c>
    </row>
    <row r="312" spans="2:8" ht="11.25" customHeight="1" x14ac:dyDescent="0.35">
      <c r="B312" s="244" t="s">
        <v>5120</v>
      </c>
      <c r="C312" s="245">
        <v>123656</v>
      </c>
      <c r="D312" s="278">
        <v>10.552547000000001</v>
      </c>
      <c r="E312" s="278">
        <v>11.2046756</v>
      </c>
      <c r="F312" s="278">
        <v>11.106393600000001</v>
      </c>
      <c r="G312" s="278">
        <v>11.674085099999999</v>
      </c>
      <c r="H312" s="278">
        <v>10.5313357</v>
      </c>
    </row>
    <row r="313" spans="2:8" ht="11.25" customHeight="1" x14ac:dyDescent="0.35">
      <c r="B313" s="244" t="s">
        <v>5119</v>
      </c>
      <c r="C313" s="245">
        <v>123660</v>
      </c>
      <c r="D313" s="278">
        <v>36.972287000000001</v>
      </c>
      <c r="E313" s="278">
        <v>35.182057800000003</v>
      </c>
      <c r="F313" s="278">
        <v>35.845910400000001</v>
      </c>
      <c r="G313" s="278">
        <v>36.072915999999999</v>
      </c>
      <c r="H313" s="278">
        <v>35.846037699999997</v>
      </c>
    </row>
    <row r="314" spans="2:8" ht="11.25" customHeight="1" x14ac:dyDescent="0.35">
      <c r="B314" s="244" t="s">
        <v>5107</v>
      </c>
      <c r="C314" s="245">
        <v>123664</v>
      </c>
      <c r="D314" s="278">
        <v>14.478893100000001</v>
      </c>
      <c r="E314" s="278">
        <v>14.779825600000001</v>
      </c>
      <c r="F314" s="278">
        <v>14.2745888</v>
      </c>
      <c r="G314" s="278">
        <v>13.9478027</v>
      </c>
      <c r="H314" s="278">
        <v>14.273306699999999</v>
      </c>
    </row>
    <row r="315" spans="2:8" ht="11.25" customHeight="1" x14ac:dyDescent="0.35">
      <c r="B315" s="244" t="s">
        <v>4946</v>
      </c>
      <c r="C315" s="247"/>
      <c r="D315" s="248"/>
      <c r="E315" s="248"/>
      <c r="F315" s="248"/>
      <c r="G315" s="248"/>
      <c r="H315" s="248"/>
    </row>
    <row r="316" spans="2:8" ht="11.25" customHeight="1" x14ac:dyDescent="0.35">
      <c r="B316" s="246" t="s">
        <v>5131</v>
      </c>
      <c r="C316" s="247"/>
      <c r="D316" s="248"/>
      <c r="E316" s="248"/>
      <c r="F316" s="248"/>
      <c r="G316" s="248"/>
      <c r="H316" s="248"/>
    </row>
    <row r="317" spans="2:8" ht="11.25" customHeight="1" x14ac:dyDescent="0.35">
      <c r="B317" s="244" t="s">
        <v>5130</v>
      </c>
      <c r="C317" s="245"/>
      <c r="D317" s="278">
        <f>IF(LEFT(D$7,4)&gt;"2018",IFERROR(100*SUM(D339,D352)/SUM(D365,D378),"NA"),D323)</f>
        <v>18.3817743</v>
      </c>
      <c r="E317" s="278">
        <f>IF(LEFT(E$7,4)&gt;"2018",IFERROR(100*SUM(E339,E352)/SUM(E365,E378),"NA"),E323)</f>
        <v>15.8697997</v>
      </c>
      <c r="F317" s="278">
        <f>IF(LEFT(F$7,4)&gt;"2018",IFERROR(100*SUM(F339,F352)/SUM(F365,F378),"NA"),F323)</f>
        <v>16.485813</v>
      </c>
      <c r="G317" s="278">
        <f>IF(LEFT(G$7,4)&gt;"2018",IFERROR(100*SUM(G339,G352)/SUM(G365,G378),"NA"),G323)</f>
        <v>17.1573238</v>
      </c>
      <c r="H317" s="278">
        <f>IF(LEFT(H$7,4)&gt;"2018",IFERROR(100*SUM(H339,H352)/SUM(H365,H378),"NA"),H323)</f>
        <v>14.2887868</v>
      </c>
    </row>
    <row r="318" spans="2:8" ht="11.25" customHeight="1" x14ac:dyDescent="0.35">
      <c r="B318" s="244" t="s">
        <v>5129</v>
      </c>
      <c r="C318" s="245"/>
      <c r="D318" s="278">
        <f>IF(LEFT(D$7,4)&gt;"2018",IFERROR(100*SUM(D340,D353)/SUM(D366,D379),"NA"),D324)</f>
        <v>5.3855947999999998</v>
      </c>
      <c r="E318" s="278">
        <f>IF(LEFT(E$7,4)&gt;"2018",IFERROR(100*SUM(E340,E353)/SUM(E366,E379),"NA"),E324)</f>
        <v>5.0266837999999998</v>
      </c>
      <c r="F318" s="278">
        <f>IF(LEFT(F$7,4)&gt;"2018",IFERROR(100*SUM(F340,F353)/SUM(F366,F379),"NA"),F324)</f>
        <v>4.6530126999999997</v>
      </c>
      <c r="G318" s="278">
        <f>IF(LEFT(G$7,4)&gt;"2018",IFERROR(100*SUM(G340,G353)/SUM(G366,G379),"NA"),G324)</f>
        <v>5.9110674999999997</v>
      </c>
      <c r="H318" s="278">
        <f>IF(LEFT(H$7,4)&gt;"2018",IFERROR(100*SUM(H340,H353)/SUM(H366,H379),"NA"),H324)</f>
        <v>5.1650662000000001</v>
      </c>
    </row>
    <row r="319" spans="2:8" ht="11.25" customHeight="1" x14ac:dyDescent="0.35">
      <c r="B319" s="244" t="s">
        <v>5128</v>
      </c>
      <c r="C319" s="245"/>
      <c r="D319" s="278">
        <f>IF(LEFT(D$7,4)&gt;"2018",IFERROR(100*SUM(D335,D348)/SUM(D361,D374),"NA"),D325)</f>
        <v>9.4644812999999992</v>
      </c>
      <c r="E319" s="278">
        <f>IF(LEFT(E$7,4)&gt;"2018",IFERROR(100*SUM(E335,E348)/SUM(E361,E374),"NA"),E325)</f>
        <v>9.6986884999999994</v>
      </c>
      <c r="F319" s="278">
        <f>IF(LEFT(F$7,4)&gt;"2018",IFERROR(100*SUM(F335,F348)/SUM(F361,F374),"NA"),F325)</f>
        <v>9.6356856999999998</v>
      </c>
      <c r="G319" s="278">
        <f>IF(LEFT(G$7,4)&gt;"2018",IFERROR(100*SUM(G335,G348)/SUM(G361,G374),"NA"),G325)</f>
        <v>9.3246947999999996</v>
      </c>
      <c r="H319" s="278">
        <f>IF(LEFT(H$7,4)&gt;"2018",IFERROR(100*SUM(H335,H348)/SUM(H361,H374),"NA"),H325)</f>
        <v>9.0256836000000007</v>
      </c>
    </row>
    <row r="320" spans="2:8" ht="11.25" customHeight="1" x14ac:dyDescent="0.35">
      <c r="B320" s="244" t="s">
        <v>5387</v>
      </c>
      <c r="C320" s="245"/>
      <c r="D320" s="278">
        <f>IF(LEFT(D$7,4)&gt;"2018","NA",D326)</f>
        <v>46.6982894</v>
      </c>
      <c r="E320" s="278">
        <f>IF(LEFT(E$7,4)&gt;"2018","NA",E326)</f>
        <v>48.985695200000002</v>
      </c>
      <c r="F320" s="278">
        <f>IF(LEFT(F$7,4)&gt;"2018","NA",F326)</f>
        <v>43.372992400000001</v>
      </c>
      <c r="G320" s="278">
        <f>IF(LEFT(G$7,4)&gt;"2018","NA",G326)</f>
        <v>39.031006699999999</v>
      </c>
      <c r="H320" s="278">
        <f>IF(LEFT(H$7,4)&gt;"2018","NA",H326)</f>
        <v>40.000452600000003</v>
      </c>
    </row>
    <row r="321" spans="2:8" ht="11.25" customHeight="1" x14ac:dyDescent="0.35">
      <c r="B321" s="244" t="s">
        <v>5127</v>
      </c>
      <c r="C321" s="245"/>
      <c r="D321" s="278">
        <f>IF(LEFT(D$7,4)&gt;"2018",IFERROR(100*SUM(D336:D338,D349:D351)/SUM(D362:D364,D375:D377),"NA"),D327)</f>
        <v>3.8483099999999999E-2</v>
      </c>
      <c r="E321" s="278">
        <f>IF(LEFT(E$7,4)&gt;"2018",IFERROR(100*SUM(E336:E338,E349:E351)/SUM(E362:E364,E375:E377),"NA"),E327)</f>
        <v>0.7449673</v>
      </c>
      <c r="F321" s="278">
        <f>IF(LEFT(F$7,4)&gt;"2018",IFERROR(100*SUM(F336:F338,F349:F351)/SUM(F362:F364,F375:F377),"NA"),F327)</f>
        <v>0.68279639999999997</v>
      </c>
      <c r="G321" s="278">
        <f>IF(LEFT(G$7,4)&gt;"2018",IFERROR(100*SUM(G336:G338,G349:G351)/SUM(G362:G364,G375:G377),"NA"),G327)</f>
        <v>0.92576440000000004</v>
      </c>
      <c r="H321" s="278">
        <f>IF(LEFT(H$7,4)&gt;"2018",IFERROR(100*SUM(H336:H338,H349:H351)/SUM(H362:H364,H375:H377),"NA"),H327)</f>
        <v>0.85780670000000003</v>
      </c>
    </row>
    <row r="322" spans="2:8" ht="11.25" hidden="1" customHeight="1" outlineLevel="1" x14ac:dyDescent="0.35">
      <c r="B322" s="244" t="s">
        <v>4946</v>
      </c>
      <c r="C322" s="247"/>
      <c r="D322" s="278"/>
      <c r="E322" s="278"/>
      <c r="F322" s="278"/>
      <c r="G322" s="278"/>
      <c r="H322" s="278"/>
    </row>
    <row r="323" spans="2:8" ht="11.25" hidden="1" customHeight="1" outlineLevel="1" x14ac:dyDescent="0.35">
      <c r="B323" s="244" t="s">
        <v>5130</v>
      </c>
      <c r="C323" s="245">
        <v>123609</v>
      </c>
      <c r="D323" s="278">
        <v>18.3817743</v>
      </c>
      <c r="E323" s="278">
        <v>15.8697997</v>
      </c>
      <c r="F323" s="278">
        <v>16.485813</v>
      </c>
      <c r="G323" s="278">
        <v>17.1573238</v>
      </c>
      <c r="H323" s="278">
        <v>14.2887868</v>
      </c>
    </row>
    <row r="324" spans="2:8" ht="11.25" hidden="1" customHeight="1" outlineLevel="1" x14ac:dyDescent="0.35">
      <c r="B324" s="244" t="s">
        <v>5129</v>
      </c>
      <c r="C324" s="245">
        <v>123613</v>
      </c>
      <c r="D324" s="278">
        <v>5.3855947999999998</v>
      </c>
      <c r="E324" s="278">
        <v>5.0266837999999998</v>
      </c>
      <c r="F324" s="278">
        <v>4.6530126999999997</v>
      </c>
      <c r="G324" s="278">
        <v>5.9110674999999997</v>
      </c>
      <c r="H324" s="278">
        <v>5.1650662000000001</v>
      </c>
    </row>
    <row r="325" spans="2:8" ht="11.25" hidden="1" customHeight="1" outlineLevel="1" x14ac:dyDescent="0.35">
      <c r="B325" s="244" t="s">
        <v>5128</v>
      </c>
      <c r="C325" s="245">
        <v>123617</v>
      </c>
      <c r="D325" s="278">
        <v>9.4644812999999992</v>
      </c>
      <c r="E325" s="278">
        <v>9.6986884999999994</v>
      </c>
      <c r="F325" s="278">
        <v>9.6356856999999998</v>
      </c>
      <c r="G325" s="278">
        <v>9.3246947999999996</v>
      </c>
      <c r="H325" s="278">
        <v>9.0256836000000007</v>
      </c>
    </row>
    <row r="326" spans="2:8" ht="11.25" hidden="1" customHeight="1" outlineLevel="1" x14ac:dyDescent="0.35">
      <c r="B326" s="244" t="s">
        <v>5387</v>
      </c>
      <c r="C326" s="245">
        <v>123621</v>
      </c>
      <c r="D326" s="278">
        <v>46.6982894</v>
      </c>
      <c r="E326" s="278">
        <v>48.985695200000002</v>
      </c>
      <c r="F326" s="278">
        <v>43.372992400000001</v>
      </c>
      <c r="G326" s="278">
        <v>39.031006699999999</v>
      </c>
      <c r="H326" s="278">
        <v>40.000452600000003</v>
      </c>
    </row>
    <row r="327" spans="2:8" ht="11.25" hidden="1" customHeight="1" outlineLevel="1" x14ac:dyDescent="0.35">
      <c r="B327" s="244" t="s">
        <v>5127</v>
      </c>
      <c r="C327" s="245">
        <v>123625</v>
      </c>
      <c r="D327" s="278">
        <v>3.8483099999999999E-2</v>
      </c>
      <c r="E327" s="278">
        <v>0.7449673</v>
      </c>
      <c r="F327" s="278">
        <v>0.68279639999999997</v>
      </c>
      <c r="G327" s="278">
        <v>0.92576440000000004</v>
      </c>
      <c r="H327" s="278">
        <v>0.85780670000000003</v>
      </c>
    </row>
    <row r="328" spans="2:8" s="302" customFormat="1" ht="11.25" hidden="1" customHeight="1" outlineLevel="1" x14ac:dyDescent="0.35">
      <c r="B328" s="244" t="s">
        <v>4946</v>
      </c>
      <c r="C328" s="247"/>
      <c r="D328" s="278"/>
      <c r="E328" s="278"/>
      <c r="F328" s="278"/>
      <c r="G328" s="278"/>
      <c r="H328" s="278"/>
    </row>
    <row r="329" spans="2:8" s="302" customFormat="1" ht="11.25" hidden="1" customHeight="1" outlineLevel="1" x14ac:dyDescent="0.35">
      <c r="B329" s="246" t="s">
        <v>5479</v>
      </c>
      <c r="C329" s="247"/>
      <c r="D329" s="335"/>
      <c r="E329" s="335"/>
      <c r="F329" s="335"/>
      <c r="G329" s="335"/>
      <c r="H329" s="335"/>
    </row>
    <row r="330" spans="2:8" ht="11.25" hidden="1" customHeight="1" outlineLevel="1" x14ac:dyDescent="0.35">
      <c r="B330" s="292" t="s">
        <v>5365</v>
      </c>
      <c r="C330" s="245"/>
      <c r="D330" s="278" t="str">
        <f>IF(S1013="","",S1013)</f>
        <v>NA</v>
      </c>
      <c r="E330" s="278" t="str">
        <f>IF(S1002="","",S1002)</f>
        <v>NA</v>
      </c>
      <c r="F330" s="278" t="str">
        <f>IF(S991="","",S991)</f>
        <v>NA</v>
      </c>
      <c r="G330" s="278" t="str">
        <f>IF(S980="","",S980)</f>
        <v>NA</v>
      </c>
      <c r="H330" s="278" t="str">
        <f>IF(S969="","",S969)</f>
        <v>NA</v>
      </c>
    </row>
    <row r="331" spans="2:8" ht="11.25" hidden="1" customHeight="1" outlineLevel="1" x14ac:dyDescent="0.35">
      <c r="B331" s="244" t="s">
        <v>5366</v>
      </c>
      <c r="C331" s="245"/>
      <c r="D331" s="278" t="str">
        <f>IF(S1014="","",S1014)</f>
        <v>NA</v>
      </c>
      <c r="E331" s="278" t="str">
        <f>IF(S1003="","",S1003)</f>
        <v>NA</v>
      </c>
      <c r="F331" s="278" t="str">
        <f>IF(S992="","",S992)</f>
        <v>NA</v>
      </c>
      <c r="G331" s="278" t="str">
        <f>IF(S981="","",S981)</f>
        <v>NA</v>
      </c>
      <c r="H331" s="278" t="str">
        <f>IF(S970="","",S970)</f>
        <v>NA</v>
      </c>
    </row>
    <row r="332" spans="2:8" ht="11.25" hidden="1" customHeight="1" outlineLevel="1" x14ac:dyDescent="0.35">
      <c r="B332" s="244" t="s">
        <v>5122</v>
      </c>
      <c r="C332" s="245"/>
      <c r="D332" s="278" t="str">
        <f>IF(S1015="","",S1015)</f>
        <v>NA</v>
      </c>
      <c r="E332" s="278" t="str">
        <f>IF(S1004="","",S1004)</f>
        <v>NA</v>
      </c>
      <c r="F332" s="278" t="str">
        <f>IF(S993="","",S993)</f>
        <v>NA</v>
      </c>
      <c r="G332" s="278" t="str">
        <f>IF(S982="","",S982)</f>
        <v>NA</v>
      </c>
      <c r="H332" s="278" t="str">
        <f>IF(S971="","",S971)</f>
        <v>NA</v>
      </c>
    </row>
    <row r="333" spans="2:8" ht="11.25" hidden="1" customHeight="1" outlineLevel="1" x14ac:dyDescent="0.35">
      <c r="B333" s="244" t="s">
        <v>5124</v>
      </c>
      <c r="C333" s="245"/>
      <c r="D333" s="278" t="str">
        <f>IF(S1016="","",S1016)</f>
        <v>NA</v>
      </c>
      <c r="E333" s="278" t="str">
        <f>IF(S1005="","",S1005)</f>
        <v>NA</v>
      </c>
      <c r="F333" s="278" t="str">
        <f>IF(S994="","",S994)</f>
        <v>NA</v>
      </c>
      <c r="G333" s="278" t="str">
        <f>IF(S983="","",S983)</f>
        <v>NA</v>
      </c>
      <c r="H333" s="278" t="str">
        <f>IF(S972="","",S972)</f>
        <v>NA</v>
      </c>
    </row>
    <row r="334" spans="2:8" ht="11.25" hidden="1" customHeight="1" outlineLevel="1" x14ac:dyDescent="0.35">
      <c r="B334" s="244" t="s">
        <v>5121</v>
      </c>
      <c r="C334" s="245"/>
      <c r="D334" s="278" t="str">
        <f>IF(S1017="","",S1017)</f>
        <v>NA</v>
      </c>
      <c r="E334" s="278" t="str">
        <f>IF(S1006="","",S1006)</f>
        <v>NA</v>
      </c>
      <c r="F334" s="278" t="str">
        <f>IF(S995="","",S995)</f>
        <v>NA</v>
      </c>
      <c r="G334" s="278" t="str">
        <f>IF(S984="","",S984)</f>
        <v>NA</v>
      </c>
      <c r="H334" s="278" t="str">
        <f>IF(S973="","",S973)</f>
        <v>NA</v>
      </c>
    </row>
    <row r="335" spans="2:8" ht="11.25" hidden="1" customHeight="1" outlineLevel="1" x14ac:dyDescent="0.35">
      <c r="B335" s="244" t="s">
        <v>5367</v>
      </c>
      <c r="C335" s="245"/>
      <c r="D335" s="278" t="str">
        <f>IF(S1018="","",S1018)</f>
        <v>NA</v>
      </c>
      <c r="E335" s="278" t="str">
        <f>IF(S1007="","",S1007)</f>
        <v>NA</v>
      </c>
      <c r="F335" s="278" t="str">
        <f>IF(S996="","",S996)</f>
        <v>NA</v>
      </c>
      <c r="G335" s="278" t="str">
        <f>IF(S985="","",S985)</f>
        <v>NA</v>
      </c>
      <c r="H335" s="278" t="str">
        <f>IF(S974="","",S974)</f>
        <v>NA</v>
      </c>
    </row>
    <row r="336" spans="2:8" ht="11.25" hidden="1" customHeight="1" outlineLevel="1" x14ac:dyDescent="0.35">
      <c r="B336" s="244" t="s">
        <v>5368</v>
      </c>
      <c r="C336" s="245"/>
      <c r="D336" s="278" t="str">
        <f>IF(S1019="","",S1019)</f>
        <v>NA</v>
      </c>
      <c r="E336" s="278" t="str">
        <f>IF(S1008="","",S1008)</f>
        <v>NA</v>
      </c>
      <c r="F336" s="278" t="str">
        <f>IF(S997="","",S997)</f>
        <v>NA</v>
      </c>
      <c r="G336" s="278" t="str">
        <f>IF(S986="","",S986)</f>
        <v>NA</v>
      </c>
      <c r="H336" s="278" t="str">
        <f>IF(S975="","",S975)</f>
        <v>NA</v>
      </c>
    </row>
    <row r="337" spans="2:8" ht="11.25" hidden="1" customHeight="1" outlineLevel="1" x14ac:dyDescent="0.35">
      <c r="B337" s="244" t="s">
        <v>5369</v>
      </c>
      <c r="C337" s="245"/>
      <c r="D337" s="278" t="str">
        <f>IF(S1020="","",S1020)</f>
        <v>NA</v>
      </c>
      <c r="E337" s="278" t="str">
        <f>IF(S1009="","",S1009)</f>
        <v>NA</v>
      </c>
      <c r="F337" s="278" t="str">
        <f>IF(S998="","",S998)</f>
        <v>NA</v>
      </c>
      <c r="G337" s="278" t="str">
        <f>IF(S987="","",S987)</f>
        <v>NA</v>
      </c>
      <c r="H337" s="278" t="str">
        <f>IF(S976="","",S976)</f>
        <v>NA</v>
      </c>
    </row>
    <row r="338" spans="2:8" ht="11.25" hidden="1" customHeight="1" outlineLevel="1" x14ac:dyDescent="0.35">
      <c r="B338" s="244" t="s">
        <v>5370</v>
      </c>
      <c r="C338" s="245"/>
      <c r="D338" s="278" t="str">
        <f>IF(S1021="","",S1021)</f>
        <v>NA</v>
      </c>
      <c r="E338" s="278" t="str">
        <f>IF(S1010="","",S1010)</f>
        <v>NA</v>
      </c>
      <c r="F338" s="278" t="str">
        <f>IF(S999="","",S999)</f>
        <v>NA</v>
      </c>
      <c r="G338" s="278" t="str">
        <f>IF(S988="","",S988)</f>
        <v>NA</v>
      </c>
      <c r="H338" s="278" t="str">
        <f>IF(S977="","",S977)</f>
        <v>NA</v>
      </c>
    </row>
    <row r="339" spans="2:8" ht="11.25" hidden="1" customHeight="1" outlineLevel="1" x14ac:dyDescent="0.35">
      <c r="B339" s="244" t="s">
        <v>5371</v>
      </c>
      <c r="C339" s="245"/>
      <c r="D339" s="278" t="str">
        <f>IF(S1022="","",S1022)</f>
        <v>NA</v>
      </c>
      <c r="E339" s="278" t="str">
        <f>IF(S1011="","",S1011)</f>
        <v>NA</v>
      </c>
      <c r="F339" s="278" t="str">
        <f>IF(S1000="","",S1000)</f>
        <v>NA</v>
      </c>
      <c r="G339" s="278" t="str">
        <f>IF(S989="","",S989)</f>
        <v>NA</v>
      </c>
      <c r="H339" s="278" t="str">
        <f>IF(S978="","",S978)</f>
        <v>NA</v>
      </c>
    </row>
    <row r="340" spans="2:8" ht="11.25" hidden="1" customHeight="1" outlineLevel="1" x14ac:dyDescent="0.35">
      <c r="B340" s="244" t="s">
        <v>5372</v>
      </c>
      <c r="C340" s="245"/>
      <c r="D340" s="278" t="str">
        <f>IF(S1023="","",S1023)</f>
        <v>NA</v>
      </c>
      <c r="E340" s="278" t="str">
        <f>IF(S1012="","",S1012)</f>
        <v>NA</v>
      </c>
      <c r="F340" s="278" t="str">
        <f>IF(S1001="","",S1001)</f>
        <v>NA</v>
      </c>
      <c r="G340" s="278" t="str">
        <f>IF(S990="","",S990)</f>
        <v>NA</v>
      </c>
      <c r="H340" s="278" t="str">
        <f>IF(S979="","",S979)</f>
        <v>NA</v>
      </c>
    </row>
    <row r="341" spans="2:8" ht="11.25" hidden="1" customHeight="1" outlineLevel="1" x14ac:dyDescent="0.35">
      <c r="B341" s="301"/>
      <c r="C341" s="301"/>
      <c r="D341" s="301"/>
      <c r="E341" s="301"/>
      <c r="F341" s="301"/>
      <c r="G341" s="301"/>
      <c r="H341" s="301"/>
    </row>
    <row r="342" spans="2:8" ht="11.25" hidden="1" customHeight="1" outlineLevel="1" x14ac:dyDescent="0.35">
      <c r="B342" s="246" t="s">
        <v>5480</v>
      </c>
      <c r="C342" s="247"/>
      <c r="D342" s="278"/>
      <c r="E342" s="278"/>
      <c r="F342" s="278"/>
      <c r="G342" s="278"/>
      <c r="H342" s="278"/>
    </row>
    <row r="343" spans="2:8" ht="11.25" hidden="1" customHeight="1" outlineLevel="1" x14ac:dyDescent="0.35">
      <c r="B343" s="292" t="s">
        <v>5365</v>
      </c>
      <c r="C343" s="245"/>
      <c r="D343" s="278" t="str">
        <f>IF(S1069="","",S1069)</f>
        <v>NA</v>
      </c>
      <c r="E343" s="278" t="str">
        <f>IF(S1058="","",S1058)</f>
        <v>NA</v>
      </c>
      <c r="F343" s="278" t="str">
        <f>IF(S1047="","",S1047)</f>
        <v>NA</v>
      </c>
      <c r="G343" s="278" t="str">
        <f>IF(S1036="","",S1036)</f>
        <v>NA</v>
      </c>
      <c r="H343" s="278" t="str">
        <f>IF(S1025="","",S1025)</f>
        <v>NA</v>
      </c>
    </row>
    <row r="344" spans="2:8" ht="11.25" hidden="1" customHeight="1" outlineLevel="1" x14ac:dyDescent="0.35">
      <c r="B344" s="244" t="s">
        <v>5366</v>
      </c>
      <c r="C344" s="245"/>
      <c r="D344" s="278" t="str">
        <f>IF(S1070="","",S1070)</f>
        <v>NA</v>
      </c>
      <c r="E344" s="278" t="str">
        <f>IF(S1059="","",S1059)</f>
        <v>NA</v>
      </c>
      <c r="F344" s="278" t="str">
        <f>IF(S1048="","",S1048)</f>
        <v>NA</v>
      </c>
      <c r="G344" s="278" t="str">
        <f>IF(S1037="","",S1037)</f>
        <v>NA</v>
      </c>
      <c r="H344" s="278" t="str">
        <f>IF(S1026="","",S1026)</f>
        <v>NA</v>
      </c>
    </row>
    <row r="345" spans="2:8" ht="11.25" hidden="1" customHeight="1" outlineLevel="1" x14ac:dyDescent="0.35">
      <c r="B345" s="244" t="s">
        <v>5122</v>
      </c>
      <c r="C345" s="245"/>
      <c r="D345" s="278" t="str">
        <f>IF(S1071="","",S1071)</f>
        <v>NA</v>
      </c>
      <c r="E345" s="278" t="str">
        <f>IF(S1060="","",S1060)</f>
        <v>NA</v>
      </c>
      <c r="F345" s="278" t="str">
        <f>IF(S1049="","",S1049)</f>
        <v>NA</v>
      </c>
      <c r="G345" s="278" t="str">
        <f>IF(S1038="","",S1038)</f>
        <v>NA</v>
      </c>
      <c r="H345" s="278" t="str">
        <f>IF(S1027="","",S1027)</f>
        <v>NA</v>
      </c>
    </row>
    <row r="346" spans="2:8" ht="11.25" hidden="1" customHeight="1" outlineLevel="1" x14ac:dyDescent="0.35">
      <c r="B346" s="244" t="s">
        <v>5124</v>
      </c>
      <c r="C346" s="245"/>
      <c r="D346" s="278" t="str">
        <f>IF(S1072="","",S1072)</f>
        <v>NA</v>
      </c>
      <c r="E346" s="278" t="str">
        <f>IF(S1061="","",S1061)</f>
        <v>NA</v>
      </c>
      <c r="F346" s="278" t="str">
        <f>IF(S1050="","",S1050)</f>
        <v>NA</v>
      </c>
      <c r="G346" s="278" t="str">
        <f>IF(S1039="","",S1039)</f>
        <v>NA</v>
      </c>
      <c r="H346" s="278" t="str">
        <f>IF(S1028="","",S1028)</f>
        <v>NA</v>
      </c>
    </row>
    <row r="347" spans="2:8" ht="11.25" hidden="1" customHeight="1" outlineLevel="1" x14ac:dyDescent="0.35">
      <c r="B347" s="244" t="s">
        <v>5121</v>
      </c>
      <c r="C347" s="245"/>
      <c r="D347" s="278" t="str">
        <f>IF(S1073="","",S1073)</f>
        <v>NA</v>
      </c>
      <c r="E347" s="278" t="str">
        <f>IF(S1062="","",S1062)</f>
        <v>NA</v>
      </c>
      <c r="F347" s="278" t="str">
        <f>IF(S1051="","",S1051)</f>
        <v>NA</v>
      </c>
      <c r="G347" s="278" t="str">
        <f>IF(S1040="","",S1040)</f>
        <v>NA</v>
      </c>
      <c r="H347" s="278" t="str">
        <f>IF(S1029="","",S1029)</f>
        <v>NA</v>
      </c>
    </row>
    <row r="348" spans="2:8" ht="11.25" hidden="1" customHeight="1" outlineLevel="1" x14ac:dyDescent="0.35">
      <c r="B348" s="244" t="s">
        <v>5367</v>
      </c>
      <c r="C348" s="245"/>
      <c r="D348" s="278" t="str">
        <f>IF(S1074="","",S1074)</f>
        <v>NA</v>
      </c>
      <c r="E348" s="278" t="str">
        <f>IF(S1063="","",S1063)</f>
        <v>NA</v>
      </c>
      <c r="F348" s="278" t="str">
        <f>IF(S1052="","",S1052)</f>
        <v>NA</v>
      </c>
      <c r="G348" s="278" t="str">
        <f>IF(S1041="","",S1041)</f>
        <v>NA</v>
      </c>
      <c r="H348" s="278" t="str">
        <f>IF(S1030="","",S1030)</f>
        <v>NA</v>
      </c>
    </row>
    <row r="349" spans="2:8" ht="11.25" hidden="1" customHeight="1" outlineLevel="1" x14ac:dyDescent="0.35">
      <c r="B349" s="244" t="s">
        <v>5368</v>
      </c>
      <c r="C349" s="245"/>
      <c r="D349" s="278" t="str">
        <f>IF(S1075="","",S1075)</f>
        <v>NA</v>
      </c>
      <c r="E349" s="278" t="str">
        <f>IF(S1064="","",S1064)</f>
        <v>NA</v>
      </c>
      <c r="F349" s="278" t="str">
        <f>IF(S1053="","",S1053)</f>
        <v>NA</v>
      </c>
      <c r="G349" s="278" t="str">
        <f>IF(S1042="","",S1042)</f>
        <v>NA</v>
      </c>
      <c r="H349" s="278" t="str">
        <f>IF(S1031="","",S1031)</f>
        <v>NA</v>
      </c>
    </row>
    <row r="350" spans="2:8" ht="11.25" hidden="1" customHeight="1" outlineLevel="1" x14ac:dyDescent="0.35">
      <c r="B350" s="244" t="s">
        <v>5369</v>
      </c>
      <c r="C350" s="245"/>
      <c r="D350" s="278" t="str">
        <f>IF(S1076="","",S1076)</f>
        <v>NA</v>
      </c>
      <c r="E350" s="278" t="str">
        <f>IF(S1065="","",S1065)</f>
        <v>NA</v>
      </c>
      <c r="F350" s="278" t="str">
        <f>IF(S1054="","",S1054)</f>
        <v>NA</v>
      </c>
      <c r="G350" s="278" t="str">
        <f>IF(S1043="","",S1043)</f>
        <v>NA</v>
      </c>
      <c r="H350" s="278" t="str">
        <f>IF(S1032="","",S1032)</f>
        <v>NA</v>
      </c>
    </row>
    <row r="351" spans="2:8" ht="11.25" hidden="1" customHeight="1" outlineLevel="1" x14ac:dyDescent="0.35">
      <c r="B351" s="244" t="s">
        <v>5370</v>
      </c>
      <c r="C351" s="245"/>
      <c r="D351" s="278" t="str">
        <f>IF(S1077="","",S1077)</f>
        <v>NA</v>
      </c>
      <c r="E351" s="278" t="str">
        <f>IF(S1066="","",S1066)</f>
        <v>NA</v>
      </c>
      <c r="F351" s="278" t="str">
        <f>IF(S1055="","",S1055)</f>
        <v>NA</v>
      </c>
      <c r="G351" s="278" t="str">
        <f>IF(S1044="","",S1044)</f>
        <v>NA</v>
      </c>
      <c r="H351" s="278" t="str">
        <f>IF(S1033="","",S1033)</f>
        <v>NA</v>
      </c>
    </row>
    <row r="352" spans="2:8" ht="11.25" hidden="1" customHeight="1" outlineLevel="1" x14ac:dyDescent="0.35">
      <c r="B352" s="244" t="s">
        <v>5371</v>
      </c>
      <c r="C352" s="245"/>
      <c r="D352" s="278" t="str">
        <f>IF(S1078="","",S1078)</f>
        <v>NA</v>
      </c>
      <c r="E352" s="278" t="str">
        <f>IF(S1067="","",S1067)</f>
        <v>NA</v>
      </c>
      <c r="F352" s="278" t="str">
        <f>IF(S1056="","",S1056)</f>
        <v>NA</v>
      </c>
      <c r="G352" s="278" t="str">
        <f>IF(S1045="","",S1045)</f>
        <v>NA</v>
      </c>
      <c r="H352" s="278" t="str">
        <f>IF(S1034="","",S1034)</f>
        <v>NA</v>
      </c>
    </row>
    <row r="353" spans="2:8" ht="11.25" hidden="1" customHeight="1" outlineLevel="1" x14ac:dyDescent="0.35">
      <c r="B353" s="244" t="s">
        <v>5372</v>
      </c>
      <c r="C353" s="245"/>
      <c r="D353" s="278" t="str">
        <f>IF(S1079="","",S1079)</f>
        <v>NA</v>
      </c>
      <c r="E353" s="278" t="str">
        <f>IF(S1068="","",S1068)</f>
        <v>NA</v>
      </c>
      <c r="F353" s="278" t="str">
        <f>IF(S1057="","",S1057)</f>
        <v>NA</v>
      </c>
      <c r="G353" s="278" t="str">
        <f>IF(S1046="","",S1046)</f>
        <v>NA</v>
      </c>
      <c r="H353" s="278" t="str">
        <f>IF(S1035="","",S1035)</f>
        <v>NA</v>
      </c>
    </row>
    <row r="354" spans="2:8" ht="11.25" hidden="1" customHeight="1" outlineLevel="1" x14ac:dyDescent="0.35">
      <c r="B354" s="244"/>
      <c r="C354" s="247"/>
      <c r="D354" s="278"/>
      <c r="E354" s="278"/>
      <c r="F354" s="278"/>
      <c r="G354" s="278"/>
      <c r="H354" s="278"/>
    </row>
    <row r="355" spans="2:8" ht="11.25" hidden="1" customHeight="1" outlineLevel="1" x14ac:dyDescent="0.35">
      <c r="B355" s="246" t="s">
        <v>5458</v>
      </c>
      <c r="C355" s="247"/>
      <c r="D355" s="278"/>
      <c r="E355" s="278"/>
      <c r="F355" s="278"/>
      <c r="G355" s="278"/>
      <c r="H355" s="278"/>
    </row>
    <row r="356" spans="2:8" ht="11.25" hidden="1" customHeight="1" outlineLevel="1" x14ac:dyDescent="0.35">
      <c r="B356" s="292" t="s">
        <v>5365</v>
      </c>
      <c r="C356" s="245"/>
      <c r="D356" s="279" t="str">
        <f>IF(S453="","",S453)</f>
        <v>NA</v>
      </c>
      <c r="E356" s="279" t="str">
        <f>IF(S442="","",S442)</f>
        <v>NA</v>
      </c>
      <c r="F356" s="279" t="str">
        <f>IF(S431="","",S431)</f>
        <v>NA</v>
      </c>
      <c r="G356" s="279" t="str">
        <f>IF(S420="","",S420)</f>
        <v>NA</v>
      </c>
      <c r="H356" s="279" t="str">
        <f>IF(S409="","",S409)</f>
        <v>NA</v>
      </c>
    </row>
    <row r="357" spans="2:8" ht="11.25" hidden="1" customHeight="1" outlineLevel="1" x14ac:dyDescent="0.35">
      <c r="B357" s="244" t="s">
        <v>5366</v>
      </c>
      <c r="C357" s="245"/>
      <c r="D357" s="279" t="str">
        <f>IF(S454="","",S454)</f>
        <v>NA</v>
      </c>
      <c r="E357" s="279" t="str">
        <f>IF(S443="","",S443)</f>
        <v>NA</v>
      </c>
      <c r="F357" s="279" t="str">
        <f>IF(S432="","",S432)</f>
        <v>NA</v>
      </c>
      <c r="G357" s="279" t="str">
        <f>IF(S421="","",S421)</f>
        <v>NA</v>
      </c>
      <c r="H357" s="279" t="str">
        <f>IF(S410="","",S410)</f>
        <v>NA</v>
      </c>
    </row>
    <row r="358" spans="2:8" ht="11.25" hidden="1" customHeight="1" outlineLevel="1" x14ac:dyDescent="0.35">
      <c r="B358" s="244" t="s">
        <v>5122</v>
      </c>
      <c r="C358" s="245"/>
      <c r="D358" s="279" t="str">
        <f>IF(S455="","",S455)</f>
        <v>NA</v>
      </c>
      <c r="E358" s="279" t="str">
        <f>IF(S444="","",S444)</f>
        <v>NA</v>
      </c>
      <c r="F358" s="279" t="str">
        <f>IF(S433="","",S433)</f>
        <v>NA</v>
      </c>
      <c r="G358" s="279" t="str">
        <f>IF(S422="","",S422)</f>
        <v>NA</v>
      </c>
      <c r="H358" s="279" t="str">
        <f>IF(S411="","",S411)</f>
        <v>NA</v>
      </c>
    </row>
    <row r="359" spans="2:8" ht="11.25" hidden="1" customHeight="1" outlineLevel="1" x14ac:dyDescent="0.35">
      <c r="B359" s="244" t="s">
        <v>5124</v>
      </c>
      <c r="C359" s="245"/>
      <c r="D359" s="279" t="str">
        <f>IF(S456="","",S456)</f>
        <v>NA</v>
      </c>
      <c r="E359" s="279" t="str">
        <f>IF(S445="","",S445)</f>
        <v>NA</v>
      </c>
      <c r="F359" s="279" t="str">
        <f>IF(S434="","",S434)</f>
        <v>NA</v>
      </c>
      <c r="G359" s="279" t="str">
        <f>IF(S423="","",S423)</f>
        <v>NA</v>
      </c>
      <c r="H359" s="279" t="str">
        <f>IF(S412="","",S412)</f>
        <v>NA</v>
      </c>
    </row>
    <row r="360" spans="2:8" ht="11.25" hidden="1" customHeight="1" outlineLevel="1" x14ac:dyDescent="0.35">
      <c r="B360" s="244" t="s">
        <v>5121</v>
      </c>
      <c r="C360" s="245"/>
      <c r="D360" s="279" t="str">
        <f>IF(S457="","",S457)</f>
        <v>NA</v>
      </c>
      <c r="E360" s="279" t="str">
        <f>IF(S446="","",S446)</f>
        <v>NA</v>
      </c>
      <c r="F360" s="279" t="str">
        <f>IF(S435="","",S435)</f>
        <v>NA</v>
      </c>
      <c r="G360" s="279" t="str">
        <f>IF(S424="","",S424)</f>
        <v>NA</v>
      </c>
      <c r="H360" s="279" t="str">
        <f>IF(S413="","",S413)</f>
        <v>NA</v>
      </c>
    </row>
    <row r="361" spans="2:8" ht="11.25" hidden="1" customHeight="1" outlineLevel="1" x14ac:dyDescent="0.35">
      <c r="B361" s="244" t="s">
        <v>5367</v>
      </c>
      <c r="C361" s="245"/>
      <c r="D361" s="279" t="str">
        <f>IF(S458="","",S458)</f>
        <v>NA</v>
      </c>
      <c r="E361" s="279" t="str">
        <f>IF(S447="","",S447)</f>
        <v>NA</v>
      </c>
      <c r="F361" s="279" t="str">
        <f>IF(S436="","",S436)</f>
        <v>NA</v>
      </c>
      <c r="G361" s="279" t="str">
        <f>IF(S425="","",S425)</f>
        <v>NA</v>
      </c>
      <c r="H361" s="279" t="str">
        <f>IF(S414="","",S414)</f>
        <v>NA</v>
      </c>
    </row>
    <row r="362" spans="2:8" ht="11.25" hidden="1" customHeight="1" outlineLevel="1" x14ac:dyDescent="0.35">
      <c r="B362" s="244" t="s">
        <v>5368</v>
      </c>
      <c r="C362" s="245"/>
      <c r="D362" s="279" t="str">
        <f>IF(S459="","",S459)</f>
        <v>NA</v>
      </c>
      <c r="E362" s="279" t="str">
        <f>IF(S448="","",S448)</f>
        <v>NA</v>
      </c>
      <c r="F362" s="279" t="str">
        <f>IF(S437="","",S437)</f>
        <v>NA</v>
      </c>
      <c r="G362" s="279" t="str">
        <f>IF(S426="","",S426)</f>
        <v>NA</v>
      </c>
      <c r="H362" s="279" t="str">
        <f>IF(S415="","",S415)</f>
        <v>NA</v>
      </c>
    </row>
    <row r="363" spans="2:8" ht="11.25" hidden="1" customHeight="1" outlineLevel="1" x14ac:dyDescent="0.35">
      <c r="B363" s="244" t="s">
        <v>5369</v>
      </c>
      <c r="C363" s="245"/>
      <c r="D363" s="279" t="str">
        <f>IF(S460="","",S460)</f>
        <v>NA</v>
      </c>
      <c r="E363" s="279" t="str">
        <f>IF(S449="","",S449)</f>
        <v>NA</v>
      </c>
      <c r="F363" s="279" t="str">
        <f>IF(S438="","",S438)</f>
        <v>NA</v>
      </c>
      <c r="G363" s="279" t="str">
        <f>IF(S427="","",S427)</f>
        <v>NA</v>
      </c>
      <c r="H363" s="279" t="str">
        <f>IF(S416="","",S416)</f>
        <v>NA</v>
      </c>
    </row>
    <row r="364" spans="2:8" ht="11.25" hidden="1" customHeight="1" outlineLevel="1" x14ac:dyDescent="0.35">
      <c r="B364" s="244" t="s">
        <v>5370</v>
      </c>
      <c r="C364" s="245"/>
      <c r="D364" s="279" t="str">
        <f>IF(S461="","",S461)</f>
        <v>NA</v>
      </c>
      <c r="E364" s="279" t="str">
        <f>IF(S450="","",S450)</f>
        <v>NA</v>
      </c>
      <c r="F364" s="279" t="str">
        <f>IF(S439="","",S439)</f>
        <v>NA</v>
      </c>
      <c r="G364" s="279" t="str">
        <f>IF(S428="","",S428)</f>
        <v>NA</v>
      </c>
      <c r="H364" s="279" t="str">
        <f>IF(S417="","",S417)</f>
        <v>NA</v>
      </c>
    </row>
    <row r="365" spans="2:8" ht="11.25" hidden="1" customHeight="1" outlineLevel="1" x14ac:dyDescent="0.35">
      <c r="B365" s="244" t="s">
        <v>5371</v>
      </c>
      <c r="C365" s="245"/>
      <c r="D365" s="279" t="str">
        <f>IF(S462="","",S462)</f>
        <v>NA</v>
      </c>
      <c r="E365" s="279" t="str">
        <f>IF(S451="","",S451)</f>
        <v>NA</v>
      </c>
      <c r="F365" s="279" t="str">
        <f>IF(S440="","",S440)</f>
        <v>NA</v>
      </c>
      <c r="G365" s="279" t="str">
        <f>IF(S429="","",S429)</f>
        <v>NA</v>
      </c>
      <c r="H365" s="279" t="str">
        <f>IF(S418="","",S418)</f>
        <v>NA</v>
      </c>
    </row>
    <row r="366" spans="2:8" ht="11.25" hidden="1" customHeight="1" outlineLevel="1" x14ac:dyDescent="0.35">
      <c r="B366" s="244" t="s">
        <v>5372</v>
      </c>
      <c r="C366" s="245"/>
      <c r="D366" s="279" t="str">
        <f>IF(S463="","",S463)</f>
        <v>NA</v>
      </c>
      <c r="E366" s="279" t="str">
        <f>IF(S452="","",S452)</f>
        <v>NA</v>
      </c>
      <c r="F366" s="279" t="str">
        <f>IF(S441="","",S441)</f>
        <v>NA</v>
      </c>
      <c r="G366" s="279" t="str">
        <f>IF(S430="","",S430)</f>
        <v>NA</v>
      </c>
      <c r="H366" s="279" t="str">
        <f>IF(S419="","",S419)</f>
        <v>NA</v>
      </c>
    </row>
    <row r="367" spans="2:8" ht="11.25" hidden="1" customHeight="1" outlineLevel="1" x14ac:dyDescent="0.35">
      <c r="B367" s="244"/>
      <c r="C367" s="245"/>
      <c r="D367" s="278"/>
      <c r="E367" s="278"/>
      <c r="F367" s="278"/>
      <c r="G367" s="278"/>
      <c r="H367" s="278"/>
    </row>
    <row r="368" spans="2:8" ht="11.25" hidden="1" customHeight="1" outlineLevel="1" x14ac:dyDescent="0.35">
      <c r="B368" s="246" t="s">
        <v>5461</v>
      </c>
      <c r="C368" s="245"/>
      <c r="D368" s="278"/>
      <c r="E368" s="278"/>
      <c r="F368" s="278"/>
      <c r="G368" s="278"/>
      <c r="H368" s="278"/>
    </row>
    <row r="369" spans="2:8" ht="11.25" hidden="1" customHeight="1" outlineLevel="1" x14ac:dyDescent="0.35">
      <c r="B369" s="292" t="s">
        <v>5365</v>
      </c>
      <c r="C369" s="245"/>
      <c r="D369" s="279" t="str">
        <f>IF(S509="","",S509)</f>
        <v>NA</v>
      </c>
      <c r="E369" s="279" t="str">
        <f>IF(S498="","",S498)</f>
        <v>NA</v>
      </c>
      <c r="F369" s="279" t="str">
        <f>IF(S487="","",S487)</f>
        <v>NA</v>
      </c>
      <c r="G369" s="279" t="str">
        <f>IF(S476="","",S476)</f>
        <v>NA</v>
      </c>
      <c r="H369" s="279" t="str">
        <f>IF(S465="","",S465)</f>
        <v>NA</v>
      </c>
    </row>
    <row r="370" spans="2:8" ht="11.25" hidden="1" customHeight="1" outlineLevel="1" x14ac:dyDescent="0.35">
      <c r="B370" s="244" t="s">
        <v>5366</v>
      </c>
      <c r="C370" s="245"/>
      <c r="D370" s="279" t="str">
        <f>IF(S510="","",S510)</f>
        <v>NA</v>
      </c>
      <c r="E370" s="279" t="str">
        <f>IF(S499="","",S499)</f>
        <v>NA</v>
      </c>
      <c r="F370" s="279" t="str">
        <f>IF(S488="","",S488)</f>
        <v>NA</v>
      </c>
      <c r="G370" s="279" t="str">
        <f>IF(S477="","",S477)</f>
        <v>NA</v>
      </c>
      <c r="H370" s="279" t="str">
        <f>IF(S466="","",S466)</f>
        <v>NA</v>
      </c>
    </row>
    <row r="371" spans="2:8" ht="11.25" hidden="1" customHeight="1" outlineLevel="1" x14ac:dyDescent="0.35">
      <c r="B371" s="244" t="s">
        <v>5122</v>
      </c>
      <c r="C371" s="245"/>
      <c r="D371" s="279" t="str">
        <f>IF(S511="","",S511)</f>
        <v>NA</v>
      </c>
      <c r="E371" s="279" t="str">
        <f>IF(S500="","",S500)</f>
        <v>NA</v>
      </c>
      <c r="F371" s="279" t="str">
        <f>IF(S489="","",S489)</f>
        <v>NA</v>
      </c>
      <c r="G371" s="279" t="str">
        <f>IF(S478="","",S478)</f>
        <v>NA</v>
      </c>
      <c r="H371" s="279" t="str">
        <f>IF(S467="","",S467)</f>
        <v>NA</v>
      </c>
    </row>
    <row r="372" spans="2:8" ht="11.25" hidden="1" customHeight="1" outlineLevel="1" x14ac:dyDescent="0.35">
      <c r="B372" s="244" t="s">
        <v>5124</v>
      </c>
      <c r="C372" s="245"/>
      <c r="D372" s="279" t="str">
        <f>IF(S512="","",S512)</f>
        <v>NA</v>
      </c>
      <c r="E372" s="279" t="str">
        <f>IF(S501="","",S501)</f>
        <v>NA</v>
      </c>
      <c r="F372" s="279" t="str">
        <f>IF(S490="","",S490)</f>
        <v>NA</v>
      </c>
      <c r="G372" s="279" t="str">
        <f>IF(S479="","",S479)</f>
        <v>NA</v>
      </c>
      <c r="H372" s="279" t="str">
        <f>IF(S468="","",S468)</f>
        <v>NA</v>
      </c>
    </row>
    <row r="373" spans="2:8" ht="11.25" hidden="1" customHeight="1" outlineLevel="1" x14ac:dyDescent="0.35">
      <c r="B373" s="244" t="s">
        <v>5121</v>
      </c>
      <c r="C373" s="245"/>
      <c r="D373" s="279" t="str">
        <f>IF(S513="","",S513)</f>
        <v>NA</v>
      </c>
      <c r="E373" s="279" t="str">
        <f>IF(S502="","",S502)</f>
        <v>NA</v>
      </c>
      <c r="F373" s="279" t="str">
        <f>IF(S491="","",S491)</f>
        <v>NA</v>
      </c>
      <c r="G373" s="279" t="str">
        <f>IF(S480="","",S480)</f>
        <v>NA</v>
      </c>
      <c r="H373" s="279" t="str">
        <f>IF(S469="","",S469)</f>
        <v>NA</v>
      </c>
    </row>
    <row r="374" spans="2:8" ht="11.25" hidden="1" customHeight="1" outlineLevel="1" x14ac:dyDescent="0.35">
      <c r="B374" s="244" t="s">
        <v>5367</v>
      </c>
      <c r="C374" s="245"/>
      <c r="D374" s="279" t="str">
        <f>IF(S514="","",S514)</f>
        <v>NA</v>
      </c>
      <c r="E374" s="279" t="str">
        <f>IF(S503="","",S503)</f>
        <v>NA</v>
      </c>
      <c r="F374" s="279" t="str">
        <f>IF(S492="","",S492)</f>
        <v>NA</v>
      </c>
      <c r="G374" s="279" t="str">
        <f>IF(S481="","",S481)</f>
        <v>NA</v>
      </c>
      <c r="H374" s="279" t="str">
        <f>IF(S470="","",S470)</f>
        <v>NA</v>
      </c>
    </row>
    <row r="375" spans="2:8" ht="11.25" hidden="1" customHeight="1" outlineLevel="1" x14ac:dyDescent="0.35">
      <c r="B375" s="244" t="s">
        <v>5368</v>
      </c>
      <c r="C375" s="245"/>
      <c r="D375" s="279" t="str">
        <f>IF(S515="","",S515)</f>
        <v>NA</v>
      </c>
      <c r="E375" s="279" t="str">
        <f>IF(S504="","",S504)</f>
        <v>NA</v>
      </c>
      <c r="F375" s="279" t="str">
        <f>IF(S493="","",S493)</f>
        <v>NA</v>
      </c>
      <c r="G375" s="279" t="str">
        <f>IF(S482="","",S482)</f>
        <v>NA</v>
      </c>
      <c r="H375" s="279" t="str">
        <f>IF(S471="","",S471)</f>
        <v>NA</v>
      </c>
    </row>
    <row r="376" spans="2:8" ht="11.25" hidden="1" customHeight="1" outlineLevel="1" x14ac:dyDescent="0.35">
      <c r="B376" s="244" t="s">
        <v>5369</v>
      </c>
      <c r="C376" s="245"/>
      <c r="D376" s="279" t="str">
        <f>IF(S516="","",S516)</f>
        <v>NA</v>
      </c>
      <c r="E376" s="279" t="str">
        <f>IF(S505="","",S505)</f>
        <v>NA</v>
      </c>
      <c r="F376" s="279" t="str">
        <f>IF(S494="","",S494)</f>
        <v>NA</v>
      </c>
      <c r="G376" s="279" t="str">
        <f>IF(S483="","",S483)</f>
        <v>NA</v>
      </c>
      <c r="H376" s="279" t="str">
        <f>IF(S472="","",S472)</f>
        <v>NA</v>
      </c>
    </row>
    <row r="377" spans="2:8" ht="11.25" hidden="1" customHeight="1" outlineLevel="1" x14ac:dyDescent="0.35">
      <c r="B377" s="244" t="s">
        <v>5370</v>
      </c>
      <c r="C377" s="245"/>
      <c r="D377" s="279" t="str">
        <f>IF(S517="","",S517)</f>
        <v>NA</v>
      </c>
      <c r="E377" s="279" t="str">
        <f>IF(S506="","",S506)</f>
        <v>NA</v>
      </c>
      <c r="F377" s="279" t="str">
        <f>IF(S495="","",S495)</f>
        <v>NA</v>
      </c>
      <c r="G377" s="279" t="str">
        <f>IF(S484="","",S484)</f>
        <v>NA</v>
      </c>
      <c r="H377" s="279" t="str">
        <f>IF(S473="","",S473)</f>
        <v>NA</v>
      </c>
    </row>
    <row r="378" spans="2:8" s="342" customFormat="1" ht="11.25" hidden="1" customHeight="1" outlineLevel="1" x14ac:dyDescent="0.35">
      <c r="B378" s="244" t="s">
        <v>5371</v>
      </c>
      <c r="C378" s="245"/>
      <c r="D378" s="279" t="str">
        <f>IF(S518="","",S518)</f>
        <v>NA</v>
      </c>
      <c r="E378" s="279" t="str">
        <f>IF(S507="","",S507)</f>
        <v>NA</v>
      </c>
      <c r="F378" s="279" t="str">
        <f>IF(S496="","",S496)</f>
        <v>NA</v>
      </c>
      <c r="G378" s="279" t="str">
        <f>IF(S485="","",S485)</f>
        <v>NA</v>
      </c>
      <c r="H378" s="279" t="str">
        <f>IF(S474="","",S474)</f>
        <v>NA</v>
      </c>
    </row>
    <row r="379" spans="2:8" ht="11.25" hidden="1" customHeight="1" outlineLevel="1" x14ac:dyDescent="0.35">
      <c r="B379" s="244" t="s">
        <v>5372</v>
      </c>
      <c r="C379" s="245"/>
      <c r="D379" s="279" t="str">
        <f>IF(S519="","",S519)</f>
        <v>NA</v>
      </c>
      <c r="E379" s="279" t="str">
        <f>IF(S508="","",S508)</f>
        <v>NA</v>
      </c>
      <c r="F379" s="279" t="str">
        <f>IF(S497="","",S497)</f>
        <v>NA</v>
      </c>
      <c r="G379" s="279" t="str">
        <f>IF(S486="","",S486)</f>
        <v>NA</v>
      </c>
      <c r="H379" s="279" t="str">
        <f>IF(S475="","",S475)</f>
        <v>NA</v>
      </c>
    </row>
    <row r="380" spans="2:8" ht="11.25" customHeight="1" collapsed="1" x14ac:dyDescent="0.35">
      <c r="B380" s="347"/>
      <c r="C380" s="247"/>
      <c r="D380" s="278"/>
      <c r="E380" s="278"/>
      <c r="F380" s="278"/>
      <c r="G380" s="278"/>
      <c r="H380" s="278"/>
    </row>
    <row r="381" spans="2:8" ht="11.25" customHeight="1" x14ac:dyDescent="0.35">
      <c r="B381" s="347" t="s">
        <v>5510</v>
      </c>
      <c r="C381" s="247"/>
      <c r="D381" s="278"/>
      <c r="E381" s="278"/>
      <c r="F381" s="278"/>
      <c r="G381" s="278"/>
      <c r="H381" s="278"/>
    </row>
    <row r="382" spans="2:8" ht="11.25" customHeight="1" x14ac:dyDescent="0.35">
      <c r="B382" s="244" t="s">
        <v>5126</v>
      </c>
      <c r="C382" s="245">
        <v>123629</v>
      </c>
      <c r="D382" s="278" t="s">
        <v>2107</v>
      </c>
      <c r="E382" s="278">
        <v>8.5881971999999998</v>
      </c>
      <c r="F382" s="278">
        <v>6.7073413999999998</v>
      </c>
      <c r="G382" s="278">
        <v>1.5848853000000001</v>
      </c>
      <c r="H382" s="278">
        <v>1.2605812999999999</v>
      </c>
    </row>
    <row r="383" spans="2:8" ht="11.25" customHeight="1" x14ac:dyDescent="0.35">
      <c r="B383" s="244" t="s">
        <v>5125</v>
      </c>
      <c r="C383" s="245">
        <v>123633</v>
      </c>
      <c r="D383" s="278">
        <v>21.6976868</v>
      </c>
      <c r="E383" s="278">
        <v>18.349521899999999</v>
      </c>
      <c r="F383" s="278">
        <v>19.2849009</v>
      </c>
      <c r="G383" s="278">
        <v>19.7932971</v>
      </c>
      <c r="H383" s="278">
        <v>16.254559499999999</v>
      </c>
    </row>
    <row r="384" spans="2:8" ht="11.25" customHeight="1" x14ac:dyDescent="0.35">
      <c r="B384" s="244" t="s">
        <v>5124</v>
      </c>
      <c r="C384" s="245">
        <v>123637</v>
      </c>
      <c r="D384" s="278">
        <v>6.8857954000000001</v>
      </c>
      <c r="E384" s="278">
        <v>6.5808302999999997</v>
      </c>
      <c r="F384" s="278">
        <v>7.3781201999999997</v>
      </c>
      <c r="G384" s="278">
        <v>7.9661977999999998</v>
      </c>
      <c r="H384" s="278">
        <v>6.5160498000000002</v>
      </c>
    </row>
    <row r="385" spans="2:8" ht="11.25" customHeight="1" x14ac:dyDescent="0.35">
      <c r="B385" s="244" t="s">
        <v>5123</v>
      </c>
      <c r="C385" s="245">
        <v>123645</v>
      </c>
      <c r="D385" s="278">
        <v>49.195861399999998</v>
      </c>
      <c r="E385" s="278">
        <v>51.416269900000003</v>
      </c>
      <c r="F385" s="278">
        <v>49.707354700000003</v>
      </c>
      <c r="G385" s="278">
        <v>42.752719499999998</v>
      </c>
      <c r="H385" s="278">
        <v>42.841901200000002</v>
      </c>
    </row>
    <row r="386" spans="2:8" ht="11.25" customHeight="1" x14ac:dyDescent="0.35">
      <c r="B386" s="244" t="s">
        <v>5122</v>
      </c>
      <c r="C386" s="245">
        <v>123649</v>
      </c>
      <c r="D386" s="278">
        <v>7.1644755</v>
      </c>
      <c r="E386" s="278">
        <v>6.6443048999999998</v>
      </c>
      <c r="F386" s="278">
        <v>6.4677670999999997</v>
      </c>
      <c r="G386" s="278">
        <v>7.6070558000000004</v>
      </c>
      <c r="H386" s="278">
        <v>7.1619412999999996</v>
      </c>
    </row>
    <row r="387" spans="2:8" ht="11.25" customHeight="1" x14ac:dyDescent="0.35">
      <c r="B387" s="244" t="s">
        <v>5121</v>
      </c>
      <c r="C387" s="245">
        <v>123653</v>
      </c>
      <c r="D387" s="278">
        <v>2.7432335999999999</v>
      </c>
      <c r="E387" s="278">
        <v>2.2400411</v>
      </c>
      <c r="F387" s="278">
        <v>1.546699</v>
      </c>
      <c r="G387" s="278">
        <v>2.6540037000000001</v>
      </c>
      <c r="H387" s="278">
        <v>2.3456442000000002</v>
      </c>
    </row>
    <row r="388" spans="2:8" ht="11.25" customHeight="1" x14ac:dyDescent="0.35">
      <c r="B388" s="244" t="s">
        <v>5120</v>
      </c>
      <c r="C388" s="245">
        <v>123657</v>
      </c>
      <c r="D388" s="278">
        <v>7.9321437000000001</v>
      </c>
      <c r="E388" s="278">
        <v>7.9414707</v>
      </c>
      <c r="F388" s="278">
        <v>8.0565488999999992</v>
      </c>
      <c r="G388" s="278">
        <v>7.8569361999999998</v>
      </c>
      <c r="H388" s="278">
        <v>7.6471926000000003</v>
      </c>
    </row>
    <row r="389" spans="2:8" ht="11.25" customHeight="1" x14ac:dyDescent="0.35">
      <c r="B389" s="244" t="s">
        <v>5119</v>
      </c>
      <c r="C389" s="245">
        <v>123661</v>
      </c>
      <c r="D389" s="278">
        <v>43.839844300000003</v>
      </c>
      <c r="E389" s="278">
        <v>45.995981499999999</v>
      </c>
      <c r="F389" s="278">
        <v>36.060457499999998</v>
      </c>
      <c r="G389" s="278">
        <v>35.332594700000001</v>
      </c>
      <c r="H389" s="278">
        <v>37.252051100000003</v>
      </c>
    </row>
    <row r="390" spans="2:8" ht="11.25" customHeight="1" x14ac:dyDescent="0.35">
      <c r="B390" s="244" t="s">
        <v>5107</v>
      </c>
      <c r="C390" s="245" t="s">
        <v>5508</v>
      </c>
      <c r="D390" s="278">
        <v>11.4029764</v>
      </c>
      <c r="E390" s="278">
        <v>11.9415016</v>
      </c>
      <c r="F390" s="278">
        <v>11.7283075</v>
      </c>
      <c r="G390" s="278">
        <v>11.348994599999999</v>
      </c>
      <c r="H390" s="278">
        <v>10.9110873</v>
      </c>
    </row>
    <row r="391" spans="2:8" ht="11.25" customHeight="1" x14ac:dyDescent="0.35">
      <c r="B391" s="244" t="s">
        <v>4946</v>
      </c>
      <c r="C391" s="245"/>
      <c r="D391" s="248"/>
      <c r="E391" s="248"/>
      <c r="F391" s="248"/>
      <c r="G391" s="248"/>
      <c r="H391" s="248"/>
    </row>
    <row r="392" spans="2:8" ht="11.25" customHeight="1" x14ac:dyDescent="0.35">
      <c r="B392" s="246" t="s">
        <v>5118</v>
      </c>
      <c r="C392" s="245"/>
      <c r="D392" s="248"/>
      <c r="E392" s="248"/>
      <c r="F392" s="248"/>
      <c r="G392" s="248"/>
      <c r="H392" s="248"/>
    </row>
    <row r="393" spans="2:8" ht="11.25" customHeight="1" x14ac:dyDescent="0.35">
      <c r="B393" s="244" t="s">
        <v>5117</v>
      </c>
      <c r="C393" s="245">
        <v>123666</v>
      </c>
      <c r="D393" s="278">
        <v>8.6932843000000002</v>
      </c>
      <c r="E393" s="278">
        <v>8.4976407999999992</v>
      </c>
      <c r="F393" s="278">
        <v>8.4096297999999994</v>
      </c>
      <c r="G393" s="278">
        <v>9.4236679999999993</v>
      </c>
      <c r="H393" s="278">
        <v>8.0435057000000008</v>
      </c>
    </row>
    <row r="394" spans="2:8" ht="11.25" customHeight="1" x14ac:dyDescent="0.35">
      <c r="B394" s="244" t="s">
        <v>5116</v>
      </c>
      <c r="C394" s="245">
        <v>123667</v>
      </c>
      <c r="D394" s="278">
        <v>9.722505</v>
      </c>
      <c r="E394" s="278">
        <v>9.3311741000000001</v>
      </c>
      <c r="F394" s="278">
        <v>9.1435055999999992</v>
      </c>
      <c r="G394" s="278">
        <v>10.392281799999999</v>
      </c>
      <c r="H394" s="278">
        <v>9.1075099999999996</v>
      </c>
    </row>
    <row r="395" spans="2:8" ht="11.25" customHeight="1" x14ac:dyDescent="0.35">
      <c r="B395" s="244" t="s">
        <v>5115</v>
      </c>
      <c r="C395" s="245">
        <v>123668</v>
      </c>
      <c r="D395" s="278">
        <v>1.3885073000000001</v>
      </c>
      <c r="E395" s="278">
        <v>1.3000824</v>
      </c>
      <c r="F395" s="278">
        <v>1.3674712</v>
      </c>
      <c r="G395" s="278">
        <v>1.6450492000000001</v>
      </c>
      <c r="H395" s="278">
        <v>1.5498193</v>
      </c>
    </row>
    <row r="396" spans="2:8" ht="11.25" customHeight="1" x14ac:dyDescent="0.35">
      <c r="B396" s="244" t="s">
        <v>5114</v>
      </c>
      <c r="C396" s="245">
        <v>123669</v>
      </c>
      <c r="D396" s="278">
        <v>19.804296600000001</v>
      </c>
      <c r="E396" s="278">
        <v>19.128897299999998</v>
      </c>
      <c r="F396" s="278">
        <v>18.920606599999999</v>
      </c>
      <c r="G396" s="278">
        <v>21.460999000000001</v>
      </c>
      <c r="H396" s="278">
        <v>18.700835000000001</v>
      </c>
    </row>
    <row r="397" spans="2:8" ht="11.25" customHeight="1" x14ac:dyDescent="0.35">
      <c r="B397" s="244" t="s">
        <v>4946</v>
      </c>
      <c r="C397" s="276"/>
      <c r="D397" s="248"/>
      <c r="E397" s="248"/>
      <c r="F397" s="248"/>
      <c r="G397" s="248"/>
      <c r="H397" s="248"/>
    </row>
    <row r="398" spans="2:8" ht="11.25" customHeight="1" x14ac:dyDescent="0.35">
      <c r="B398" s="246" t="s">
        <v>5113</v>
      </c>
      <c r="C398" s="276"/>
      <c r="D398" s="278"/>
      <c r="E398" s="278"/>
      <c r="F398" s="278"/>
      <c r="G398" s="278"/>
      <c r="H398" s="278"/>
    </row>
    <row r="399" spans="2:8" ht="11.25" customHeight="1" x14ac:dyDescent="0.35">
      <c r="B399" s="244" t="s">
        <v>5112</v>
      </c>
      <c r="C399" s="245">
        <v>123670</v>
      </c>
      <c r="D399" s="278">
        <v>1.8423805</v>
      </c>
      <c r="E399" s="278">
        <v>1.6301433000000001</v>
      </c>
      <c r="F399" s="278">
        <v>1.6191481000000001</v>
      </c>
      <c r="G399" s="278">
        <v>1.5665009999999999</v>
      </c>
      <c r="H399" s="278">
        <v>1.6795884999999999</v>
      </c>
    </row>
    <row r="400" spans="2:8" ht="11.25" customHeight="1" x14ac:dyDescent="0.35">
      <c r="B400" s="244" t="s">
        <v>5111</v>
      </c>
      <c r="C400" s="245">
        <v>123671</v>
      </c>
      <c r="D400" s="278">
        <v>6.7960256000000001</v>
      </c>
      <c r="E400" s="278">
        <v>6.1092098999999997</v>
      </c>
      <c r="F400" s="278">
        <v>5.9147645999999998</v>
      </c>
      <c r="G400" s="278">
        <v>5.6758671999999999</v>
      </c>
      <c r="H400" s="278">
        <v>5.3325484000000003</v>
      </c>
    </row>
    <row r="401" spans="2:19" ht="11.25" customHeight="1" x14ac:dyDescent="0.35">
      <c r="B401" s="244" t="s">
        <v>5110</v>
      </c>
      <c r="C401" s="245">
        <v>123672</v>
      </c>
      <c r="D401" s="278">
        <v>13.5111407</v>
      </c>
      <c r="E401" s="278">
        <v>14.116134600000001</v>
      </c>
      <c r="F401" s="278">
        <v>26.778972700000001</v>
      </c>
      <c r="G401" s="278">
        <v>17.133458999999998</v>
      </c>
      <c r="H401" s="278">
        <v>23.1413479</v>
      </c>
    </row>
    <row r="402" spans="2:19" ht="11.25" customHeight="1" x14ac:dyDescent="0.35">
      <c r="B402" s="244" t="s">
        <v>5109</v>
      </c>
      <c r="C402" s="245">
        <v>123673</v>
      </c>
      <c r="D402" s="278">
        <v>5.7720668000000002</v>
      </c>
      <c r="E402" s="278">
        <v>4.8467681999999996</v>
      </c>
      <c r="F402" s="278">
        <v>6.2215854999999998</v>
      </c>
      <c r="G402" s="278">
        <v>6.4646847999999997</v>
      </c>
      <c r="H402" s="278">
        <v>5.5618072999999999</v>
      </c>
    </row>
    <row r="403" spans="2:19" ht="11.25" customHeight="1" x14ac:dyDescent="0.35">
      <c r="B403" s="244" t="s">
        <v>5108</v>
      </c>
      <c r="C403" s="245">
        <v>123674</v>
      </c>
      <c r="D403" s="278">
        <v>6.5041646000000002</v>
      </c>
      <c r="E403" s="278">
        <v>5.7454429999999999</v>
      </c>
      <c r="F403" s="278">
        <v>6.0746066000000001</v>
      </c>
      <c r="G403" s="278">
        <v>5.9483664000000003</v>
      </c>
      <c r="H403" s="278">
        <v>5.4479673000000002</v>
      </c>
    </row>
    <row r="404" spans="2:19" ht="11.25" customHeight="1" thickBot="1" x14ac:dyDescent="0.4">
      <c r="B404" s="249" t="s">
        <v>5107</v>
      </c>
      <c r="C404" s="250">
        <v>123665</v>
      </c>
      <c r="D404" s="281">
        <v>11.4029764</v>
      </c>
      <c r="E404" s="281">
        <v>11.9415016</v>
      </c>
      <c r="F404" s="281">
        <v>11.7283075</v>
      </c>
      <c r="G404" s="281">
        <v>11.348994599999999</v>
      </c>
      <c r="H404" s="281">
        <v>10.9110873</v>
      </c>
    </row>
    <row r="405" spans="2:19" ht="11.25" customHeight="1" x14ac:dyDescent="0.35">
      <c r="B405" s="237"/>
    </row>
    <row r="407" spans="2:19" ht="11.25" customHeight="1" x14ac:dyDescent="0.35">
      <c r="B407" s="420"/>
      <c r="C407" s="451"/>
      <c r="D407" s="455"/>
      <c r="E407" s="455"/>
      <c r="F407" s="455"/>
      <c r="G407" s="455"/>
      <c r="H407" s="455"/>
      <c r="N407" s="381" t="str">
        <f ca="1">[1]!snltable(287,$S$407,$O$409:$O$1079,$P$409:$P$1079,,"Options:Curr=USD, Mag=Thousands, ConvMethod=SNLrecommended")</f>
        <v>SNLTable</v>
      </c>
      <c r="O407" s="382"/>
      <c r="P407" s="382"/>
      <c r="Q407" s="382"/>
      <c r="R407" s="383"/>
      <c r="S407" s="376" t="str">
        <f ca="1">Entity_Code</f>
        <v>I36</v>
      </c>
    </row>
    <row r="408" spans="2:19" ht="11.25" customHeight="1" x14ac:dyDescent="0.35">
      <c r="B408" s="450"/>
      <c r="C408" s="451"/>
      <c r="D408" s="455"/>
      <c r="E408" s="455"/>
      <c r="F408" s="455"/>
      <c r="G408" s="455"/>
      <c r="H408" s="455"/>
      <c r="N408" s="372"/>
      <c r="O408" s="373"/>
      <c r="P408" s="373"/>
      <c r="Q408" s="373"/>
      <c r="R408" s="373"/>
      <c r="S408" s="374"/>
    </row>
    <row r="409" spans="2:19" ht="11.25" customHeight="1" x14ac:dyDescent="0.35">
      <c r="B409" s="450"/>
      <c r="C409" s="451"/>
      <c r="D409" s="420"/>
      <c r="E409" s="420"/>
      <c r="F409" s="420"/>
      <c r="G409" s="420"/>
      <c r="H409" s="420"/>
      <c r="N409" s="384" t="s">
        <v>5458</v>
      </c>
      <c r="O409" s="385">
        <v>324661</v>
      </c>
      <c r="P409" s="385" t="str">
        <f t="shared" ref="P409:P419" si="2">Period</f>
        <v>2014Y</v>
      </c>
      <c r="Q409" s="386" t="str">
        <f>[1]!SNLLabel(287,324661,,"&lt;&gt;360","Options:Curr=Reported currency,Mag=MIstandard,ConvMethod=MIrecommended")</f>
        <v>AR: Analysis of Operations All Lines</v>
      </c>
      <c r="R409" s="365"/>
      <c r="S409" s="387" t="s">
        <v>29</v>
      </c>
    </row>
    <row r="410" spans="2:19" ht="11.25" customHeight="1" x14ac:dyDescent="0.35">
      <c r="B410" s="450"/>
      <c r="C410" s="451"/>
      <c r="D410" s="456"/>
      <c r="E410" s="456"/>
      <c r="F410" s="456"/>
      <c r="G410" s="456"/>
      <c r="H410" s="456"/>
      <c r="N410" s="388" t="s">
        <v>5458</v>
      </c>
      <c r="O410" s="389">
        <v>324661</v>
      </c>
      <c r="P410" s="389" t="str">
        <f t="shared" si="2"/>
        <v>2014Y</v>
      </c>
      <c r="Q410" s="390" t="str">
        <f>[1]!SNLLabel(287,324661,,"&lt;&gt;361","Options:Curr=Reported currency,Mag=MIstandard,ConvMethod=MIrecommended")</f>
        <v>AR: Individual Life</v>
      </c>
      <c r="R410" s="366"/>
      <c r="S410" s="391" t="s">
        <v>29</v>
      </c>
    </row>
    <row r="411" spans="2:19" ht="11.25" customHeight="1" x14ac:dyDescent="0.35">
      <c r="N411" s="388" t="s">
        <v>5458</v>
      </c>
      <c r="O411" s="389">
        <v>324661</v>
      </c>
      <c r="P411" s="389" t="str">
        <f t="shared" si="2"/>
        <v>2014Y</v>
      </c>
      <c r="Q411" s="390" t="str">
        <f>[1]!SNLLabel(287,324661,,"&lt;&gt;362","Options:Curr=Reported currency,Mag=MIstandard,ConvMethod=MIrecommended")</f>
        <v>AR: Group Life</v>
      </c>
      <c r="R411" s="366"/>
      <c r="S411" s="391" t="s">
        <v>29</v>
      </c>
    </row>
    <row r="412" spans="2:19" ht="11.25" customHeight="1" x14ac:dyDescent="0.35">
      <c r="N412" s="388" t="s">
        <v>5458</v>
      </c>
      <c r="O412" s="389">
        <v>324661</v>
      </c>
      <c r="P412" s="389" t="str">
        <f t="shared" si="2"/>
        <v>2014Y</v>
      </c>
      <c r="Q412" s="390" t="str">
        <f>[1]!SNLLabel(287,324661,,"&lt;&gt;363","Options:Curr=Reported currency,Mag=MIstandard,ConvMethod=MIrecommended")</f>
        <v>AR: Individual Annuities</v>
      </c>
      <c r="R412" s="366"/>
      <c r="S412" s="391" t="s">
        <v>29</v>
      </c>
    </row>
    <row r="413" spans="2:19" ht="11.25" customHeight="1" x14ac:dyDescent="0.35">
      <c r="N413" s="388" t="s">
        <v>5458</v>
      </c>
      <c r="O413" s="389">
        <v>324661</v>
      </c>
      <c r="P413" s="389" t="str">
        <f t="shared" si="2"/>
        <v>2014Y</v>
      </c>
      <c r="Q413" s="390" t="str">
        <f>[1]!SNLLabel(287,324661,,"&lt;&gt;364","Options:Curr=Reported currency,Mag=MIstandard,ConvMethod=MIrecommended")</f>
        <v>AR: Group Annuities</v>
      </c>
      <c r="R413" s="366"/>
      <c r="S413" s="391" t="s">
        <v>29</v>
      </c>
    </row>
    <row r="414" spans="2:19" ht="11.25" customHeight="1" x14ac:dyDescent="0.35">
      <c r="N414" s="388" t="s">
        <v>5458</v>
      </c>
      <c r="O414" s="389">
        <v>324661</v>
      </c>
      <c r="P414" s="389" t="str">
        <f t="shared" si="2"/>
        <v>2014Y</v>
      </c>
      <c r="Q414" s="390" t="str">
        <f>[1]!SNLLabel(287,324661,,"&lt;&gt;365","Options:Curr=Reported currency,Mag=MIstandard,ConvMethod=MIrecommended")</f>
        <v>AR: Accident and Health</v>
      </c>
      <c r="R414" s="366"/>
      <c r="S414" s="391" t="s">
        <v>29</v>
      </c>
    </row>
    <row r="415" spans="2:19" ht="11.25" customHeight="1" x14ac:dyDescent="0.35">
      <c r="N415" s="388" t="s">
        <v>5458</v>
      </c>
      <c r="O415" s="389">
        <v>324661</v>
      </c>
      <c r="P415" s="389" t="str">
        <f t="shared" si="2"/>
        <v>2014Y</v>
      </c>
      <c r="Q415" s="390" t="str">
        <f>[1]!SNLLabel(287,324661,,"&lt;&gt;366","Options:Curr=Reported currency,Mag=MIstandard,ConvMethod=MIrecommended")</f>
        <v>AR: Fraternal</v>
      </c>
      <c r="R415" s="366"/>
      <c r="S415" s="391" t="s">
        <v>29</v>
      </c>
    </row>
    <row r="416" spans="2:19" ht="11.25" customHeight="1" x14ac:dyDescent="0.35">
      <c r="N416" s="388" t="s">
        <v>5458</v>
      </c>
      <c r="O416" s="389">
        <v>324661</v>
      </c>
      <c r="P416" s="389" t="str">
        <f t="shared" si="2"/>
        <v>2014Y</v>
      </c>
      <c r="Q416" s="390" t="str">
        <f>[1]!SNLLabel(287,324661,,"&lt;&gt;367","Options:Curr=Reported currency,Mag=MIstandard,ConvMethod=MIrecommended")</f>
        <v>AR: Other Lines of Business</v>
      </c>
      <c r="R416" s="366"/>
      <c r="S416" s="391" t="s">
        <v>29</v>
      </c>
    </row>
    <row r="417" spans="14:19" ht="11.25" customHeight="1" x14ac:dyDescent="0.35">
      <c r="N417" s="388" t="s">
        <v>5458</v>
      </c>
      <c r="O417" s="389">
        <v>324661</v>
      </c>
      <c r="P417" s="389" t="str">
        <f t="shared" si="2"/>
        <v>2014Y</v>
      </c>
      <c r="Q417" s="390" t="str">
        <f>[1]!SNLLabel(287,324661,,"&lt;&gt;368","Options:Curr=Reported currency,Mag=MIstandard,ConvMethod=MIrecommended")</f>
        <v>AR: YRT Mortality Risk Only</v>
      </c>
      <c r="R417" s="366"/>
      <c r="S417" s="391" t="s">
        <v>29</v>
      </c>
    </row>
    <row r="418" spans="14:19" ht="11.25" customHeight="1" x14ac:dyDescent="0.35">
      <c r="N418" s="388" t="s">
        <v>5458</v>
      </c>
      <c r="O418" s="389">
        <v>324661</v>
      </c>
      <c r="P418" s="389" t="str">
        <f t="shared" si="2"/>
        <v>2014Y</v>
      </c>
      <c r="Q418" s="390" t="str">
        <f>[1]!SNLLabel(287,324661,,"&lt;&gt;369","Options:Curr=Reported currency,Mag=MIstandard,ConvMethod=MIrecommended")</f>
        <v>AR: Individual and Group Life</v>
      </c>
      <c r="R418" s="366"/>
      <c r="S418" s="391" t="s">
        <v>29</v>
      </c>
    </row>
    <row r="419" spans="14:19" ht="11.25" customHeight="1" x14ac:dyDescent="0.35">
      <c r="N419" s="367" t="s">
        <v>5458</v>
      </c>
      <c r="O419" s="368">
        <v>324661</v>
      </c>
      <c r="P419" s="368" t="str">
        <f t="shared" si="2"/>
        <v>2014Y</v>
      </c>
      <c r="Q419" s="369" t="str">
        <f>[1]!SNLLabel(287,324661,,"&lt;&gt;370","Options:Curr=Reported currency,Mag=MIstandard,ConvMethod=MIrecommended")</f>
        <v>AR: Individual and Group Annuities</v>
      </c>
      <c r="R419" s="370"/>
      <c r="S419" s="371" t="s">
        <v>29</v>
      </c>
    </row>
    <row r="420" spans="14:19" ht="11.25" customHeight="1" x14ac:dyDescent="0.35">
      <c r="N420" s="384" t="s">
        <v>5458</v>
      </c>
      <c r="O420" s="385">
        <v>324661</v>
      </c>
      <c r="P420" s="385" t="str">
        <f t="shared" ref="P420:P430" si="3">LEFT(Period,4)-1&amp;"Y"</f>
        <v>2013Y</v>
      </c>
      <c r="Q420" s="386" t="str">
        <f>[1]!SNLLabel(287,324661,,"&lt;&gt;360","Options:Curr=Reported currency,Mag=MIstandard,ConvMethod=MIrecommended")</f>
        <v>AR: Analysis of Operations All Lines</v>
      </c>
      <c r="R420" s="365"/>
      <c r="S420" s="387" t="s">
        <v>29</v>
      </c>
    </row>
    <row r="421" spans="14:19" ht="11.25" customHeight="1" x14ac:dyDescent="0.35">
      <c r="N421" s="388" t="s">
        <v>5458</v>
      </c>
      <c r="O421" s="389">
        <v>324661</v>
      </c>
      <c r="P421" s="389" t="str">
        <f t="shared" si="3"/>
        <v>2013Y</v>
      </c>
      <c r="Q421" s="390" t="str">
        <f>[1]!SNLLabel(287,324661,,"&lt;&gt;361","Options:Curr=Reported currency,Mag=MIstandard,ConvMethod=MIrecommended")</f>
        <v>AR: Individual Life</v>
      </c>
      <c r="R421" s="366"/>
      <c r="S421" s="391" t="s">
        <v>29</v>
      </c>
    </row>
    <row r="422" spans="14:19" ht="11.25" customHeight="1" x14ac:dyDescent="0.35">
      <c r="N422" s="388" t="s">
        <v>5458</v>
      </c>
      <c r="O422" s="389">
        <v>324661</v>
      </c>
      <c r="P422" s="389" t="str">
        <f t="shared" si="3"/>
        <v>2013Y</v>
      </c>
      <c r="Q422" s="390" t="str">
        <f>[1]!SNLLabel(287,324661,,"&lt;&gt;362","Options:Curr=Reported currency,Mag=MIstandard,ConvMethod=MIrecommended")</f>
        <v>AR: Group Life</v>
      </c>
      <c r="R422" s="366"/>
      <c r="S422" s="391" t="s">
        <v>29</v>
      </c>
    </row>
    <row r="423" spans="14:19" ht="11.25" customHeight="1" x14ac:dyDescent="0.35">
      <c r="N423" s="388" t="s">
        <v>5458</v>
      </c>
      <c r="O423" s="389">
        <v>324661</v>
      </c>
      <c r="P423" s="389" t="str">
        <f t="shared" si="3"/>
        <v>2013Y</v>
      </c>
      <c r="Q423" s="390" t="str">
        <f>[1]!SNLLabel(287,324661,,"&lt;&gt;363","Options:Curr=Reported currency,Mag=MIstandard,ConvMethod=MIrecommended")</f>
        <v>AR: Individual Annuities</v>
      </c>
      <c r="R423" s="366"/>
      <c r="S423" s="391" t="s">
        <v>29</v>
      </c>
    </row>
    <row r="424" spans="14:19" ht="11.25" customHeight="1" x14ac:dyDescent="0.35">
      <c r="N424" s="388" t="s">
        <v>5458</v>
      </c>
      <c r="O424" s="389">
        <v>324661</v>
      </c>
      <c r="P424" s="389" t="str">
        <f t="shared" si="3"/>
        <v>2013Y</v>
      </c>
      <c r="Q424" s="390" t="str">
        <f>[1]!SNLLabel(287,324661,,"&lt;&gt;364","Options:Curr=Reported currency,Mag=MIstandard,ConvMethod=MIrecommended")</f>
        <v>AR: Group Annuities</v>
      </c>
      <c r="R424" s="366"/>
      <c r="S424" s="391" t="s">
        <v>29</v>
      </c>
    </row>
    <row r="425" spans="14:19" ht="11.25" customHeight="1" x14ac:dyDescent="0.35">
      <c r="N425" s="388" t="s">
        <v>5458</v>
      </c>
      <c r="O425" s="389">
        <v>324661</v>
      </c>
      <c r="P425" s="389" t="str">
        <f t="shared" si="3"/>
        <v>2013Y</v>
      </c>
      <c r="Q425" s="390" t="str">
        <f>[1]!SNLLabel(287,324661,,"&lt;&gt;365","Options:Curr=Reported currency,Mag=MIstandard,ConvMethod=MIrecommended")</f>
        <v>AR: Accident and Health</v>
      </c>
      <c r="R425" s="366"/>
      <c r="S425" s="391" t="s">
        <v>29</v>
      </c>
    </row>
    <row r="426" spans="14:19" ht="11.25" customHeight="1" x14ac:dyDescent="0.35">
      <c r="N426" s="388" t="s">
        <v>5458</v>
      </c>
      <c r="O426" s="389">
        <v>324661</v>
      </c>
      <c r="P426" s="389" t="str">
        <f t="shared" si="3"/>
        <v>2013Y</v>
      </c>
      <c r="Q426" s="390" t="str">
        <f>[1]!SNLLabel(287,324661,,"&lt;&gt;366","Options:Curr=Reported currency,Mag=MIstandard,ConvMethod=MIrecommended")</f>
        <v>AR: Fraternal</v>
      </c>
      <c r="R426" s="366"/>
      <c r="S426" s="391" t="s">
        <v>29</v>
      </c>
    </row>
    <row r="427" spans="14:19" ht="11.25" customHeight="1" x14ac:dyDescent="0.35">
      <c r="N427" s="388" t="s">
        <v>5458</v>
      </c>
      <c r="O427" s="389">
        <v>324661</v>
      </c>
      <c r="P427" s="389" t="str">
        <f t="shared" si="3"/>
        <v>2013Y</v>
      </c>
      <c r="Q427" s="390" t="str">
        <f>[1]!SNLLabel(287,324661,,"&lt;&gt;367","Options:Curr=Reported currency,Mag=MIstandard,ConvMethod=MIrecommended")</f>
        <v>AR: Other Lines of Business</v>
      </c>
      <c r="R427" s="366"/>
      <c r="S427" s="391" t="s">
        <v>29</v>
      </c>
    </row>
    <row r="428" spans="14:19" ht="11.25" customHeight="1" x14ac:dyDescent="0.35">
      <c r="N428" s="388" t="s">
        <v>5458</v>
      </c>
      <c r="O428" s="389">
        <v>324661</v>
      </c>
      <c r="P428" s="389" t="str">
        <f t="shared" si="3"/>
        <v>2013Y</v>
      </c>
      <c r="Q428" s="390" t="str">
        <f>[1]!SNLLabel(287,324661,,"&lt;&gt;368","Options:Curr=Reported currency,Mag=MIstandard,ConvMethod=MIrecommended")</f>
        <v>AR: YRT Mortality Risk Only</v>
      </c>
      <c r="R428" s="366"/>
      <c r="S428" s="391" t="s">
        <v>29</v>
      </c>
    </row>
    <row r="429" spans="14:19" ht="11.25" customHeight="1" x14ac:dyDescent="0.35">
      <c r="N429" s="388" t="s">
        <v>5458</v>
      </c>
      <c r="O429" s="389">
        <v>324661</v>
      </c>
      <c r="P429" s="389" t="str">
        <f t="shared" si="3"/>
        <v>2013Y</v>
      </c>
      <c r="Q429" s="390" t="str">
        <f>[1]!SNLLabel(287,324661,,"&lt;&gt;369","Options:Curr=Reported currency,Mag=MIstandard,ConvMethod=MIrecommended")</f>
        <v>AR: Individual and Group Life</v>
      </c>
      <c r="R429" s="366"/>
      <c r="S429" s="391" t="s">
        <v>29</v>
      </c>
    </row>
    <row r="430" spans="14:19" ht="11.25" customHeight="1" x14ac:dyDescent="0.35">
      <c r="N430" s="367" t="s">
        <v>5458</v>
      </c>
      <c r="O430" s="368">
        <v>324661</v>
      </c>
      <c r="P430" s="368" t="str">
        <f t="shared" si="3"/>
        <v>2013Y</v>
      </c>
      <c r="Q430" s="369" t="str">
        <f>[1]!SNLLabel(287,324661,,"&lt;&gt;370","Options:Curr=Reported currency,Mag=MIstandard,ConvMethod=MIrecommended")</f>
        <v>AR: Individual and Group Annuities</v>
      </c>
      <c r="R430" s="370"/>
      <c r="S430" s="371" t="s">
        <v>29</v>
      </c>
    </row>
    <row r="431" spans="14:19" ht="11.25" customHeight="1" x14ac:dyDescent="0.35">
      <c r="N431" s="384" t="s">
        <v>5458</v>
      </c>
      <c r="O431" s="385">
        <v>324661</v>
      </c>
      <c r="P431" s="385" t="str">
        <f t="shared" ref="P431:P441" si="4">LEFT(Period,4)-2&amp;"Y"</f>
        <v>2012Y</v>
      </c>
      <c r="Q431" s="386" t="str">
        <f>[1]!SNLLabel(287,324661,,"&lt;&gt;360","Options:Curr=Reported currency,Mag=MIstandard,ConvMethod=MIrecommended")</f>
        <v>AR: Analysis of Operations All Lines</v>
      </c>
      <c r="R431" s="365"/>
      <c r="S431" s="387" t="s">
        <v>29</v>
      </c>
    </row>
    <row r="432" spans="14:19" ht="11.25" customHeight="1" x14ac:dyDescent="0.35">
      <c r="N432" s="388" t="s">
        <v>5458</v>
      </c>
      <c r="O432" s="389">
        <v>324661</v>
      </c>
      <c r="P432" s="389" t="str">
        <f t="shared" si="4"/>
        <v>2012Y</v>
      </c>
      <c r="Q432" s="390" t="str">
        <f>[1]!SNLLabel(287,324661,,"&lt;&gt;361","Options:Curr=Reported currency,Mag=MIstandard,ConvMethod=MIrecommended")</f>
        <v>AR: Individual Life</v>
      </c>
      <c r="R432" s="366"/>
      <c r="S432" s="391" t="s">
        <v>29</v>
      </c>
    </row>
    <row r="433" spans="14:19" ht="11.25" customHeight="1" x14ac:dyDescent="0.35">
      <c r="N433" s="388" t="s">
        <v>5458</v>
      </c>
      <c r="O433" s="389">
        <v>324661</v>
      </c>
      <c r="P433" s="389" t="str">
        <f t="shared" si="4"/>
        <v>2012Y</v>
      </c>
      <c r="Q433" s="390" t="str">
        <f>[1]!SNLLabel(287,324661,,"&lt;&gt;362","Options:Curr=Reported currency,Mag=MIstandard,ConvMethod=MIrecommended")</f>
        <v>AR: Group Life</v>
      </c>
      <c r="R433" s="366"/>
      <c r="S433" s="391" t="s">
        <v>29</v>
      </c>
    </row>
    <row r="434" spans="14:19" ht="11.25" customHeight="1" x14ac:dyDescent="0.35">
      <c r="N434" s="388" t="s">
        <v>5458</v>
      </c>
      <c r="O434" s="389">
        <v>324661</v>
      </c>
      <c r="P434" s="389" t="str">
        <f t="shared" si="4"/>
        <v>2012Y</v>
      </c>
      <c r="Q434" s="390" t="str">
        <f>[1]!SNLLabel(287,324661,,"&lt;&gt;363","Options:Curr=Reported currency,Mag=MIstandard,ConvMethod=MIrecommended")</f>
        <v>AR: Individual Annuities</v>
      </c>
      <c r="R434" s="366"/>
      <c r="S434" s="391" t="s">
        <v>29</v>
      </c>
    </row>
    <row r="435" spans="14:19" ht="11.25" customHeight="1" x14ac:dyDescent="0.35">
      <c r="N435" s="388" t="s">
        <v>5458</v>
      </c>
      <c r="O435" s="389">
        <v>324661</v>
      </c>
      <c r="P435" s="389" t="str">
        <f t="shared" si="4"/>
        <v>2012Y</v>
      </c>
      <c r="Q435" s="390" t="str">
        <f>[1]!SNLLabel(287,324661,,"&lt;&gt;364","Options:Curr=Reported currency,Mag=MIstandard,ConvMethod=MIrecommended")</f>
        <v>AR: Group Annuities</v>
      </c>
      <c r="R435" s="366"/>
      <c r="S435" s="391" t="s">
        <v>29</v>
      </c>
    </row>
    <row r="436" spans="14:19" ht="11.25" customHeight="1" x14ac:dyDescent="0.35">
      <c r="N436" s="388" t="s">
        <v>5458</v>
      </c>
      <c r="O436" s="389">
        <v>324661</v>
      </c>
      <c r="P436" s="389" t="str">
        <f t="shared" si="4"/>
        <v>2012Y</v>
      </c>
      <c r="Q436" s="390" t="str">
        <f>[1]!SNLLabel(287,324661,,"&lt;&gt;365","Options:Curr=Reported currency,Mag=MIstandard,ConvMethod=MIrecommended")</f>
        <v>AR: Accident and Health</v>
      </c>
      <c r="R436" s="366"/>
      <c r="S436" s="391" t="s">
        <v>29</v>
      </c>
    </row>
    <row r="437" spans="14:19" ht="11.25" customHeight="1" x14ac:dyDescent="0.35">
      <c r="N437" s="388" t="s">
        <v>5458</v>
      </c>
      <c r="O437" s="389">
        <v>324661</v>
      </c>
      <c r="P437" s="389" t="str">
        <f t="shared" si="4"/>
        <v>2012Y</v>
      </c>
      <c r="Q437" s="390" t="str">
        <f>[1]!SNLLabel(287,324661,,"&lt;&gt;366","Options:Curr=Reported currency,Mag=MIstandard,ConvMethod=MIrecommended")</f>
        <v>AR: Fraternal</v>
      </c>
      <c r="R437" s="366"/>
      <c r="S437" s="391" t="s">
        <v>29</v>
      </c>
    </row>
    <row r="438" spans="14:19" ht="11.25" customHeight="1" x14ac:dyDescent="0.35">
      <c r="N438" s="388" t="s">
        <v>5458</v>
      </c>
      <c r="O438" s="389">
        <v>324661</v>
      </c>
      <c r="P438" s="389" t="str">
        <f t="shared" si="4"/>
        <v>2012Y</v>
      </c>
      <c r="Q438" s="390" t="str">
        <f>[1]!SNLLabel(287,324661,,"&lt;&gt;367","Options:Curr=Reported currency,Mag=MIstandard,ConvMethod=MIrecommended")</f>
        <v>AR: Other Lines of Business</v>
      </c>
      <c r="R438" s="366"/>
      <c r="S438" s="391" t="s">
        <v>29</v>
      </c>
    </row>
    <row r="439" spans="14:19" ht="11.25" customHeight="1" x14ac:dyDescent="0.35">
      <c r="N439" s="388" t="s">
        <v>5458</v>
      </c>
      <c r="O439" s="389">
        <v>324661</v>
      </c>
      <c r="P439" s="389" t="str">
        <f t="shared" si="4"/>
        <v>2012Y</v>
      </c>
      <c r="Q439" s="390" t="str">
        <f>[1]!SNLLabel(287,324661,,"&lt;&gt;368","Options:Curr=Reported currency,Mag=MIstandard,ConvMethod=MIrecommended")</f>
        <v>AR: YRT Mortality Risk Only</v>
      </c>
      <c r="R439" s="366"/>
      <c r="S439" s="391" t="s">
        <v>29</v>
      </c>
    </row>
    <row r="440" spans="14:19" ht="11.25" customHeight="1" x14ac:dyDescent="0.35">
      <c r="N440" s="388" t="s">
        <v>5458</v>
      </c>
      <c r="O440" s="389">
        <v>324661</v>
      </c>
      <c r="P440" s="389" t="str">
        <f t="shared" si="4"/>
        <v>2012Y</v>
      </c>
      <c r="Q440" s="390" t="str">
        <f>[1]!SNLLabel(287,324661,,"&lt;&gt;369","Options:Curr=Reported currency,Mag=MIstandard,ConvMethod=MIrecommended")</f>
        <v>AR: Individual and Group Life</v>
      </c>
      <c r="R440" s="366"/>
      <c r="S440" s="391" t="s">
        <v>29</v>
      </c>
    </row>
    <row r="441" spans="14:19" ht="11.25" customHeight="1" x14ac:dyDescent="0.35">
      <c r="N441" s="367" t="s">
        <v>5458</v>
      </c>
      <c r="O441" s="368">
        <v>324661</v>
      </c>
      <c r="P441" s="368" t="str">
        <f t="shared" si="4"/>
        <v>2012Y</v>
      </c>
      <c r="Q441" s="369" t="str">
        <f>[1]!SNLLabel(287,324661,,"&lt;&gt;370","Options:Curr=Reported currency,Mag=MIstandard,ConvMethod=MIrecommended")</f>
        <v>AR: Individual and Group Annuities</v>
      </c>
      <c r="R441" s="370"/>
      <c r="S441" s="371" t="s">
        <v>29</v>
      </c>
    </row>
    <row r="442" spans="14:19" ht="11.25" customHeight="1" x14ac:dyDescent="0.35">
      <c r="N442" s="384" t="s">
        <v>5458</v>
      </c>
      <c r="O442" s="385">
        <v>324661</v>
      </c>
      <c r="P442" s="385" t="str">
        <f t="shared" ref="P442:P452" si="5">LEFT(Period,4)-3&amp;"Y"</f>
        <v>2011Y</v>
      </c>
      <c r="Q442" s="386" t="str">
        <f>[1]!SNLLabel(287,324661,,"&lt;&gt;360","Options:Curr=Reported currency,Mag=MIstandard,ConvMethod=MIrecommended")</f>
        <v>AR: Analysis of Operations All Lines</v>
      </c>
      <c r="R442" s="365"/>
      <c r="S442" s="387" t="s">
        <v>29</v>
      </c>
    </row>
    <row r="443" spans="14:19" ht="11.25" customHeight="1" x14ac:dyDescent="0.35">
      <c r="N443" s="388" t="s">
        <v>5458</v>
      </c>
      <c r="O443" s="389">
        <v>324661</v>
      </c>
      <c r="P443" s="389" t="str">
        <f t="shared" si="5"/>
        <v>2011Y</v>
      </c>
      <c r="Q443" s="390" t="str">
        <f>[1]!SNLLabel(287,324661,,"&lt;&gt;361","Options:Curr=Reported currency,Mag=MIstandard,ConvMethod=MIrecommended")</f>
        <v>AR: Individual Life</v>
      </c>
      <c r="R443" s="366"/>
      <c r="S443" s="391" t="s">
        <v>29</v>
      </c>
    </row>
    <row r="444" spans="14:19" ht="11.25" customHeight="1" x14ac:dyDescent="0.35">
      <c r="N444" s="388" t="s">
        <v>5458</v>
      </c>
      <c r="O444" s="389">
        <v>324661</v>
      </c>
      <c r="P444" s="389" t="str">
        <f t="shared" si="5"/>
        <v>2011Y</v>
      </c>
      <c r="Q444" s="390" t="str">
        <f>[1]!SNLLabel(287,324661,,"&lt;&gt;362","Options:Curr=Reported currency,Mag=MIstandard,ConvMethod=MIrecommended")</f>
        <v>AR: Group Life</v>
      </c>
      <c r="R444" s="366"/>
      <c r="S444" s="391" t="s">
        <v>29</v>
      </c>
    </row>
    <row r="445" spans="14:19" ht="11.25" customHeight="1" x14ac:dyDescent="0.35">
      <c r="N445" s="388" t="s">
        <v>5458</v>
      </c>
      <c r="O445" s="389">
        <v>324661</v>
      </c>
      <c r="P445" s="389" t="str">
        <f t="shared" si="5"/>
        <v>2011Y</v>
      </c>
      <c r="Q445" s="390" t="str">
        <f>[1]!SNLLabel(287,324661,,"&lt;&gt;363","Options:Curr=Reported currency,Mag=MIstandard,ConvMethod=MIrecommended")</f>
        <v>AR: Individual Annuities</v>
      </c>
      <c r="R445" s="366"/>
      <c r="S445" s="391" t="s">
        <v>29</v>
      </c>
    </row>
    <row r="446" spans="14:19" ht="11.25" customHeight="1" x14ac:dyDescent="0.35">
      <c r="N446" s="388" t="s">
        <v>5458</v>
      </c>
      <c r="O446" s="389">
        <v>324661</v>
      </c>
      <c r="P446" s="389" t="str">
        <f t="shared" si="5"/>
        <v>2011Y</v>
      </c>
      <c r="Q446" s="390" t="str">
        <f>[1]!SNLLabel(287,324661,,"&lt;&gt;364","Options:Curr=Reported currency,Mag=MIstandard,ConvMethod=MIrecommended")</f>
        <v>AR: Group Annuities</v>
      </c>
      <c r="R446" s="366"/>
      <c r="S446" s="391" t="s">
        <v>29</v>
      </c>
    </row>
    <row r="447" spans="14:19" ht="11.25" customHeight="1" x14ac:dyDescent="0.35">
      <c r="N447" s="388" t="s">
        <v>5458</v>
      </c>
      <c r="O447" s="389">
        <v>324661</v>
      </c>
      <c r="P447" s="389" t="str">
        <f t="shared" si="5"/>
        <v>2011Y</v>
      </c>
      <c r="Q447" s="390" t="str">
        <f>[1]!SNLLabel(287,324661,,"&lt;&gt;365","Options:Curr=Reported currency,Mag=MIstandard,ConvMethod=MIrecommended")</f>
        <v>AR: Accident and Health</v>
      </c>
      <c r="R447" s="366"/>
      <c r="S447" s="391" t="s">
        <v>29</v>
      </c>
    </row>
    <row r="448" spans="14:19" ht="11.25" customHeight="1" x14ac:dyDescent="0.35">
      <c r="N448" s="388" t="s">
        <v>5458</v>
      </c>
      <c r="O448" s="389">
        <v>324661</v>
      </c>
      <c r="P448" s="389" t="str">
        <f t="shared" si="5"/>
        <v>2011Y</v>
      </c>
      <c r="Q448" s="390" t="str">
        <f>[1]!SNLLabel(287,324661,,"&lt;&gt;366","Options:Curr=Reported currency,Mag=MIstandard,ConvMethod=MIrecommended")</f>
        <v>AR: Fraternal</v>
      </c>
      <c r="R448" s="366"/>
      <c r="S448" s="391" t="s">
        <v>29</v>
      </c>
    </row>
    <row r="449" spans="14:19" ht="11.25" customHeight="1" x14ac:dyDescent="0.35">
      <c r="N449" s="388" t="s">
        <v>5458</v>
      </c>
      <c r="O449" s="389">
        <v>324661</v>
      </c>
      <c r="P449" s="389" t="str">
        <f t="shared" si="5"/>
        <v>2011Y</v>
      </c>
      <c r="Q449" s="390" t="str">
        <f>[1]!SNLLabel(287,324661,,"&lt;&gt;367","Options:Curr=Reported currency,Mag=MIstandard,ConvMethod=MIrecommended")</f>
        <v>AR: Other Lines of Business</v>
      </c>
      <c r="R449" s="366"/>
      <c r="S449" s="391" t="s">
        <v>29</v>
      </c>
    </row>
    <row r="450" spans="14:19" ht="11.25" customHeight="1" x14ac:dyDescent="0.35">
      <c r="N450" s="388" t="s">
        <v>5458</v>
      </c>
      <c r="O450" s="389">
        <v>324661</v>
      </c>
      <c r="P450" s="389" t="str">
        <f t="shared" si="5"/>
        <v>2011Y</v>
      </c>
      <c r="Q450" s="390" t="str">
        <f>[1]!SNLLabel(287,324661,,"&lt;&gt;368","Options:Curr=Reported currency,Mag=MIstandard,ConvMethod=MIrecommended")</f>
        <v>AR: YRT Mortality Risk Only</v>
      </c>
      <c r="R450" s="366"/>
      <c r="S450" s="391" t="s">
        <v>29</v>
      </c>
    </row>
    <row r="451" spans="14:19" ht="11.25" customHeight="1" x14ac:dyDescent="0.35">
      <c r="N451" s="388" t="s">
        <v>5458</v>
      </c>
      <c r="O451" s="389">
        <v>324661</v>
      </c>
      <c r="P451" s="389" t="str">
        <f t="shared" si="5"/>
        <v>2011Y</v>
      </c>
      <c r="Q451" s="390" t="str">
        <f>[1]!SNLLabel(287,324661,,"&lt;&gt;369","Options:Curr=Reported currency,Mag=MIstandard,ConvMethod=MIrecommended")</f>
        <v>AR: Individual and Group Life</v>
      </c>
      <c r="R451" s="366"/>
      <c r="S451" s="391" t="s">
        <v>29</v>
      </c>
    </row>
    <row r="452" spans="14:19" ht="11.25" customHeight="1" x14ac:dyDescent="0.35">
      <c r="N452" s="367" t="s">
        <v>5458</v>
      </c>
      <c r="O452" s="368">
        <v>324661</v>
      </c>
      <c r="P452" s="368" t="str">
        <f t="shared" si="5"/>
        <v>2011Y</v>
      </c>
      <c r="Q452" s="369" t="str">
        <f>[1]!SNLLabel(287,324661,,"&lt;&gt;370","Options:Curr=Reported currency,Mag=MIstandard,ConvMethod=MIrecommended")</f>
        <v>AR: Individual and Group Annuities</v>
      </c>
      <c r="R452" s="370"/>
      <c r="S452" s="371" t="s">
        <v>29</v>
      </c>
    </row>
    <row r="453" spans="14:19" ht="11.25" customHeight="1" x14ac:dyDescent="0.35">
      <c r="N453" s="384" t="s">
        <v>5458</v>
      </c>
      <c r="O453" s="385">
        <v>324661</v>
      </c>
      <c r="P453" s="385" t="str">
        <f t="shared" ref="P453:P463" si="6">LEFT(Period,4)-4&amp;"Y"</f>
        <v>2010Y</v>
      </c>
      <c r="Q453" s="386" t="str">
        <f>[1]!SNLLabel(287,324661,,"&lt;&gt;360","Options:Curr=Reported currency,Mag=MIstandard,ConvMethod=MIrecommended")</f>
        <v>AR: Analysis of Operations All Lines</v>
      </c>
      <c r="R453" s="365"/>
      <c r="S453" s="387" t="s">
        <v>29</v>
      </c>
    </row>
    <row r="454" spans="14:19" ht="11.25" customHeight="1" x14ac:dyDescent="0.35">
      <c r="N454" s="388" t="s">
        <v>5458</v>
      </c>
      <c r="O454" s="389">
        <v>324661</v>
      </c>
      <c r="P454" s="389" t="str">
        <f t="shared" si="6"/>
        <v>2010Y</v>
      </c>
      <c r="Q454" s="390" t="str">
        <f>[1]!SNLLabel(287,324661,,"&lt;&gt;361","Options:Curr=Reported currency,Mag=MIstandard,ConvMethod=MIrecommended")</f>
        <v>AR: Individual Life</v>
      </c>
      <c r="R454" s="366"/>
      <c r="S454" s="391" t="s">
        <v>29</v>
      </c>
    </row>
    <row r="455" spans="14:19" ht="11.25" customHeight="1" x14ac:dyDescent="0.35">
      <c r="N455" s="388" t="s">
        <v>5458</v>
      </c>
      <c r="O455" s="389">
        <v>324661</v>
      </c>
      <c r="P455" s="389" t="str">
        <f t="shared" si="6"/>
        <v>2010Y</v>
      </c>
      <c r="Q455" s="390" t="str">
        <f>[1]!SNLLabel(287,324661,,"&lt;&gt;362","Options:Curr=Reported currency,Mag=MIstandard,ConvMethod=MIrecommended")</f>
        <v>AR: Group Life</v>
      </c>
      <c r="R455" s="366"/>
      <c r="S455" s="391" t="s">
        <v>29</v>
      </c>
    </row>
    <row r="456" spans="14:19" ht="11.25" customHeight="1" x14ac:dyDescent="0.35">
      <c r="N456" s="388" t="s">
        <v>5458</v>
      </c>
      <c r="O456" s="389">
        <v>324661</v>
      </c>
      <c r="P456" s="389" t="str">
        <f t="shared" si="6"/>
        <v>2010Y</v>
      </c>
      <c r="Q456" s="390" t="str">
        <f>[1]!SNLLabel(287,324661,,"&lt;&gt;363","Options:Curr=Reported currency,Mag=MIstandard,ConvMethod=MIrecommended")</f>
        <v>AR: Individual Annuities</v>
      </c>
      <c r="R456" s="366"/>
      <c r="S456" s="391" t="s">
        <v>29</v>
      </c>
    </row>
    <row r="457" spans="14:19" ht="11.25" customHeight="1" x14ac:dyDescent="0.35">
      <c r="N457" s="388" t="s">
        <v>5458</v>
      </c>
      <c r="O457" s="389">
        <v>324661</v>
      </c>
      <c r="P457" s="389" t="str">
        <f t="shared" si="6"/>
        <v>2010Y</v>
      </c>
      <c r="Q457" s="390" t="str">
        <f>[1]!SNLLabel(287,324661,,"&lt;&gt;364","Options:Curr=Reported currency,Mag=MIstandard,ConvMethod=MIrecommended")</f>
        <v>AR: Group Annuities</v>
      </c>
      <c r="R457" s="366"/>
      <c r="S457" s="391" t="s">
        <v>29</v>
      </c>
    </row>
    <row r="458" spans="14:19" ht="11.25" customHeight="1" x14ac:dyDescent="0.35">
      <c r="N458" s="388" t="s">
        <v>5458</v>
      </c>
      <c r="O458" s="389">
        <v>324661</v>
      </c>
      <c r="P458" s="389" t="str">
        <f t="shared" si="6"/>
        <v>2010Y</v>
      </c>
      <c r="Q458" s="390" t="str">
        <f>[1]!SNLLabel(287,324661,,"&lt;&gt;365","Options:Curr=Reported currency,Mag=MIstandard,ConvMethod=MIrecommended")</f>
        <v>AR: Accident and Health</v>
      </c>
      <c r="R458" s="366"/>
      <c r="S458" s="391" t="s">
        <v>29</v>
      </c>
    </row>
    <row r="459" spans="14:19" ht="11.25" customHeight="1" x14ac:dyDescent="0.35">
      <c r="N459" s="388" t="s">
        <v>5458</v>
      </c>
      <c r="O459" s="389">
        <v>324661</v>
      </c>
      <c r="P459" s="389" t="str">
        <f t="shared" si="6"/>
        <v>2010Y</v>
      </c>
      <c r="Q459" s="390" t="str">
        <f>[1]!SNLLabel(287,324661,,"&lt;&gt;366","Options:Curr=Reported currency,Mag=MIstandard,ConvMethod=MIrecommended")</f>
        <v>AR: Fraternal</v>
      </c>
      <c r="R459" s="366"/>
      <c r="S459" s="391" t="s">
        <v>29</v>
      </c>
    </row>
    <row r="460" spans="14:19" ht="11.25" customHeight="1" x14ac:dyDescent="0.35">
      <c r="N460" s="388" t="s">
        <v>5458</v>
      </c>
      <c r="O460" s="389">
        <v>324661</v>
      </c>
      <c r="P460" s="389" t="str">
        <f t="shared" si="6"/>
        <v>2010Y</v>
      </c>
      <c r="Q460" s="390" t="str">
        <f>[1]!SNLLabel(287,324661,,"&lt;&gt;367","Options:Curr=Reported currency,Mag=MIstandard,ConvMethod=MIrecommended")</f>
        <v>AR: Other Lines of Business</v>
      </c>
      <c r="R460" s="366"/>
      <c r="S460" s="391" t="s">
        <v>29</v>
      </c>
    </row>
    <row r="461" spans="14:19" ht="11.25" customHeight="1" x14ac:dyDescent="0.35">
      <c r="N461" s="388" t="s">
        <v>5458</v>
      </c>
      <c r="O461" s="389">
        <v>324661</v>
      </c>
      <c r="P461" s="389" t="str">
        <f t="shared" si="6"/>
        <v>2010Y</v>
      </c>
      <c r="Q461" s="390" t="str">
        <f>[1]!SNLLabel(287,324661,,"&lt;&gt;368","Options:Curr=Reported currency,Mag=MIstandard,ConvMethod=MIrecommended")</f>
        <v>AR: YRT Mortality Risk Only</v>
      </c>
      <c r="R461" s="366"/>
      <c r="S461" s="391" t="s">
        <v>29</v>
      </c>
    </row>
    <row r="462" spans="14:19" ht="11.25" customHeight="1" x14ac:dyDescent="0.35">
      <c r="N462" s="388" t="s">
        <v>5458</v>
      </c>
      <c r="O462" s="389">
        <v>324661</v>
      </c>
      <c r="P462" s="389" t="str">
        <f t="shared" si="6"/>
        <v>2010Y</v>
      </c>
      <c r="Q462" s="390" t="str">
        <f>[1]!SNLLabel(287,324661,,"&lt;&gt;369","Options:Curr=Reported currency,Mag=MIstandard,ConvMethod=MIrecommended")</f>
        <v>AR: Individual and Group Life</v>
      </c>
      <c r="R462" s="366"/>
      <c r="S462" s="391" t="s">
        <v>29</v>
      </c>
    </row>
    <row r="463" spans="14:19" ht="11.25" customHeight="1" x14ac:dyDescent="0.35">
      <c r="N463" s="367" t="s">
        <v>5458</v>
      </c>
      <c r="O463" s="368">
        <v>324661</v>
      </c>
      <c r="P463" s="368" t="str">
        <f t="shared" si="6"/>
        <v>2010Y</v>
      </c>
      <c r="Q463" s="369" t="str">
        <f>[1]!SNLLabel(287,324661,,"&lt;&gt;370","Options:Curr=Reported currency,Mag=MIstandard,ConvMethod=MIrecommended")</f>
        <v>AR: Individual and Group Annuities</v>
      </c>
      <c r="R463" s="370"/>
      <c r="S463" s="371" t="s">
        <v>29</v>
      </c>
    </row>
    <row r="464" spans="14:19" ht="11.25" customHeight="1" x14ac:dyDescent="0.35">
      <c r="N464" s="377"/>
      <c r="O464" s="378"/>
      <c r="P464" s="378"/>
      <c r="Q464" s="379"/>
      <c r="R464" s="375"/>
      <c r="S464" s="380"/>
    </row>
    <row r="465" spans="14:19" ht="11.25" customHeight="1" x14ac:dyDescent="0.35">
      <c r="N465" s="384" t="s">
        <v>5459</v>
      </c>
      <c r="O465" s="385">
        <v>324662</v>
      </c>
      <c r="P465" s="385" t="str">
        <f t="shared" ref="P465:P475" si="7">Period</f>
        <v>2014Y</v>
      </c>
      <c r="Q465" s="386" t="str">
        <f>[1]!SNLLabel(287,324662,,"&lt;&gt;360","Options:Curr=Reported currency,Mag=MIstandard,ConvMethod=MIrecommended")</f>
        <v>AR: Analysis of Operations All Lines</v>
      </c>
      <c r="R465" s="365"/>
      <c r="S465" s="387" t="s">
        <v>29</v>
      </c>
    </row>
    <row r="466" spans="14:19" ht="11.25" customHeight="1" x14ac:dyDescent="0.35">
      <c r="N466" s="388" t="s">
        <v>5459</v>
      </c>
      <c r="O466" s="389">
        <v>324662</v>
      </c>
      <c r="P466" s="389" t="str">
        <f t="shared" si="7"/>
        <v>2014Y</v>
      </c>
      <c r="Q466" s="390" t="str">
        <f>[1]!SNLLabel(287,324662,,"&lt;&gt;361","Options:Curr=Reported currency,Mag=MIstandard,ConvMethod=MIrecommended")</f>
        <v>AR: Individual Life</v>
      </c>
      <c r="R466" s="366"/>
      <c r="S466" s="391" t="s">
        <v>29</v>
      </c>
    </row>
    <row r="467" spans="14:19" ht="11.25" customHeight="1" x14ac:dyDescent="0.35">
      <c r="N467" s="388" t="s">
        <v>5459</v>
      </c>
      <c r="O467" s="389">
        <v>324662</v>
      </c>
      <c r="P467" s="389" t="str">
        <f t="shared" si="7"/>
        <v>2014Y</v>
      </c>
      <c r="Q467" s="390" t="str">
        <f>[1]!SNLLabel(287,324662,,"&lt;&gt;362","Options:Curr=Reported currency,Mag=MIstandard,ConvMethod=MIrecommended")</f>
        <v>AR: Group Life</v>
      </c>
      <c r="R467" s="366"/>
      <c r="S467" s="391" t="s">
        <v>29</v>
      </c>
    </row>
    <row r="468" spans="14:19" ht="11.25" customHeight="1" x14ac:dyDescent="0.35">
      <c r="N468" s="388" t="s">
        <v>5459</v>
      </c>
      <c r="O468" s="389">
        <v>324662</v>
      </c>
      <c r="P468" s="389" t="str">
        <f t="shared" si="7"/>
        <v>2014Y</v>
      </c>
      <c r="Q468" s="390" t="str">
        <f>[1]!SNLLabel(287,324662,,"&lt;&gt;363","Options:Curr=Reported currency,Mag=MIstandard,ConvMethod=MIrecommended")</f>
        <v>AR: Individual Annuities</v>
      </c>
      <c r="R468" s="366"/>
      <c r="S468" s="391" t="s">
        <v>29</v>
      </c>
    </row>
    <row r="469" spans="14:19" ht="11.25" customHeight="1" x14ac:dyDescent="0.35">
      <c r="N469" s="388" t="s">
        <v>5459</v>
      </c>
      <c r="O469" s="389">
        <v>324662</v>
      </c>
      <c r="P469" s="389" t="str">
        <f t="shared" si="7"/>
        <v>2014Y</v>
      </c>
      <c r="Q469" s="390" t="str">
        <f>[1]!SNLLabel(287,324662,,"&lt;&gt;364","Options:Curr=Reported currency,Mag=MIstandard,ConvMethod=MIrecommended")</f>
        <v>AR: Group Annuities</v>
      </c>
      <c r="R469" s="366"/>
      <c r="S469" s="391" t="s">
        <v>29</v>
      </c>
    </row>
    <row r="470" spans="14:19" ht="11.25" customHeight="1" x14ac:dyDescent="0.35">
      <c r="N470" s="388" t="s">
        <v>5459</v>
      </c>
      <c r="O470" s="389">
        <v>324662</v>
      </c>
      <c r="P470" s="389" t="str">
        <f t="shared" si="7"/>
        <v>2014Y</v>
      </c>
      <c r="Q470" s="390" t="str">
        <f>[1]!SNLLabel(287,324662,,"&lt;&gt;365","Options:Curr=Reported currency,Mag=MIstandard,ConvMethod=MIrecommended")</f>
        <v>AR: Accident and Health</v>
      </c>
      <c r="R470" s="366"/>
      <c r="S470" s="391" t="s">
        <v>29</v>
      </c>
    </row>
    <row r="471" spans="14:19" ht="11.25" customHeight="1" x14ac:dyDescent="0.35">
      <c r="N471" s="388" t="s">
        <v>5459</v>
      </c>
      <c r="O471" s="389">
        <v>324662</v>
      </c>
      <c r="P471" s="389" t="str">
        <f t="shared" si="7"/>
        <v>2014Y</v>
      </c>
      <c r="Q471" s="390" t="str">
        <f>[1]!SNLLabel(287,324662,,"&lt;&gt;366","Options:Curr=Reported currency,Mag=MIstandard,ConvMethod=MIrecommended")</f>
        <v>AR: Fraternal</v>
      </c>
      <c r="R471" s="366"/>
      <c r="S471" s="391" t="s">
        <v>29</v>
      </c>
    </row>
    <row r="472" spans="14:19" ht="11.25" customHeight="1" x14ac:dyDescent="0.35">
      <c r="N472" s="388" t="s">
        <v>5459</v>
      </c>
      <c r="O472" s="389">
        <v>324662</v>
      </c>
      <c r="P472" s="389" t="str">
        <f t="shared" si="7"/>
        <v>2014Y</v>
      </c>
      <c r="Q472" s="390" t="str">
        <f>[1]!SNLLabel(287,324662,,"&lt;&gt;367","Options:Curr=Reported currency,Mag=MIstandard,ConvMethod=MIrecommended")</f>
        <v>AR: Other Lines of Business</v>
      </c>
      <c r="R472" s="366"/>
      <c r="S472" s="391" t="s">
        <v>29</v>
      </c>
    </row>
    <row r="473" spans="14:19" ht="11.25" customHeight="1" x14ac:dyDescent="0.35">
      <c r="N473" s="388" t="s">
        <v>5459</v>
      </c>
      <c r="O473" s="389">
        <v>324662</v>
      </c>
      <c r="P473" s="389" t="str">
        <f t="shared" si="7"/>
        <v>2014Y</v>
      </c>
      <c r="Q473" s="390" t="str">
        <f>[1]!SNLLabel(287,324662,,"&lt;&gt;368","Options:Curr=Reported currency,Mag=MIstandard,ConvMethod=MIrecommended")</f>
        <v>AR: YRT Mortality Risk Only</v>
      </c>
      <c r="R473" s="366"/>
      <c r="S473" s="391" t="s">
        <v>29</v>
      </c>
    </row>
    <row r="474" spans="14:19" ht="11.25" customHeight="1" x14ac:dyDescent="0.35">
      <c r="N474" s="388" t="s">
        <v>5459</v>
      </c>
      <c r="O474" s="389">
        <v>324662</v>
      </c>
      <c r="P474" s="389" t="str">
        <f t="shared" si="7"/>
        <v>2014Y</v>
      </c>
      <c r="Q474" s="390" t="str">
        <f>[1]!SNLLabel(287,324662,,"&lt;&gt;369","Options:Curr=Reported currency,Mag=MIstandard,ConvMethod=MIrecommended")</f>
        <v>AR: Individual and Group Life</v>
      </c>
      <c r="R474" s="366"/>
      <c r="S474" s="391" t="s">
        <v>29</v>
      </c>
    </row>
    <row r="475" spans="14:19" ht="11.25" customHeight="1" x14ac:dyDescent="0.35">
      <c r="N475" s="367" t="s">
        <v>5459</v>
      </c>
      <c r="O475" s="368">
        <v>324662</v>
      </c>
      <c r="P475" s="368" t="str">
        <f t="shared" si="7"/>
        <v>2014Y</v>
      </c>
      <c r="Q475" s="369" t="str">
        <f>[1]!SNLLabel(287,324662,,"&lt;&gt;370","Options:Curr=Reported currency,Mag=MIstandard,ConvMethod=MIrecommended")</f>
        <v>AR: Individual and Group Annuities</v>
      </c>
      <c r="R475" s="370"/>
      <c r="S475" s="371" t="s">
        <v>29</v>
      </c>
    </row>
    <row r="476" spans="14:19" ht="11.25" customHeight="1" x14ac:dyDescent="0.35">
      <c r="N476" s="384" t="s">
        <v>5459</v>
      </c>
      <c r="O476" s="385">
        <v>324662</v>
      </c>
      <c r="P476" s="385" t="str">
        <f t="shared" ref="P476:P486" si="8">LEFT(Period,4)-1&amp;"Y"</f>
        <v>2013Y</v>
      </c>
      <c r="Q476" s="386" t="str">
        <f>[1]!SNLLabel(287,324662,,"&lt;&gt;360","Options:Curr=Reported currency,Mag=MIstandard,ConvMethod=MIrecommended")</f>
        <v>AR: Analysis of Operations All Lines</v>
      </c>
      <c r="R476" s="365"/>
      <c r="S476" s="387" t="s">
        <v>29</v>
      </c>
    </row>
    <row r="477" spans="14:19" ht="11.25" customHeight="1" x14ac:dyDescent="0.35">
      <c r="N477" s="388" t="s">
        <v>5459</v>
      </c>
      <c r="O477" s="389">
        <v>324662</v>
      </c>
      <c r="P477" s="389" t="str">
        <f t="shared" si="8"/>
        <v>2013Y</v>
      </c>
      <c r="Q477" s="390" t="str">
        <f>[1]!SNLLabel(287,324662,,"&lt;&gt;361","Options:Curr=Reported currency,Mag=MIstandard,ConvMethod=MIrecommended")</f>
        <v>AR: Individual Life</v>
      </c>
      <c r="R477" s="366"/>
      <c r="S477" s="391" t="s">
        <v>29</v>
      </c>
    </row>
    <row r="478" spans="14:19" ht="11.25" customHeight="1" x14ac:dyDescent="0.35">
      <c r="N478" s="388" t="s">
        <v>5459</v>
      </c>
      <c r="O478" s="389">
        <v>324662</v>
      </c>
      <c r="P478" s="389" t="str">
        <f t="shared" si="8"/>
        <v>2013Y</v>
      </c>
      <c r="Q478" s="390" t="str">
        <f>[1]!SNLLabel(287,324662,,"&lt;&gt;362","Options:Curr=Reported currency,Mag=MIstandard,ConvMethod=MIrecommended")</f>
        <v>AR: Group Life</v>
      </c>
      <c r="R478" s="366"/>
      <c r="S478" s="391" t="s">
        <v>29</v>
      </c>
    </row>
    <row r="479" spans="14:19" ht="11.25" customHeight="1" x14ac:dyDescent="0.35">
      <c r="N479" s="388" t="s">
        <v>5459</v>
      </c>
      <c r="O479" s="389">
        <v>324662</v>
      </c>
      <c r="P479" s="389" t="str">
        <f t="shared" si="8"/>
        <v>2013Y</v>
      </c>
      <c r="Q479" s="390" t="str">
        <f>[1]!SNLLabel(287,324662,,"&lt;&gt;363","Options:Curr=Reported currency,Mag=MIstandard,ConvMethod=MIrecommended")</f>
        <v>AR: Individual Annuities</v>
      </c>
      <c r="R479" s="366"/>
      <c r="S479" s="391" t="s">
        <v>29</v>
      </c>
    </row>
    <row r="480" spans="14:19" ht="11.25" customHeight="1" x14ac:dyDescent="0.35">
      <c r="N480" s="388" t="s">
        <v>5459</v>
      </c>
      <c r="O480" s="389">
        <v>324662</v>
      </c>
      <c r="P480" s="389" t="str">
        <f t="shared" si="8"/>
        <v>2013Y</v>
      </c>
      <c r="Q480" s="390" t="str">
        <f>[1]!SNLLabel(287,324662,,"&lt;&gt;364","Options:Curr=Reported currency,Mag=MIstandard,ConvMethod=MIrecommended")</f>
        <v>AR: Group Annuities</v>
      </c>
      <c r="R480" s="366"/>
      <c r="S480" s="391" t="s">
        <v>29</v>
      </c>
    </row>
    <row r="481" spans="14:19" ht="11.25" customHeight="1" x14ac:dyDescent="0.35">
      <c r="N481" s="388" t="s">
        <v>5459</v>
      </c>
      <c r="O481" s="389">
        <v>324662</v>
      </c>
      <c r="P481" s="389" t="str">
        <f t="shared" si="8"/>
        <v>2013Y</v>
      </c>
      <c r="Q481" s="390" t="str">
        <f>[1]!SNLLabel(287,324662,,"&lt;&gt;365","Options:Curr=Reported currency,Mag=MIstandard,ConvMethod=MIrecommended")</f>
        <v>AR: Accident and Health</v>
      </c>
      <c r="R481" s="366"/>
      <c r="S481" s="391" t="s">
        <v>29</v>
      </c>
    </row>
    <row r="482" spans="14:19" ht="11.25" customHeight="1" x14ac:dyDescent="0.35">
      <c r="N482" s="388" t="s">
        <v>5459</v>
      </c>
      <c r="O482" s="389">
        <v>324662</v>
      </c>
      <c r="P482" s="389" t="str">
        <f t="shared" si="8"/>
        <v>2013Y</v>
      </c>
      <c r="Q482" s="390" t="str">
        <f>[1]!SNLLabel(287,324662,,"&lt;&gt;366","Options:Curr=Reported currency,Mag=MIstandard,ConvMethod=MIrecommended")</f>
        <v>AR: Fraternal</v>
      </c>
      <c r="R482" s="366"/>
      <c r="S482" s="391" t="s">
        <v>29</v>
      </c>
    </row>
    <row r="483" spans="14:19" ht="11.25" customHeight="1" x14ac:dyDescent="0.35">
      <c r="N483" s="388" t="s">
        <v>5459</v>
      </c>
      <c r="O483" s="389">
        <v>324662</v>
      </c>
      <c r="P483" s="389" t="str">
        <f t="shared" si="8"/>
        <v>2013Y</v>
      </c>
      <c r="Q483" s="390" t="str">
        <f>[1]!SNLLabel(287,324662,,"&lt;&gt;367","Options:Curr=Reported currency,Mag=MIstandard,ConvMethod=MIrecommended")</f>
        <v>AR: Other Lines of Business</v>
      </c>
      <c r="R483" s="366"/>
      <c r="S483" s="391" t="s">
        <v>29</v>
      </c>
    </row>
    <row r="484" spans="14:19" ht="11.25" customHeight="1" x14ac:dyDescent="0.35">
      <c r="N484" s="388" t="s">
        <v>5459</v>
      </c>
      <c r="O484" s="389">
        <v>324662</v>
      </c>
      <c r="P484" s="389" t="str">
        <f t="shared" si="8"/>
        <v>2013Y</v>
      </c>
      <c r="Q484" s="390" t="str">
        <f>[1]!SNLLabel(287,324662,,"&lt;&gt;368","Options:Curr=Reported currency,Mag=MIstandard,ConvMethod=MIrecommended")</f>
        <v>AR: YRT Mortality Risk Only</v>
      </c>
      <c r="R484" s="366"/>
      <c r="S484" s="391" t="s">
        <v>29</v>
      </c>
    </row>
    <row r="485" spans="14:19" ht="11.25" customHeight="1" x14ac:dyDescent="0.35">
      <c r="N485" s="388" t="s">
        <v>5459</v>
      </c>
      <c r="O485" s="389">
        <v>324662</v>
      </c>
      <c r="P485" s="389" t="str">
        <f t="shared" si="8"/>
        <v>2013Y</v>
      </c>
      <c r="Q485" s="390" t="str">
        <f>[1]!SNLLabel(287,324662,,"&lt;&gt;369","Options:Curr=Reported currency,Mag=MIstandard,ConvMethod=MIrecommended")</f>
        <v>AR: Individual and Group Life</v>
      </c>
      <c r="R485" s="366"/>
      <c r="S485" s="391" t="s">
        <v>29</v>
      </c>
    </row>
    <row r="486" spans="14:19" ht="11.25" customHeight="1" x14ac:dyDescent="0.35">
      <c r="N486" s="367" t="s">
        <v>5459</v>
      </c>
      <c r="O486" s="368">
        <v>324662</v>
      </c>
      <c r="P486" s="368" t="str">
        <f t="shared" si="8"/>
        <v>2013Y</v>
      </c>
      <c r="Q486" s="369" t="str">
        <f>[1]!SNLLabel(287,324662,,"&lt;&gt;370","Options:Curr=Reported currency,Mag=MIstandard,ConvMethod=MIrecommended")</f>
        <v>AR: Individual and Group Annuities</v>
      </c>
      <c r="R486" s="370"/>
      <c r="S486" s="371" t="s">
        <v>29</v>
      </c>
    </row>
    <row r="487" spans="14:19" ht="11.25" customHeight="1" x14ac:dyDescent="0.35">
      <c r="N487" s="384" t="s">
        <v>5459</v>
      </c>
      <c r="O487" s="385">
        <v>324662</v>
      </c>
      <c r="P487" s="385" t="str">
        <f t="shared" ref="P487:P497" si="9">LEFT(Period,4)-2&amp;"Y"</f>
        <v>2012Y</v>
      </c>
      <c r="Q487" s="386" t="str">
        <f>[1]!SNLLabel(287,324662,,"&lt;&gt;360","Options:Curr=Reported currency,Mag=MIstandard,ConvMethod=MIrecommended")</f>
        <v>AR: Analysis of Operations All Lines</v>
      </c>
      <c r="R487" s="365"/>
      <c r="S487" s="387" t="s">
        <v>29</v>
      </c>
    </row>
    <row r="488" spans="14:19" ht="11.25" customHeight="1" x14ac:dyDescent="0.35">
      <c r="N488" s="388" t="s">
        <v>5459</v>
      </c>
      <c r="O488" s="389">
        <v>324662</v>
      </c>
      <c r="P488" s="389" t="str">
        <f t="shared" si="9"/>
        <v>2012Y</v>
      </c>
      <c r="Q488" s="390" t="str">
        <f>[1]!SNLLabel(287,324662,,"&lt;&gt;361","Options:Curr=Reported currency,Mag=MIstandard,ConvMethod=MIrecommended")</f>
        <v>AR: Individual Life</v>
      </c>
      <c r="R488" s="366"/>
      <c r="S488" s="391" t="s">
        <v>29</v>
      </c>
    </row>
    <row r="489" spans="14:19" ht="11.25" customHeight="1" x14ac:dyDescent="0.35">
      <c r="N489" s="388" t="s">
        <v>5459</v>
      </c>
      <c r="O489" s="389">
        <v>324662</v>
      </c>
      <c r="P489" s="389" t="str">
        <f t="shared" si="9"/>
        <v>2012Y</v>
      </c>
      <c r="Q489" s="390" t="str">
        <f>[1]!SNLLabel(287,324662,,"&lt;&gt;362","Options:Curr=Reported currency,Mag=MIstandard,ConvMethod=MIrecommended")</f>
        <v>AR: Group Life</v>
      </c>
      <c r="R489" s="366"/>
      <c r="S489" s="391" t="s">
        <v>29</v>
      </c>
    </row>
    <row r="490" spans="14:19" ht="11.25" customHeight="1" x14ac:dyDescent="0.35">
      <c r="N490" s="388" t="s">
        <v>5459</v>
      </c>
      <c r="O490" s="389">
        <v>324662</v>
      </c>
      <c r="P490" s="389" t="str">
        <f t="shared" si="9"/>
        <v>2012Y</v>
      </c>
      <c r="Q490" s="390" t="str">
        <f>[1]!SNLLabel(287,324662,,"&lt;&gt;363","Options:Curr=Reported currency,Mag=MIstandard,ConvMethod=MIrecommended")</f>
        <v>AR: Individual Annuities</v>
      </c>
      <c r="R490" s="366"/>
      <c r="S490" s="391" t="s">
        <v>29</v>
      </c>
    </row>
    <row r="491" spans="14:19" ht="11.25" customHeight="1" x14ac:dyDescent="0.35">
      <c r="N491" s="388" t="s">
        <v>5459</v>
      </c>
      <c r="O491" s="389">
        <v>324662</v>
      </c>
      <c r="P491" s="389" t="str">
        <f t="shared" si="9"/>
        <v>2012Y</v>
      </c>
      <c r="Q491" s="390" t="str">
        <f>[1]!SNLLabel(287,324662,,"&lt;&gt;364","Options:Curr=Reported currency,Mag=MIstandard,ConvMethod=MIrecommended")</f>
        <v>AR: Group Annuities</v>
      </c>
      <c r="R491" s="366"/>
      <c r="S491" s="391" t="s">
        <v>29</v>
      </c>
    </row>
    <row r="492" spans="14:19" ht="11.25" customHeight="1" x14ac:dyDescent="0.35">
      <c r="N492" s="388" t="s">
        <v>5459</v>
      </c>
      <c r="O492" s="389">
        <v>324662</v>
      </c>
      <c r="P492" s="389" t="str">
        <f t="shared" si="9"/>
        <v>2012Y</v>
      </c>
      <c r="Q492" s="390" t="str">
        <f>[1]!SNLLabel(287,324662,,"&lt;&gt;365","Options:Curr=Reported currency,Mag=MIstandard,ConvMethod=MIrecommended")</f>
        <v>AR: Accident and Health</v>
      </c>
      <c r="R492" s="366"/>
      <c r="S492" s="391" t="s">
        <v>29</v>
      </c>
    </row>
    <row r="493" spans="14:19" ht="11.25" customHeight="1" x14ac:dyDescent="0.35">
      <c r="N493" s="388" t="s">
        <v>5459</v>
      </c>
      <c r="O493" s="389">
        <v>324662</v>
      </c>
      <c r="P493" s="389" t="str">
        <f t="shared" si="9"/>
        <v>2012Y</v>
      </c>
      <c r="Q493" s="390" t="str">
        <f>[1]!SNLLabel(287,324662,,"&lt;&gt;366","Options:Curr=Reported currency,Mag=MIstandard,ConvMethod=MIrecommended")</f>
        <v>AR: Fraternal</v>
      </c>
      <c r="R493" s="366"/>
      <c r="S493" s="391" t="s">
        <v>29</v>
      </c>
    </row>
    <row r="494" spans="14:19" ht="11.25" customHeight="1" x14ac:dyDescent="0.35">
      <c r="N494" s="388" t="s">
        <v>5459</v>
      </c>
      <c r="O494" s="389">
        <v>324662</v>
      </c>
      <c r="P494" s="389" t="str">
        <f t="shared" si="9"/>
        <v>2012Y</v>
      </c>
      <c r="Q494" s="390" t="str">
        <f>[1]!SNLLabel(287,324662,,"&lt;&gt;367","Options:Curr=Reported currency,Mag=MIstandard,ConvMethod=MIrecommended")</f>
        <v>AR: Other Lines of Business</v>
      </c>
      <c r="R494" s="366"/>
      <c r="S494" s="391" t="s">
        <v>29</v>
      </c>
    </row>
    <row r="495" spans="14:19" ht="11.25" customHeight="1" x14ac:dyDescent="0.35">
      <c r="N495" s="388" t="s">
        <v>5459</v>
      </c>
      <c r="O495" s="389">
        <v>324662</v>
      </c>
      <c r="P495" s="389" t="str">
        <f t="shared" si="9"/>
        <v>2012Y</v>
      </c>
      <c r="Q495" s="390" t="str">
        <f>[1]!SNLLabel(287,324662,,"&lt;&gt;368","Options:Curr=Reported currency,Mag=MIstandard,ConvMethod=MIrecommended")</f>
        <v>AR: YRT Mortality Risk Only</v>
      </c>
      <c r="R495" s="366"/>
      <c r="S495" s="391" t="s">
        <v>29</v>
      </c>
    </row>
    <row r="496" spans="14:19" ht="11.25" customHeight="1" x14ac:dyDescent="0.35">
      <c r="N496" s="388" t="s">
        <v>5459</v>
      </c>
      <c r="O496" s="389">
        <v>324662</v>
      </c>
      <c r="P496" s="389" t="str">
        <f t="shared" si="9"/>
        <v>2012Y</v>
      </c>
      <c r="Q496" s="390" t="str">
        <f>[1]!SNLLabel(287,324662,,"&lt;&gt;369","Options:Curr=Reported currency,Mag=MIstandard,ConvMethod=MIrecommended")</f>
        <v>AR: Individual and Group Life</v>
      </c>
      <c r="R496" s="366"/>
      <c r="S496" s="391" t="s">
        <v>29</v>
      </c>
    </row>
    <row r="497" spans="14:19" ht="11.25" customHeight="1" x14ac:dyDescent="0.35">
      <c r="N497" s="367" t="s">
        <v>5459</v>
      </c>
      <c r="O497" s="368">
        <v>324662</v>
      </c>
      <c r="P497" s="368" t="str">
        <f t="shared" si="9"/>
        <v>2012Y</v>
      </c>
      <c r="Q497" s="369" t="str">
        <f>[1]!SNLLabel(287,324662,,"&lt;&gt;370","Options:Curr=Reported currency,Mag=MIstandard,ConvMethod=MIrecommended")</f>
        <v>AR: Individual and Group Annuities</v>
      </c>
      <c r="R497" s="370"/>
      <c r="S497" s="371" t="s">
        <v>29</v>
      </c>
    </row>
    <row r="498" spans="14:19" ht="11.25" customHeight="1" x14ac:dyDescent="0.35">
      <c r="N498" s="384" t="s">
        <v>5459</v>
      </c>
      <c r="O498" s="385">
        <v>324662</v>
      </c>
      <c r="P498" s="385" t="str">
        <f t="shared" ref="P498:P508" si="10">LEFT(Period,4)-3&amp;"Y"</f>
        <v>2011Y</v>
      </c>
      <c r="Q498" s="386" t="str">
        <f>[1]!SNLLabel(287,324662,,"&lt;&gt;360","Options:Curr=Reported currency,Mag=MIstandard,ConvMethod=MIrecommended")</f>
        <v>AR: Analysis of Operations All Lines</v>
      </c>
      <c r="R498" s="365"/>
      <c r="S498" s="387" t="s">
        <v>29</v>
      </c>
    </row>
    <row r="499" spans="14:19" ht="11.25" customHeight="1" x14ac:dyDescent="0.35">
      <c r="N499" s="388" t="s">
        <v>5459</v>
      </c>
      <c r="O499" s="389">
        <v>324662</v>
      </c>
      <c r="P499" s="389" t="str">
        <f t="shared" si="10"/>
        <v>2011Y</v>
      </c>
      <c r="Q499" s="390" t="str">
        <f>[1]!SNLLabel(287,324662,,"&lt;&gt;361","Options:Curr=Reported currency,Mag=MIstandard,ConvMethod=MIrecommended")</f>
        <v>AR: Individual Life</v>
      </c>
      <c r="R499" s="366"/>
      <c r="S499" s="391" t="s">
        <v>29</v>
      </c>
    </row>
    <row r="500" spans="14:19" ht="11.25" customHeight="1" x14ac:dyDescent="0.35">
      <c r="N500" s="388" t="s">
        <v>5459</v>
      </c>
      <c r="O500" s="389">
        <v>324662</v>
      </c>
      <c r="P500" s="389" t="str">
        <f t="shared" si="10"/>
        <v>2011Y</v>
      </c>
      <c r="Q500" s="390" t="str">
        <f>[1]!SNLLabel(287,324662,,"&lt;&gt;362","Options:Curr=Reported currency,Mag=MIstandard,ConvMethod=MIrecommended")</f>
        <v>AR: Group Life</v>
      </c>
      <c r="R500" s="366"/>
      <c r="S500" s="391" t="s">
        <v>29</v>
      </c>
    </row>
    <row r="501" spans="14:19" ht="11.25" customHeight="1" x14ac:dyDescent="0.35">
      <c r="N501" s="388" t="s">
        <v>5459</v>
      </c>
      <c r="O501" s="389">
        <v>324662</v>
      </c>
      <c r="P501" s="389" t="str">
        <f t="shared" si="10"/>
        <v>2011Y</v>
      </c>
      <c r="Q501" s="390" t="str">
        <f>[1]!SNLLabel(287,324662,,"&lt;&gt;363","Options:Curr=Reported currency,Mag=MIstandard,ConvMethod=MIrecommended")</f>
        <v>AR: Individual Annuities</v>
      </c>
      <c r="R501" s="366"/>
      <c r="S501" s="391" t="s">
        <v>29</v>
      </c>
    </row>
    <row r="502" spans="14:19" ht="11.25" customHeight="1" x14ac:dyDescent="0.35">
      <c r="N502" s="388" t="s">
        <v>5459</v>
      </c>
      <c r="O502" s="389">
        <v>324662</v>
      </c>
      <c r="P502" s="389" t="str">
        <f t="shared" si="10"/>
        <v>2011Y</v>
      </c>
      <c r="Q502" s="390" t="str">
        <f>[1]!SNLLabel(287,324662,,"&lt;&gt;364","Options:Curr=Reported currency,Mag=MIstandard,ConvMethod=MIrecommended")</f>
        <v>AR: Group Annuities</v>
      </c>
      <c r="R502" s="366"/>
      <c r="S502" s="391" t="s">
        <v>29</v>
      </c>
    </row>
    <row r="503" spans="14:19" ht="11.25" customHeight="1" x14ac:dyDescent="0.35">
      <c r="N503" s="388" t="s">
        <v>5459</v>
      </c>
      <c r="O503" s="389">
        <v>324662</v>
      </c>
      <c r="P503" s="389" t="str">
        <f t="shared" si="10"/>
        <v>2011Y</v>
      </c>
      <c r="Q503" s="390" t="str">
        <f>[1]!SNLLabel(287,324662,,"&lt;&gt;365","Options:Curr=Reported currency,Mag=MIstandard,ConvMethod=MIrecommended")</f>
        <v>AR: Accident and Health</v>
      </c>
      <c r="R503" s="366"/>
      <c r="S503" s="391" t="s">
        <v>29</v>
      </c>
    </row>
    <row r="504" spans="14:19" ht="11.25" customHeight="1" x14ac:dyDescent="0.35">
      <c r="N504" s="388" t="s">
        <v>5459</v>
      </c>
      <c r="O504" s="389">
        <v>324662</v>
      </c>
      <c r="P504" s="389" t="str">
        <f t="shared" si="10"/>
        <v>2011Y</v>
      </c>
      <c r="Q504" s="390" t="str">
        <f>[1]!SNLLabel(287,324662,,"&lt;&gt;366","Options:Curr=Reported currency,Mag=MIstandard,ConvMethod=MIrecommended")</f>
        <v>AR: Fraternal</v>
      </c>
      <c r="R504" s="366"/>
      <c r="S504" s="391" t="s">
        <v>29</v>
      </c>
    </row>
    <row r="505" spans="14:19" ht="11.25" customHeight="1" x14ac:dyDescent="0.35">
      <c r="N505" s="388" t="s">
        <v>5459</v>
      </c>
      <c r="O505" s="389">
        <v>324662</v>
      </c>
      <c r="P505" s="389" t="str">
        <f t="shared" si="10"/>
        <v>2011Y</v>
      </c>
      <c r="Q505" s="390" t="str">
        <f>[1]!SNLLabel(287,324662,,"&lt;&gt;367","Options:Curr=Reported currency,Mag=MIstandard,ConvMethod=MIrecommended")</f>
        <v>AR: Other Lines of Business</v>
      </c>
      <c r="R505" s="366"/>
      <c r="S505" s="391" t="s">
        <v>29</v>
      </c>
    </row>
    <row r="506" spans="14:19" ht="11.25" customHeight="1" x14ac:dyDescent="0.35">
      <c r="N506" s="388" t="s">
        <v>5459</v>
      </c>
      <c r="O506" s="389">
        <v>324662</v>
      </c>
      <c r="P506" s="389" t="str">
        <f t="shared" si="10"/>
        <v>2011Y</v>
      </c>
      <c r="Q506" s="390" t="str">
        <f>[1]!SNLLabel(287,324662,,"&lt;&gt;368","Options:Curr=Reported currency,Mag=MIstandard,ConvMethod=MIrecommended")</f>
        <v>AR: YRT Mortality Risk Only</v>
      </c>
      <c r="R506" s="366"/>
      <c r="S506" s="391" t="s">
        <v>29</v>
      </c>
    </row>
    <row r="507" spans="14:19" ht="11.25" customHeight="1" x14ac:dyDescent="0.35">
      <c r="N507" s="388" t="s">
        <v>5459</v>
      </c>
      <c r="O507" s="389">
        <v>324662</v>
      </c>
      <c r="P507" s="389" t="str">
        <f t="shared" si="10"/>
        <v>2011Y</v>
      </c>
      <c r="Q507" s="390" t="str">
        <f>[1]!SNLLabel(287,324662,,"&lt;&gt;369","Options:Curr=Reported currency,Mag=MIstandard,ConvMethod=MIrecommended")</f>
        <v>AR: Individual and Group Life</v>
      </c>
      <c r="R507" s="366"/>
      <c r="S507" s="391" t="s">
        <v>29</v>
      </c>
    </row>
    <row r="508" spans="14:19" ht="11.25" customHeight="1" x14ac:dyDescent="0.35">
      <c r="N508" s="367" t="s">
        <v>5459</v>
      </c>
      <c r="O508" s="368">
        <v>324662</v>
      </c>
      <c r="P508" s="368" t="str">
        <f t="shared" si="10"/>
        <v>2011Y</v>
      </c>
      <c r="Q508" s="369" t="str">
        <f>[1]!SNLLabel(287,324662,,"&lt;&gt;370","Options:Curr=Reported currency,Mag=MIstandard,ConvMethod=MIrecommended")</f>
        <v>AR: Individual and Group Annuities</v>
      </c>
      <c r="R508" s="370"/>
      <c r="S508" s="371" t="s">
        <v>29</v>
      </c>
    </row>
    <row r="509" spans="14:19" ht="11.25" customHeight="1" x14ac:dyDescent="0.35">
      <c r="N509" s="384" t="s">
        <v>5459</v>
      </c>
      <c r="O509" s="385">
        <v>324662</v>
      </c>
      <c r="P509" s="385" t="str">
        <f t="shared" ref="P509:P519" si="11">LEFT(Period,4)-4&amp;"Y"</f>
        <v>2010Y</v>
      </c>
      <c r="Q509" s="386" t="str">
        <f>[1]!SNLLabel(287,324662,,"&lt;&gt;360","Options:Curr=Reported currency,Mag=MIstandard,ConvMethod=MIrecommended")</f>
        <v>AR: Analysis of Operations All Lines</v>
      </c>
      <c r="R509" s="365"/>
      <c r="S509" s="387" t="s">
        <v>29</v>
      </c>
    </row>
    <row r="510" spans="14:19" ht="11.25" customHeight="1" x14ac:dyDescent="0.35">
      <c r="N510" s="388" t="s">
        <v>5459</v>
      </c>
      <c r="O510" s="389">
        <v>324662</v>
      </c>
      <c r="P510" s="389" t="str">
        <f t="shared" si="11"/>
        <v>2010Y</v>
      </c>
      <c r="Q510" s="390" t="str">
        <f>[1]!SNLLabel(287,324662,,"&lt;&gt;361","Options:Curr=Reported currency,Mag=MIstandard,ConvMethod=MIrecommended")</f>
        <v>AR: Individual Life</v>
      </c>
      <c r="R510" s="366"/>
      <c r="S510" s="391" t="s">
        <v>29</v>
      </c>
    </row>
    <row r="511" spans="14:19" ht="11.25" customHeight="1" x14ac:dyDescent="0.35">
      <c r="N511" s="388" t="s">
        <v>5459</v>
      </c>
      <c r="O511" s="389">
        <v>324662</v>
      </c>
      <c r="P511" s="389" t="str">
        <f t="shared" si="11"/>
        <v>2010Y</v>
      </c>
      <c r="Q511" s="390" t="str">
        <f>[1]!SNLLabel(287,324662,,"&lt;&gt;362","Options:Curr=Reported currency,Mag=MIstandard,ConvMethod=MIrecommended")</f>
        <v>AR: Group Life</v>
      </c>
      <c r="R511" s="366"/>
      <c r="S511" s="391" t="s">
        <v>29</v>
      </c>
    </row>
    <row r="512" spans="14:19" ht="11.25" customHeight="1" x14ac:dyDescent="0.35">
      <c r="N512" s="388" t="s">
        <v>5459</v>
      </c>
      <c r="O512" s="389">
        <v>324662</v>
      </c>
      <c r="P512" s="389" t="str">
        <f t="shared" si="11"/>
        <v>2010Y</v>
      </c>
      <c r="Q512" s="390" t="str">
        <f>[1]!SNLLabel(287,324662,,"&lt;&gt;363","Options:Curr=Reported currency,Mag=MIstandard,ConvMethod=MIrecommended")</f>
        <v>AR: Individual Annuities</v>
      </c>
      <c r="R512" s="366"/>
      <c r="S512" s="391" t="s">
        <v>29</v>
      </c>
    </row>
    <row r="513" spans="14:19" ht="11.25" customHeight="1" x14ac:dyDescent="0.35">
      <c r="N513" s="388" t="s">
        <v>5459</v>
      </c>
      <c r="O513" s="389">
        <v>324662</v>
      </c>
      <c r="P513" s="389" t="str">
        <f t="shared" si="11"/>
        <v>2010Y</v>
      </c>
      <c r="Q513" s="390" t="str">
        <f>[1]!SNLLabel(287,324662,,"&lt;&gt;364","Options:Curr=Reported currency,Mag=MIstandard,ConvMethod=MIrecommended")</f>
        <v>AR: Group Annuities</v>
      </c>
      <c r="R513" s="366"/>
      <c r="S513" s="391" t="s">
        <v>29</v>
      </c>
    </row>
    <row r="514" spans="14:19" ht="11.25" customHeight="1" x14ac:dyDescent="0.35">
      <c r="N514" s="388" t="s">
        <v>5459</v>
      </c>
      <c r="O514" s="389">
        <v>324662</v>
      </c>
      <c r="P514" s="389" t="str">
        <f t="shared" si="11"/>
        <v>2010Y</v>
      </c>
      <c r="Q514" s="390" t="str">
        <f>[1]!SNLLabel(287,324662,,"&lt;&gt;365","Options:Curr=Reported currency,Mag=MIstandard,ConvMethod=MIrecommended")</f>
        <v>AR: Accident and Health</v>
      </c>
      <c r="R514" s="366"/>
      <c r="S514" s="391" t="s">
        <v>29</v>
      </c>
    </row>
    <row r="515" spans="14:19" ht="11.25" customHeight="1" x14ac:dyDescent="0.35">
      <c r="N515" s="388" t="s">
        <v>5459</v>
      </c>
      <c r="O515" s="389">
        <v>324662</v>
      </c>
      <c r="P515" s="389" t="str">
        <f t="shared" si="11"/>
        <v>2010Y</v>
      </c>
      <c r="Q515" s="390" t="str">
        <f>[1]!SNLLabel(287,324662,,"&lt;&gt;366","Options:Curr=Reported currency,Mag=MIstandard,ConvMethod=MIrecommended")</f>
        <v>AR: Fraternal</v>
      </c>
      <c r="R515" s="366"/>
      <c r="S515" s="391" t="s">
        <v>29</v>
      </c>
    </row>
    <row r="516" spans="14:19" ht="11.25" customHeight="1" x14ac:dyDescent="0.35">
      <c r="N516" s="388" t="s">
        <v>5459</v>
      </c>
      <c r="O516" s="389">
        <v>324662</v>
      </c>
      <c r="P516" s="389" t="str">
        <f t="shared" si="11"/>
        <v>2010Y</v>
      </c>
      <c r="Q516" s="390" t="str">
        <f>[1]!SNLLabel(287,324662,,"&lt;&gt;367","Options:Curr=Reported currency,Mag=MIstandard,ConvMethod=MIrecommended")</f>
        <v>AR: Other Lines of Business</v>
      </c>
      <c r="R516" s="366"/>
      <c r="S516" s="391" t="s">
        <v>29</v>
      </c>
    </row>
    <row r="517" spans="14:19" ht="11.25" customHeight="1" x14ac:dyDescent="0.35">
      <c r="N517" s="388" t="s">
        <v>5459</v>
      </c>
      <c r="O517" s="389">
        <v>324662</v>
      </c>
      <c r="P517" s="389" t="str">
        <f t="shared" si="11"/>
        <v>2010Y</v>
      </c>
      <c r="Q517" s="390" t="str">
        <f>[1]!SNLLabel(287,324662,,"&lt;&gt;368","Options:Curr=Reported currency,Mag=MIstandard,ConvMethod=MIrecommended")</f>
        <v>AR: YRT Mortality Risk Only</v>
      </c>
      <c r="R517" s="366"/>
      <c r="S517" s="391" t="s">
        <v>29</v>
      </c>
    </row>
    <row r="518" spans="14:19" ht="11.25" customHeight="1" x14ac:dyDescent="0.35">
      <c r="N518" s="388" t="s">
        <v>5459</v>
      </c>
      <c r="O518" s="389">
        <v>324662</v>
      </c>
      <c r="P518" s="389" t="str">
        <f t="shared" si="11"/>
        <v>2010Y</v>
      </c>
      <c r="Q518" s="390" t="str">
        <f>[1]!SNLLabel(287,324662,,"&lt;&gt;369","Options:Curr=Reported currency,Mag=MIstandard,ConvMethod=MIrecommended")</f>
        <v>AR: Individual and Group Life</v>
      </c>
      <c r="R518" s="366"/>
      <c r="S518" s="391" t="s">
        <v>29</v>
      </c>
    </row>
    <row r="519" spans="14:19" ht="11.25" customHeight="1" x14ac:dyDescent="0.35">
      <c r="N519" s="367" t="s">
        <v>5459</v>
      </c>
      <c r="O519" s="368">
        <v>324662</v>
      </c>
      <c r="P519" s="368" t="str">
        <f t="shared" si="11"/>
        <v>2010Y</v>
      </c>
      <c r="Q519" s="369" t="str">
        <f>[1]!SNLLabel(287,324662,,"&lt;&gt;370","Options:Curr=Reported currency,Mag=MIstandard,ConvMethod=MIrecommended")</f>
        <v>AR: Individual and Group Annuities</v>
      </c>
      <c r="R519" s="370"/>
      <c r="S519" s="371" t="s">
        <v>29</v>
      </c>
    </row>
    <row r="520" spans="14:19" ht="11.25" customHeight="1" x14ac:dyDescent="0.35">
      <c r="N520" s="377"/>
      <c r="O520" s="378"/>
      <c r="P520" s="378"/>
      <c r="Q520" s="379"/>
      <c r="R520" s="375"/>
      <c r="S520" s="380"/>
    </row>
    <row r="521" spans="14:19" ht="11.25" customHeight="1" x14ac:dyDescent="0.35">
      <c r="N521" s="384" t="s">
        <v>5463</v>
      </c>
      <c r="O521" s="385" t="s">
        <v>5374</v>
      </c>
      <c r="P521" s="385" t="str">
        <f t="shared" ref="P521:P531" si="12">Period</f>
        <v>2014Y</v>
      </c>
      <c r="Q521" s="386" t="str">
        <f>[1]!SNLLabel(287,324672,,"&lt;&gt;360")</f>
        <v>AR: Analysis of Operations All Lines</v>
      </c>
      <c r="R521" s="365"/>
      <c r="S521" s="387" t="s">
        <v>29</v>
      </c>
    </row>
    <row r="522" spans="14:19" ht="11.25" customHeight="1" x14ac:dyDescent="0.35">
      <c r="N522" s="388" t="s">
        <v>5463</v>
      </c>
      <c r="O522" s="389" t="s">
        <v>5374</v>
      </c>
      <c r="P522" s="389" t="str">
        <f t="shared" si="12"/>
        <v>2014Y</v>
      </c>
      <c r="Q522" s="390" t="str">
        <f>[1]!SNLLabel(287,324672,,"&lt;&gt;361")</f>
        <v>AR: Individual Life</v>
      </c>
      <c r="R522" s="366"/>
      <c r="S522" s="391" t="s">
        <v>29</v>
      </c>
    </row>
    <row r="523" spans="14:19" ht="11.25" customHeight="1" x14ac:dyDescent="0.35">
      <c r="N523" s="388" t="s">
        <v>5463</v>
      </c>
      <c r="O523" s="389" t="s">
        <v>5374</v>
      </c>
      <c r="P523" s="389" t="str">
        <f t="shared" si="12"/>
        <v>2014Y</v>
      </c>
      <c r="Q523" s="390" t="str">
        <f>[1]!SNLLabel(287,324672,,"&lt;&gt;362")</f>
        <v>AR: Group Life</v>
      </c>
      <c r="R523" s="366"/>
      <c r="S523" s="391" t="s">
        <v>29</v>
      </c>
    </row>
    <row r="524" spans="14:19" ht="11.25" customHeight="1" x14ac:dyDescent="0.35">
      <c r="N524" s="388" t="s">
        <v>5463</v>
      </c>
      <c r="O524" s="389" t="s">
        <v>5374</v>
      </c>
      <c r="P524" s="389" t="str">
        <f t="shared" si="12"/>
        <v>2014Y</v>
      </c>
      <c r="Q524" s="390" t="str">
        <f>[1]!SNLLabel(287,324672,,"&lt;&gt;363")</f>
        <v>AR: Individual Annuities</v>
      </c>
      <c r="R524" s="366"/>
      <c r="S524" s="391" t="s">
        <v>29</v>
      </c>
    </row>
    <row r="525" spans="14:19" ht="11.25" customHeight="1" x14ac:dyDescent="0.35">
      <c r="N525" s="388" t="s">
        <v>5463</v>
      </c>
      <c r="O525" s="389" t="s">
        <v>5374</v>
      </c>
      <c r="P525" s="389" t="str">
        <f t="shared" si="12"/>
        <v>2014Y</v>
      </c>
      <c r="Q525" s="390" t="str">
        <f>[1]!SNLLabel(287,324672,,"&lt;&gt;364")</f>
        <v>AR: Group Annuities</v>
      </c>
      <c r="R525" s="366"/>
      <c r="S525" s="391" t="s">
        <v>29</v>
      </c>
    </row>
    <row r="526" spans="14:19" ht="11.25" customHeight="1" x14ac:dyDescent="0.35">
      <c r="N526" s="388" t="s">
        <v>5463</v>
      </c>
      <c r="O526" s="389" t="s">
        <v>5374</v>
      </c>
      <c r="P526" s="389" t="str">
        <f t="shared" si="12"/>
        <v>2014Y</v>
      </c>
      <c r="Q526" s="390" t="str">
        <f>[1]!SNLLabel(287,324672,,"&lt;&gt;365")</f>
        <v>AR: Accident and Health</v>
      </c>
      <c r="R526" s="366"/>
      <c r="S526" s="391" t="s">
        <v>29</v>
      </c>
    </row>
    <row r="527" spans="14:19" ht="11.25" customHeight="1" x14ac:dyDescent="0.35">
      <c r="N527" s="388" t="s">
        <v>5463</v>
      </c>
      <c r="O527" s="389" t="s">
        <v>5374</v>
      </c>
      <c r="P527" s="389" t="str">
        <f t="shared" si="12"/>
        <v>2014Y</v>
      </c>
      <c r="Q527" s="390" t="str">
        <f>[1]!SNLLabel(287,324672,,"&lt;&gt;366")</f>
        <v>AR: Fraternal</v>
      </c>
      <c r="R527" s="366"/>
      <c r="S527" s="391" t="s">
        <v>29</v>
      </c>
    </row>
    <row r="528" spans="14:19" ht="11.25" customHeight="1" x14ac:dyDescent="0.35">
      <c r="N528" s="388" t="s">
        <v>5463</v>
      </c>
      <c r="O528" s="389" t="s">
        <v>5374</v>
      </c>
      <c r="P528" s="389" t="str">
        <f t="shared" si="12"/>
        <v>2014Y</v>
      </c>
      <c r="Q528" s="390" t="str">
        <f>[1]!SNLLabel(287,324672,,"&lt;&gt;367")</f>
        <v>AR: Other Lines of Business</v>
      </c>
      <c r="R528" s="366"/>
      <c r="S528" s="391" t="s">
        <v>29</v>
      </c>
    </row>
    <row r="529" spans="14:19" ht="11.25" customHeight="1" x14ac:dyDescent="0.35">
      <c r="N529" s="388" t="s">
        <v>5463</v>
      </c>
      <c r="O529" s="389" t="s">
        <v>5374</v>
      </c>
      <c r="P529" s="389" t="str">
        <f t="shared" si="12"/>
        <v>2014Y</v>
      </c>
      <c r="Q529" s="390" t="str">
        <f>[1]!SNLLabel(287,324672,,"&lt;&gt;368")</f>
        <v>AR: YRT Mortality Risk Only</v>
      </c>
      <c r="R529" s="366"/>
      <c r="S529" s="391" t="s">
        <v>29</v>
      </c>
    </row>
    <row r="530" spans="14:19" ht="11.25" customHeight="1" x14ac:dyDescent="0.35">
      <c r="N530" s="388" t="s">
        <v>5463</v>
      </c>
      <c r="O530" s="389" t="s">
        <v>5374</v>
      </c>
      <c r="P530" s="389" t="str">
        <f t="shared" si="12"/>
        <v>2014Y</v>
      </c>
      <c r="Q530" s="390" t="str">
        <f>[1]!SNLLabel(287,324672,,"&lt;&gt;369")</f>
        <v>AR: Individual and Group Life</v>
      </c>
      <c r="R530" s="366"/>
      <c r="S530" s="391" t="s">
        <v>29</v>
      </c>
    </row>
    <row r="531" spans="14:19" ht="11.25" customHeight="1" x14ac:dyDescent="0.35">
      <c r="N531" s="367" t="s">
        <v>5463</v>
      </c>
      <c r="O531" s="368" t="s">
        <v>5374</v>
      </c>
      <c r="P531" s="368" t="str">
        <f t="shared" si="12"/>
        <v>2014Y</v>
      </c>
      <c r="Q531" s="369" t="str">
        <f>[1]!SNLLabel(287,324672,,"&lt;&gt;370")</f>
        <v>AR: Individual and Group Annuities</v>
      </c>
      <c r="R531" s="370"/>
      <c r="S531" s="371" t="s">
        <v>29</v>
      </c>
    </row>
    <row r="532" spans="14:19" ht="11.25" customHeight="1" x14ac:dyDescent="0.35">
      <c r="N532" s="384" t="s">
        <v>5463</v>
      </c>
      <c r="O532" s="385" t="s">
        <v>5374</v>
      </c>
      <c r="P532" s="385" t="str">
        <f t="shared" ref="P532:P542" si="13">LEFT(Period,4)-1&amp;"Y"</f>
        <v>2013Y</v>
      </c>
      <c r="Q532" s="386" t="str">
        <f>[1]!SNLLabel(287,324672,,"&lt;&gt;360")</f>
        <v>AR: Analysis of Operations All Lines</v>
      </c>
      <c r="R532" s="365"/>
      <c r="S532" s="387" t="s">
        <v>29</v>
      </c>
    </row>
    <row r="533" spans="14:19" ht="11.25" customHeight="1" x14ac:dyDescent="0.35">
      <c r="N533" s="388" t="s">
        <v>5463</v>
      </c>
      <c r="O533" s="389" t="s">
        <v>5374</v>
      </c>
      <c r="P533" s="389" t="str">
        <f t="shared" si="13"/>
        <v>2013Y</v>
      </c>
      <c r="Q533" s="390" t="str">
        <f>[1]!SNLLabel(287,324672,,"&lt;&gt;361")</f>
        <v>AR: Individual Life</v>
      </c>
      <c r="R533" s="366"/>
      <c r="S533" s="391" t="s">
        <v>29</v>
      </c>
    </row>
    <row r="534" spans="14:19" ht="11.25" customHeight="1" x14ac:dyDescent="0.35">
      <c r="N534" s="388" t="s">
        <v>5463</v>
      </c>
      <c r="O534" s="389" t="s">
        <v>5374</v>
      </c>
      <c r="P534" s="389" t="str">
        <f t="shared" si="13"/>
        <v>2013Y</v>
      </c>
      <c r="Q534" s="390" t="str">
        <f>[1]!SNLLabel(287,324672,,"&lt;&gt;362")</f>
        <v>AR: Group Life</v>
      </c>
      <c r="R534" s="366"/>
      <c r="S534" s="391" t="s">
        <v>29</v>
      </c>
    </row>
    <row r="535" spans="14:19" ht="11.25" customHeight="1" x14ac:dyDescent="0.35">
      <c r="N535" s="388" t="s">
        <v>5463</v>
      </c>
      <c r="O535" s="389" t="s">
        <v>5374</v>
      </c>
      <c r="P535" s="389" t="str">
        <f t="shared" si="13"/>
        <v>2013Y</v>
      </c>
      <c r="Q535" s="390" t="str">
        <f>[1]!SNLLabel(287,324672,,"&lt;&gt;363")</f>
        <v>AR: Individual Annuities</v>
      </c>
      <c r="R535" s="366"/>
      <c r="S535" s="391" t="s">
        <v>29</v>
      </c>
    </row>
    <row r="536" spans="14:19" ht="11.25" customHeight="1" x14ac:dyDescent="0.35">
      <c r="N536" s="388" t="s">
        <v>5463</v>
      </c>
      <c r="O536" s="389" t="s">
        <v>5374</v>
      </c>
      <c r="P536" s="389" t="str">
        <f t="shared" si="13"/>
        <v>2013Y</v>
      </c>
      <c r="Q536" s="390" t="str">
        <f>[1]!SNLLabel(287,324672,,"&lt;&gt;364")</f>
        <v>AR: Group Annuities</v>
      </c>
      <c r="R536" s="366"/>
      <c r="S536" s="391" t="s">
        <v>29</v>
      </c>
    </row>
    <row r="537" spans="14:19" ht="11.25" customHeight="1" x14ac:dyDescent="0.35">
      <c r="N537" s="388" t="s">
        <v>5463</v>
      </c>
      <c r="O537" s="389" t="s">
        <v>5374</v>
      </c>
      <c r="P537" s="389" t="str">
        <f t="shared" si="13"/>
        <v>2013Y</v>
      </c>
      <c r="Q537" s="390" t="str">
        <f>[1]!SNLLabel(287,324672,,"&lt;&gt;365")</f>
        <v>AR: Accident and Health</v>
      </c>
      <c r="R537" s="366"/>
      <c r="S537" s="391" t="s">
        <v>29</v>
      </c>
    </row>
    <row r="538" spans="14:19" ht="11.25" customHeight="1" x14ac:dyDescent="0.35">
      <c r="N538" s="388" t="s">
        <v>5463</v>
      </c>
      <c r="O538" s="389" t="s">
        <v>5374</v>
      </c>
      <c r="P538" s="389" t="str">
        <f t="shared" si="13"/>
        <v>2013Y</v>
      </c>
      <c r="Q538" s="390" t="str">
        <f>[1]!SNLLabel(287,324672,,"&lt;&gt;366")</f>
        <v>AR: Fraternal</v>
      </c>
      <c r="R538" s="366"/>
      <c r="S538" s="391" t="s">
        <v>29</v>
      </c>
    </row>
    <row r="539" spans="14:19" ht="11.25" customHeight="1" x14ac:dyDescent="0.35">
      <c r="N539" s="388" t="s">
        <v>5463</v>
      </c>
      <c r="O539" s="389" t="s">
        <v>5374</v>
      </c>
      <c r="P539" s="389" t="str">
        <f t="shared" si="13"/>
        <v>2013Y</v>
      </c>
      <c r="Q539" s="390" t="str">
        <f>[1]!SNLLabel(287,324672,,"&lt;&gt;367")</f>
        <v>AR: Other Lines of Business</v>
      </c>
      <c r="R539" s="366"/>
      <c r="S539" s="391" t="s">
        <v>29</v>
      </c>
    </row>
    <row r="540" spans="14:19" ht="11.25" customHeight="1" x14ac:dyDescent="0.35">
      <c r="N540" s="388" t="s">
        <v>5463</v>
      </c>
      <c r="O540" s="389" t="s">
        <v>5374</v>
      </c>
      <c r="P540" s="389" t="str">
        <f t="shared" si="13"/>
        <v>2013Y</v>
      </c>
      <c r="Q540" s="390" t="str">
        <f>[1]!SNLLabel(287,324672,,"&lt;&gt;368")</f>
        <v>AR: YRT Mortality Risk Only</v>
      </c>
      <c r="R540" s="366"/>
      <c r="S540" s="391" t="s">
        <v>29</v>
      </c>
    </row>
    <row r="541" spans="14:19" ht="11.25" customHeight="1" x14ac:dyDescent="0.35">
      <c r="N541" s="388" t="s">
        <v>5463</v>
      </c>
      <c r="O541" s="389" t="s">
        <v>5374</v>
      </c>
      <c r="P541" s="389" t="str">
        <f t="shared" si="13"/>
        <v>2013Y</v>
      </c>
      <c r="Q541" s="390" t="str">
        <f>[1]!SNLLabel(287,324672,,"&lt;&gt;369")</f>
        <v>AR: Individual and Group Life</v>
      </c>
      <c r="R541" s="366"/>
      <c r="S541" s="391" t="s">
        <v>29</v>
      </c>
    </row>
    <row r="542" spans="14:19" ht="11.25" customHeight="1" x14ac:dyDescent="0.35">
      <c r="N542" s="367" t="s">
        <v>5463</v>
      </c>
      <c r="O542" s="368" t="s">
        <v>5374</v>
      </c>
      <c r="P542" s="368" t="str">
        <f t="shared" si="13"/>
        <v>2013Y</v>
      </c>
      <c r="Q542" s="369" t="str">
        <f>[1]!SNLLabel(287,324672,,"&lt;&gt;370")</f>
        <v>AR: Individual and Group Annuities</v>
      </c>
      <c r="R542" s="370"/>
      <c r="S542" s="371" t="s">
        <v>29</v>
      </c>
    </row>
    <row r="543" spans="14:19" ht="11.25" customHeight="1" x14ac:dyDescent="0.35">
      <c r="N543" s="384" t="s">
        <v>5463</v>
      </c>
      <c r="O543" s="385" t="s">
        <v>5374</v>
      </c>
      <c r="P543" s="385" t="str">
        <f t="shared" ref="P543:P553" si="14">LEFT(Period,4)-2&amp;"Y"</f>
        <v>2012Y</v>
      </c>
      <c r="Q543" s="386" t="str">
        <f>[1]!SNLLabel(287,324672,,"&lt;&gt;360")</f>
        <v>AR: Analysis of Operations All Lines</v>
      </c>
      <c r="R543" s="365"/>
      <c r="S543" s="387" t="s">
        <v>29</v>
      </c>
    </row>
    <row r="544" spans="14:19" ht="11.25" customHeight="1" x14ac:dyDescent="0.35">
      <c r="N544" s="388" t="s">
        <v>5463</v>
      </c>
      <c r="O544" s="389" t="s">
        <v>5374</v>
      </c>
      <c r="P544" s="389" t="str">
        <f t="shared" si="14"/>
        <v>2012Y</v>
      </c>
      <c r="Q544" s="390" t="str">
        <f>[1]!SNLLabel(287,324672,,"&lt;&gt;361")</f>
        <v>AR: Individual Life</v>
      </c>
      <c r="R544" s="366"/>
      <c r="S544" s="391" t="s">
        <v>29</v>
      </c>
    </row>
    <row r="545" spans="14:19" ht="11.25" customHeight="1" x14ac:dyDescent="0.35">
      <c r="N545" s="388" t="s">
        <v>5463</v>
      </c>
      <c r="O545" s="389" t="s">
        <v>5374</v>
      </c>
      <c r="P545" s="389" t="str">
        <f t="shared" si="14"/>
        <v>2012Y</v>
      </c>
      <c r="Q545" s="390" t="str">
        <f>[1]!SNLLabel(287,324672,,"&lt;&gt;362")</f>
        <v>AR: Group Life</v>
      </c>
      <c r="R545" s="366"/>
      <c r="S545" s="391" t="s">
        <v>29</v>
      </c>
    </row>
    <row r="546" spans="14:19" ht="11.25" customHeight="1" x14ac:dyDescent="0.35">
      <c r="N546" s="388" t="s">
        <v>5463</v>
      </c>
      <c r="O546" s="389" t="s">
        <v>5374</v>
      </c>
      <c r="P546" s="389" t="str">
        <f t="shared" si="14"/>
        <v>2012Y</v>
      </c>
      <c r="Q546" s="390" t="str">
        <f>[1]!SNLLabel(287,324672,,"&lt;&gt;363")</f>
        <v>AR: Individual Annuities</v>
      </c>
      <c r="R546" s="366"/>
      <c r="S546" s="391" t="s">
        <v>29</v>
      </c>
    </row>
    <row r="547" spans="14:19" ht="11.25" customHeight="1" x14ac:dyDescent="0.35">
      <c r="N547" s="388" t="s">
        <v>5463</v>
      </c>
      <c r="O547" s="389" t="s">
        <v>5374</v>
      </c>
      <c r="P547" s="389" t="str">
        <f t="shared" si="14"/>
        <v>2012Y</v>
      </c>
      <c r="Q547" s="390" t="str">
        <f>[1]!SNLLabel(287,324672,,"&lt;&gt;364")</f>
        <v>AR: Group Annuities</v>
      </c>
      <c r="R547" s="366"/>
      <c r="S547" s="391" t="s">
        <v>29</v>
      </c>
    </row>
    <row r="548" spans="14:19" ht="11.25" customHeight="1" x14ac:dyDescent="0.35">
      <c r="N548" s="388" t="s">
        <v>5463</v>
      </c>
      <c r="O548" s="389" t="s">
        <v>5374</v>
      </c>
      <c r="P548" s="389" t="str">
        <f t="shared" si="14"/>
        <v>2012Y</v>
      </c>
      <c r="Q548" s="390" t="str">
        <f>[1]!SNLLabel(287,324672,,"&lt;&gt;365")</f>
        <v>AR: Accident and Health</v>
      </c>
      <c r="R548" s="366"/>
      <c r="S548" s="391" t="s">
        <v>29</v>
      </c>
    </row>
    <row r="549" spans="14:19" ht="11.25" customHeight="1" x14ac:dyDescent="0.35">
      <c r="N549" s="388" t="s">
        <v>5463</v>
      </c>
      <c r="O549" s="389" t="s">
        <v>5374</v>
      </c>
      <c r="P549" s="389" t="str">
        <f t="shared" si="14"/>
        <v>2012Y</v>
      </c>
      <c r="Q549" s="390" t="str">
        <f>[1]!SNLLabel(287,324672,,"&lt;&gt;366")</f>
        <v>AR: Fraternal</v>
      </c>
      <c r="R549" s="366"/>
      <c r="S549" s="391" t="s">
        <v>29</v>
      </c>
    </row>
    <row r="550" spans="14:19" ht="11.25" customHeight="1" x14ac:dyDescent="0.35">
      <c r="N550" s="388" t="s">
        <v>5463</v>
      </c>
      <c r="O550" s="389" t="s">
        <v>5374</v>
      </c>
      <c r="P550" s="389" t="str">
        <f t="shared" si="14"/>
        <v>2012Y</v>
      </c>
      <c r="Q550" s="390" t="str">
        <f>[1]!SNLLabel(287,324672,,"&lt;&gt;367")</f>
        <v>AR: Other Lines of Business</v>
      </c>
      <c r="R550" s="366"/>
      <c r="S550" s="391" t="s">
        <v>29</v>
      </c>
    </row>
    <row r="551" spans="14:19" ht="11.25" customHeight="1" x14ac:dyDescent="0.35">
      <c r="N551" s="388" t="s">
        <v>5463</v>
      </c>
      <c r="O551" s="389" t="s">
        <v>5374</v>
      </c>
      <c r="P551" s="389" t="str">
        <f t="shared" si="14"/>
        <v>2012Y</v>
      </c>
      <c r="Q551" s="390" t="str">
        <f>[1]!SNLLabel(287,324672,,"&lt;&gt;368")</f>
        <v>AR: YRT Mortality Risk Only</v>
      </c>
      <c r="R551" s="366"/>
      <c r="S551" s="391" t="s">
        <v>29</v>
      </c>
    </row>
    <row r="552" spans="14:19" ht="11.25" customHeight="1" x14ac:dyDescent="0.35">
      <c r="N552" s="388" t="s">
        <v>5463</v>
      </c>
      <c r="O552" s="389" t="s">
        <v>5374</v>
      </c>
      <c r="P552" s="389" t="str">
        <f t="shared" si="14"/>
        <v>2012Y</v>
      </c>
      <c r="Q552" s="390" t="str">
        <f>[1]!SNLLabel(287,324672,,"&lt;&gt;369")</f>
        <v>AR: Individual and Group Life</v>
      </c>
      <c r="R552" s="366"/>
      <c r="S552" s="391" t="s">
        <v>29</v>
      </c>
    </row>
    <row r="553" spans="14:19" ht="11.25" customHeight="1" x14ac:dyDescent="0.35">
      <c r="N553" s="367" t="s">
        <v>5463</v>
      </c>
      <c r="O553" s="368" t="s">
        <v>5374</v>
      </c>
      <c r="P553" s="368" t="str">
        <f t="shared" si="14"/>
        <v>2012Y</v>
      </c>
      <c r="Q553" s="369" t="str">
        <f>[1]!SNLLabel(287,324672,,"&lt;&gt;370")</f>
        <v>AR: Individual and Group Annuities</v>
      </c>
      <c r="R553" s="370"/>
      <c r="S553" s="371" t="s">
        <v>29</v>
      </c>
    </row>
    <row r="554" spans="14:19" ht="11.25" customHeight="1" x14ac:dyDescent="0.35">
      <c r="N554" s="384" t="s">
        <v>5463</v>
      </c>
      <c r="O554" s="385" t="s">
        <v>5374</v>
      </c>
      <c r="P554" s="385" t="str">
        <f t="shared" ref="P554:P564" si="15">LEFT(Period,4)-3&amp;"Y"</f>
        <v>2011Y</v>
      </c>
      <c r="Q554" s="386" t="str">
        <f>[1]!SNLLabel(287,324672,,"&lt;&gt;360")</f>
        <v>AR: Analysis of Operations All Lines</v>
      </c>
      <c r="R554" s="365"/>
      <c r="S554" s="387" t="s">
        <v>29</v>
      </c>
    </row>
    <row r="555" spans="14:19" ht="11.25" customHeight="1" x14ac:dyDescent="0.35">
      <c r="N555" s="388" t="s">
        <v>5463</v>
      </c>
      <c r="O555" s="389" t="s">
        <v>5374</v>
      </c>
      <c r="P555" s="389" t="str">
        <f t="shared" si="15"/>
        <v>2011Y</v>
      </c>
      <c r="Q555" s="390" t="str">
        <f>[1]!SNLLabel(287,324672,,"&lt;&gt;361")</f>
        <v>AR: Individual Life</v>
      </c>
      <c r="R555" s="366"/>
      <c r="S555" s="391" t="s">
        <v>29</v>
      </c>
    </row>
    <row r="556" spans="14:19" ht="11.25" customHeight="1" x14ac:dyDescent="0.35">
      <c r="N556" s="388" t="s">
        <v>5463</v>
      </c>
      <c r="O556" s="389" t="s">
        <v>5374</v>
      </c>
      <c r="P556" s="389" t="str">
        <f t="shared" si="15"/>
        <v>2011Y</v>
      </c>
      <c r="Q556" s="390" t="str">
        <f>[1]!SNLLabel(287,324672,,"&lt;&gt;362")</f>
        <v>AR: Group Life</v>
      </c>
      <c r="R556" s="366"/>
      <c r="S556" s="391" t="s">
        <v>29</v>
      </c>
    </row>
    <row r="557" spans="14:19" ht="11.25" customHeight="1" x14ac:dyDescent="0.35">
      <c r="N557" s="388" t="s">
        <v>5463</v>
      </c>
      <c r="O557" s="389" t="s">
        <v>5374</v>
      </c>
      <c r="P557" s="389" t="str">
        <f t="shared" si="15"/>
        <v>2011Y</v>
      </c>
      <c r="Q557" s="390" t="str">
        <f>[1]!SNLLabel(287,324672,,"&lt;&gt;363")</f>
        <v>AR: Individual Annuities</v>
      </c>
      <c r="R557" s="366"/>
      <c r="S557" s="391" t="s">
        <v>29</v>
      </c>
    </row>
    <row r="558" spans="14:19" ht="11.25" customHeight="1" x14ac:dyDescent="0.35">
      <c r="N558" s="388" t="s">
        <v>5463</v>
      </c>
      <c r="O558" s="389" t="s">
        <v>5374</v>
      </c>
      <c r="P558" s="389" t="str">
        <f t="shared" si="15"/>
        <v>2011Y</v>
      </c>
      <c r="Q558" s="390" t="str">
        <f>[1]!SNLLabel(287,324672,,"&lt;&gt;364")</f>
        <v>AR: Group Annuities</v>
      </c>
      <c r="R558" s="366"/>
      <c r="S558" s="391" t="s">
        <v>29</v>
      </c>
    </row>
    <row r="559" spans="14:19" ht="11.25" customHeight="1" x14ac:dyDescent="0.35">
      <c r="N559" s="388" t="s">
        <v>5463</v>
      </c>
      <c r="O559" s="389" t="s">
        <v>5374</v>
      </c>
      <c r="P559" s="389" t="str">
        <f t="shared" si="15"/>
        <v>2011Y</v>
      </c>
      <c r="Q559" s="390" t="str">
        <f>[1]!SNLLabel(287,324672,,"&lt;&gt;365")</f>
        <v>AR: Accident and Health</v>
      </c>
      <c r="R559" s="366"/>
      <c r="S559" s="391" t="s">
        <v>29</v>
      </c>
    </row>
    <row r="560" spans="14:19" ht="11.25" customHeight="1" x14ac:dyDescent="0.35">
      <c r="N560" s="388" t="s">
        <v>5463</v>
      </c>
      <c r="O560" s="389" t="s">
        <v>5374</v>
      </c>
      <c r="P560" s="389" t="str">
        <f t="shared" si="15"/>
        <v>2011Y</v>
      </c>
      <c r="Q560" s="390" t="str">
        <f>[1]!SNLLabel(287,324672,,"&lt;&gt;366")</f>
        <v>AR: Fraternal</v>
      </c>
      <c r="R560" s="366"/>
      <c r="S560" s="391" t="s">
        <v>29</v>
      </c>
    </row>
    <row r="561" spans="14:19" ht="11.25" customHeight="1" x14ac:dyDescent="0.35">
      <c r="N561" s="388" t="s">
        <v>5463</v>
      </c>
      <c r="O561" s="389" t="s">
        <v>5374</v>
      </c>
      <c r="P561" s="389" t="str">
        <f t="shared" si="15"/>
        <v>2011Y</v>
      </c>
      <c r="Q561" s="390" t="str">
        <f>[1]!SNLLabel(287,324672,,"&lt;&gt;367")</f>
        <v>AR: Other Lines of Business</v>
      </c>
      <c r="R561" s="366"/>
      <c r="S561" s="391" t="s">
        <v>29</v>
      </c>
    </row>
    <row r="562" spans="14:19" ht="11.25" customHeight="1" x14ac:dyDescent="0.35">
      <c r="N562" s="388" t="s">
        <v>5463</v>
      </c>
      <c r="O562" s="389" t="s">
        <v>5374</v>
      </c>
      <c r="P562" s="389" t="str">
        <f t="shared" si="15"/>
        <v>2011Y</v>
      </c>
      <c r="Q562" s="390" t="str">
        <f>[1]!SNLLabel(287,324672,,"&lt;&gt;368")</f>
        <v>AR: YRT Mortality Risk Only</v>
      </c>
      <c r="R562" s="366"/>
      <c r="S562" s="391" t="s">
        <v>29</v>
      </c>
    </row>
    <row r="563" spans="14:19" ht="11.25" customHeight="1" x14ac:dyDescent="0.35">
      <c r="N563" s="388" t="s">
        <v>5463</v>
      </c>
      <c r="O563" s="389" t="s">
        <v>5374</v>
      </c>
      <c r="P563" s="389" t="str">
        <f t="shared" si="15"/>
        <v>2011Y</v>
      </c>
      <c r="Q563" s="390" t="str">
        <f>[1]!SNLLabel(287,324672,,"&lt;&gt;369")</f>
        <v>AR: Individual and Group Life</v>
      </c>
      <c r="R563" s="366"/>
      <c r="S563" s="391" t="s">
        <v>29</v>
      </c>
    </row>
    <row r="564" spans="14:19" ht="11.25" customHeight="1" x14ac:dyDescent="0.35">
      <c r="N564" s="367" t="s">
        <v>5463</v>
      </c>
      <c r="O564" s="368" t="s">
        <v>5374</v>
      </c>
      <c r="P564" s="368" t="str">
        <f t="shared" si="15"/>
        <v>2011Y</v>
      </c>
      <c r="Q564" s="369" t="str">
        <f>[1]!SNLLabel(287,324672,,"&lt;&gt;370")</f>
        <v>AR: Individual and Group Annuities</v>
      </c>
      <c r="R564" s="370"/>
      <c r="S564" s="371" t="s">
        <v>29</v>
      </c>
    </row>
    <row r="565" spans="14:19" ht="11.25" customHeight="1" x14ac:dyDescent="0.35">
      <c r="N565" s="384" t="s">
        <v>5463</v>
      </c>
      <c r="O565" s="385" t="s">
        <v>5374</v>
      </c>
      <c r="P565" s="385" t="str">
        <f t="shared" ref="P565:P575" si="16">LEFT(Period,4)-4&amp;"Y"</f>
        <v>2010Y</v>
      </c>
      <c r="Q565" s="386" t="str">
        <f>[1]!SNLLabel(287,324672,,"&lt;&gt;360")</f>
        <v>AR: Analysis of Operations All Lines</v>
      </c>
      <c r="R565" s="365"/>
      <c r="S565" s="387" t="s">
        <v>29</v>
      </c>
    </row>
    <row r="566" spans="14:19" ht="11.25" customHeight="1" x14ac:dyDescent="0.35">
      <c r="N566" s="388" t="s">
        <v>5463</v>
      </c>
      <c r="O566" s="389" t="s">
        <v>5374</v>
      </c>
      <c r="P566" s="389" t="str">
        <f t="shared" si="16"/>
        <v>2010Y</v>
      </c>
      <c r="Q566" s="390" t="str">
        <f>[1]!SNLLabel(287,324672,,"&lt;&gt;361")</f>
        <v>AR: Individual Life</v>
      </c>
      <c r="R566" s="366"/>
      <c r="S566" s="391" t="s">
        <v>29</v>
      </c>
    </row>
    <row r="567" spans="14:19" ht="11.25" customHeight="1" x14ac:dyDescent="0.35">
      <c r="N567" s="388" t="s">
        <v>5463</v>
      </c>
      <c r="O567" s="389" t="s">
        <v>5374</v>
      </c>
      <c r="P567" s="389" t="str">
        <f t="shared" si="16"/>
        <v>2010Y</v>
      </c>
      <c r="Q567" s="390" t="str">
        <f>[1]!SNLLabel(287,324672,,"&lt;&gt;362")</f>
        <v>AR: Group Life</v>
      </c>
      <c r="R567" s="366"/>
      <c r="S567" s="391" t="s">
        <v>29</v>
      </c>
    </row>
    <row r="568" spans="14:19" ht="11.25" customHeight="1" x14ac:dyDescent="0.35">
      <c r="N568" s="388" t="s">
        <v>5463</v>
      </c>
      <c r="O568" s="389" t="s">
        <v>5374</v>
      </c>
      <c r="P568" s="389" t="str">
        <f t="shared" si="16"/>
        <v>2010Y</v>
      </c>
      <c r="Q568" s="390" t="str">
        <f>[1]!SNLLabel(287,324672,,"&lt;&gt;363")</f>
        <v>AR: Individual Annuities</v>
      </c>
      <c r="R568" s="366"/>
      <c r="S568" s="391" t="s">
        <v>29</v>
      </c>
    </row>
    <row r="569" spans="14:19" ht="11.25" customHeight="1" x14ac:dyDescent="0.35">
      <c r="N569" s="388" t="s">
        <v>5463</v>
      </c>
      <c r="O569" s="389" t="s">
        <v>5374</v>
      </c>
      <c r="P569" s="389" t="str">
        <f t="shared" si="16"/>
        <v>2010Y</v>
      </c>
      <c r="Q569" s="390" t="str">
        <f>[1]!SNLLabel(287,324672,,"&lt;&gt;364")</f>
        <v>AR: Group Annuities</v>
      </c>
      <c r="R569" s="366"/>
      <c r="S569" s="391" t="s">
        <v>29</v>
      </c>
    </row>
    <row r="570" spans="14:19" ht="11.25" customHeight="1" x14ac:dyDescent="0.35">
      <c r="N570" s="388" t="s">
        <v>5463</v>
      </c>
      <c r="O570" s="389" t="s">
        <v>5374</v>
      </c>
      <c r="P570" s="389" t="str">
        <f t="shared" si="16"/>
        <v>2010Y</v>
      </c>
      <c r="Q570" s="390" t="str">
        <f>[1]!SNLLabel(287,324672,,"&lt;&gt;365")</f>
        <v>AR: Accident and Health</v>
      </c>
      <c r="R570" s="366"/>
      <c r="S570" s="391" t="s">
        <v>29</v>
      </c>
    </row>
    <row r="571" spans="14:19" ht="11.25" customHeight="1" x14ac:dyDescent="0.35">
      <c r="N571" s="388" t="s">
        <v>5463</v>
      </c>
      <c r="O571" s="389" t="s">
        <v>5374</v>
      </c>
      <c r="P571" s="389" t="str">
        <f t="shared" si="16"/>
        <v>2010Y</v>
      </c>
      <c r="Q571" s="390" t="str">
        <f>[1]!SNLLabel(287,324672,,"&lt;&gt;366")</f>
        <v>AR: Fraternal</v>
      </c>
      <c r="R571" s="366"/>
      <c r="S571" s="391" t="s">
        <v>29</v>
      </c>
    </row>
    <row r="572" spans="14:19" ht="11.25" customHeight="1" x14ac:dyDescent="0.35">
      <c r="N572" s="388" t="s">
        <v>5463</v>
      </c>
      <c r="O572" s="389" t="s">
        <v>5374</v>
      </c>
      <c r="P572" s="389" t="str">
        <f t="shared" si="16"/>
        <v>2010Y</v>
      </c>
      <c r="Q572" s="390" t="str">
        <f>[1]!SNLLabel(287,324672,,"&lt;&gt;367")</f>
        <v>AR: Other Lines of Business</v>
      </c>
      <c r="R572" s="366"/>
      <c r="S572" s="391" t="s">
        <v>29</v>
      </c>
    </row>
    <row r="573" spans="14:19" ht="11.25" customHeight="1" x14ac:dyDescent="0.35">
      <c r="N573" s="388" t="s">
        <v>5463</v>
      </c>
      <c r="O573" s="389" t="s">
        <v>5374</v>
      </c>
      <c r="P573" s="389" t="str">
        <f t="shared" si="16"/>
        <v>2010Y</v>
      </c>
      <c r="Q573" s="390" t="str">
        <f>[1]!SNLLabel(287,324672,,"&lt;&gt;368")</f>
        <v>AR: YRT Mortality Risk Only</v>
      </c>
      <c r="R573" s="366"/>
      <c r="S573" s="391" t="s">
        <v>29</v>
      </c>
    </row>
    <row r="574" spans="14:19" ht="11.25" customHeight="1" x14ac:dyDescent="0.35">
      <c r="N574" s="388" t="s">
        <v>5463</v>
      </c>
      <c r="O574" s="389" t="s">
        <v>5374</v>
      </c>
      <c r="P574" s="389" t="str">
        <f t="shared" si="16"/>
        <v>2010Y</v>
      </c>
      <c r="Q574" s="390" t="str">
        <f>[1]!SNLLabel(287,324672,,"&lt;&gt;369")</f>
        <v>AR: Individual and Group Life</v>
      </c>
      <c r="R574" s="366"/>
      <c r="S574" s="391" t="s">
        <v>29</v>
      </c>
    </row>
    <row r="575" spans="14:19" ht="11.25" customHeight="1" x14ac:dyDescent="0.35">
      <c r="N575" s="367" t="s">
        <v>5463</v>
      </c>
      <c r="O575" s="368" t="s">
        <v>5374</v>
      </c>
      <c r="P575" s="368" t="str">
        <f t="shared" si="16"/>
        <v>2010Y</v>
      </c>
      <c r="Q575" s="369" t="str">
        <f>[1]!SNLLabel(287,324672,,"&lt;&gt;370")</f>
        <v>AR: Individual and Group Annuities</v>
      </c>
      <c r="R575" s="370"/>
      <c r="S575" s="371" t="s">
        <v>29</v>
      </c>
    </row>
    <row r="576" spans="14:19" ht="11.25" customHeight="1" x14ac:dyDescent="0.35">
      <c r="N576" s="377"/>
      <c r="O576" s="378"/>
      <c r="P576" s="378"/>
      <c r="Q576" s="379"/>
      <c r="R576" s="375"/>
      <c r="S576" s="380"/>
    </row>
    <row r="577" spans="14:19" ht="11.25" customHeight="1" x14ac:dyDescent="0.35">
      <c r="N577" s="384" t="s">
        <v>5464</v>
      </c>
      <c r="O577" s="385" t="s">
        <v>5375</v>
      </c>
      <c r="P577" s="385" t="str">
        <f t="shared" ref="P577:P587" si="17">Period</f>
        <v>2014Y</v>
      </c>
      <c r="Q577" s="386" t="str">
        <f>[1]!SNLLabel(287,324673,,"&lt;&gt;360")</f>
        <v>AR: Analysis of Operations All Lines</v>
      </c>
      <c r="R577" s="365"/>
      <c r="S577" s="387" t="s">
        <v>29</v>
      </c>
    </row>
    <row r="578" spans="14:19" ht="11.25" customHeight="1" x14ac:dyDescent="0.35">
      <c r="N578" s="388" t="s">
        <v>5464</v>
      </c>
      <c r="O578" s="389" t="s">
        <v>5375</v>
      </c>
      <c r="P578" s="389" t="str">
        <f t="shared" si="17"/>
        <v>2014Y</v>
      </c>
      <c r="Q578" s="390" t="str">
        <f>[1]!SNLLabel(287,324673,,"&lt;&gt;361")</f>
        <v>AR: Individual Life</v>
      </c>
      <c r="R578" s="366"/>
      <c r="S578" s="391" t="s">
        <v>29</v>
      </c>
    </row>
    <row r="579" spans="14:19" ht="11.25" customHeight="1" x14ac:dyDescent="0.35">
      <c r="N579" s="388" t="s">
        <v>5464</v>
      </c>
      <c r="O579" s="389" t="s">
        <v>5375</v>
      </c>
      <c r="P579" s="389" t="str">
        <f t="shared" si="17"/>
        <v>2014Y</v>
      </c>
      <c r="Q579" s="390" t="str">
        <f>[1]!SNLLabel(287,324673,,"&lt;&gt;362")</f>
        <v>AR: Group Life</v>
      </c>
      <c r="R579" s="366"/>
      <c r="S579" s="391" t="s">
        <v>29</v>
      </c>
    </row>
    <row r="580" spans="14:19" ht="11.25" customHeight="1" x14ac:dyDescent="0.35">
      <c r="N580" s="388" t="s">
        <v>5464</v>
      </c>
      <c r="O580" s="389" t="s">
        <v>5375</v>
      </c>
      <c r="P580" s="389" t="str">
        <f t="shared" si="17"/>
        <v>2014Y</v>
      </c>
      <c r="Q580" s="390" t="str">
        <f>[1]!SNLLabel(287,324673,,"&lt;&gt;363")</f>
        <v>AR: Individual Annuities</v>
      </c>
      <c r="R580" s="366"/>
      <c r="S580" s="391" t="s">
        <v>29</v>
      </c>
    </row>
    <row r="581" spans="14:19" ht="11.25" customHeight="1" x14ac:dyDescent="0.35">
      <c r="N581" s="388" t="s">
        <v>5464</v>
      </c>
      <c r="O581" s="389" t="s">
        <v>5375</v>
      </c>
      <c r="P581" s="389" t="str">
        <f t="shared" si="17"/>
        <v>2014Y</v>
      </c>
      <c r="Q581" s="390" t="str">
        <f>[1]!SNLLabel(287,324673,,"&lt;&gt;364")</f>
        <v>AR: Group Annuities</v>
      </c>
      <c r="R581" s="366"/>
      <c r="S581" s="391" t="s">
        <v>29</v>
      </c>
    </row>
    <row r="582" spans="14:19" ht="11.25" customHeight="1" x14ac:dyDescent="0.35">
      <c r="N582" s="388" t="s">
        <v>5464</v>
      </c>
      <c r="O582" s="389" t="s">
        <v>5375</v>
      </c>
      <c r="P582" s="389" t="str">
        <f t="shared" si="17"/>
        <v>2014Y</v>
      </c>
      <c r="Q582" s="390" t="str">
        <f>[1]!SNLLabel(287,324673,,"&lt;&gt;365")</f>
        <v>AR: Accident and Health</v>
      </c>
      <c r="R582" s="366"/>
      <c r="S582" s="391" t="s">
        <v>29</v>
      </c>
    </row>
    <row r="583" spans="14:19" ht="11.25" customHeight="1" x14ac:dyDescent="0.35">
      <c r="N583" s="388" t="s">
        <v>5464</v>
      </c>
      <c r="O583" s="389" t="s">
        <v>5375</v>
      </c>
      <c r="P583" s="389" t="str">
        <f t="shared" si="17"/>
        <v>2014Y</v>
      </c>
      <c r="Q583" s="390" t="str">
        <f>[1]!SNLLabel(287,324673,,"&lt;&gt;366")</f>
        <v>AR: Fraternal</v>
      </c>
      <c r="R583" s="366"/>
      <c r="S583" s="391" t="s">
        <v>29</v>
      </c>
    </row>
    <row r="584" spans="14:19" ht="11.25" customHeight="1" x14ac:dyDescent="0.35">
      <c r="N584" s="388" t="s">
        <v>5464</v>
      </c>
      <c r="O584" s="389" t="s">
        <v>5375</v>
      </c>
      <c r="P584" s="389" t="str">
        <f t="shared" si="17"/>
        <v>2014Y</v>
      </c>
      <c r="Q584" s="390" t="str">
        <f>[1]!SNLLabel(287,324673,,"&lt;&gt;367")</f>
        <v>AR: Other Lines of Business</v>
      </c>
      <c r="R584" s="366"/>
      <c r="S584" s="391" t="s">
        <v>29</v>
      </c>
    </row>
    <row r="585" spans="14:19" ht="11.25" customHeight="1" x14ac:dyDescent="0.35">
      <c r="N585" s="388" t="s">
        <v>5464</v>
      </c>
      <c r="O585" s="389" t="s">
        <v>5375</v>
      </c>
      <c r="P585" s="389" t="str">
        <f t="shared" si="17"/>
        <v>2014Y</v>
      </c>
      <c r="Q585" s="390" t="str">
        <f>[1]!SNLLabel(287,324673,,"&lt;&gt;368")</f>
        <v>AR: YRT Mortality Risk Only</v>
      </c>
      <c r="R585" s="366"/>
      <c r="S585" s="391" t="s">
        <v>29</v>
      </c>
    </row>
    <row r="586" spans="14:19" ht="11.25" customHeight="1" x14ac:dyDescent="0.35">
      <c r="N586" s="388" t="s">
        <v>5464</v>
      </c>
      <c r="O586" s="389" t="s">
        <v>5375</v>
      </c>
      <c r="P586" s="389" t="str">
        <f t="shared" si="17"/>
        <v>2014Y</v>
      </c>
      <c r="Q586" s="390" t="str">
        <f>[1]!SNLLabel(287,324673,,"&lt;&gt;369")</f>
        <v>AR: Individual and Group Life</v>
      </c>
      <c r="R586" s="366"/>
      <c r="S586" s="391" t="s">
        <v>29</v>
      </c>
    </row>
    <row r="587" spans="14:19" ht="11.25" customHeight="1" x14ac:dyDescent="0.35">
      <c r="N587" s="367" t="s">
        <v>5464</v>
      </c>
      <c r="O587" s="368" t="s">
        <v>5375</v>
      </c>
      <c r="P587" s="368" t="str">
        <f t="shared" si="17"/>
        <v>2014Y</v>
      </c>
      <c r="Q587" s="369" t="str">
        <f>[1]!SNLLabel(287,324673,,"&lt;&gt;370")</f>
        <v>AR: Individual and Group Annuities</v>
      </c>
      <c r="R587" s="370"/>
      <c r="S587" s="371" t="s">
        <v>29</v>
      </c>
    </row>
    <row r="588" spans="14:19" ht="11.25" customHeight="1" x14ac:dyDescent="0.35">
      <c r="N588" s="384" t="s">
        <v>5464</v>
      </c>
      <c r="O588" s="385" t="s">
        <v>5375</v>
      </c>
      <c r="P588" s="385" t="str">
        <f t="shared" ref="P588:P598" si="18">LEFT(Period,4)-1&amp;"Y"</f>
        <v>2013Y</v>
      </c>
      <c r="Q588" s="386" t="str">
        <f>[1]!SNLLabel(287,324673,,"&lt;&gt;360")</f>
        <v>AR: Analysis of Operations All Lines</v>
      </c>
      <c r="R588" s="365"/>
      <c r="S588" s="387" t="s">
        <v>29</v>
      </c>
    </row>
    <row r="589" spans="14:19" ht="11.25" customHeight="1" x14ac:dyDescent="0.35">
      <c r="N589" s="388" t="s">
        <v>5464</v>
      </c>
      <c r="O589" s="389" t="s">
        <v>5375</v>
      </c>
      <c r="P589" s="389" t="str">
        <f t="shared" si="18"/>
        <v>2013Y</v>
      </c>
      <c r="Q589" s="390" t="str">
        <f>[1]!SNLLabel(287,324673,,"&lt;&gt;361")</f>
        <v>AR: Individual Life</v>
      </c>
      <c r="R589" s="366"/>
      <c r="S589" s="391" t="s">
        <v>29</v>
      </c>
    </row>
    <row r="590" spans="14:19" ht="11.25" customHeight="1" x14ac:dyDescent="0.35">
      <c r="N590" s="388" t="s">
        <v>5464</v>
      </c>
      <c r="O590" s="389" t="s">
        <v>5375</v>
      </c>
      <c r="P590" s="389" t="str">
        <f t="shared" si="18"/>
        <v>2013Y</v>
      </c>
      <c r="Q590" s="390" t="str">
        <f>[1]!SNLLabel(287,324673,,"&lt;&gt;362")</f>
        <v>AR: Group Life</v>
      </c>
      <c r="R590" s="366"/>
      <c r="S590" s="391" t="s">
        <v>29</v>
      </c>
    </row>
    <row r="591" spans="14:19" ht="11.25" customHeight="1" x14ac:dyDescent="0.35">
      <c r="N591" s="388" t="s">
        <v>5464</v>
      </c>
      <c r="O591" s="389" t="s">
        <v>5375</v>
      </c>
      <c r="P591" s="389" t="str">
        <f t="shared" si="18"/>
        <v>2013Y</v>
      </c>
      <c r="Q591" s="390" t="str">
        <f>[1]!SNLLabel(287,324673,,"&lt;&gt;363")</f>
        <v>AR: Individual Annuities</v>
      </c>
      <c r="R591" s="366"/>
      <c r="S591" s="391" t="s">
        <v>29</v>
      </c>
    </row>
    <row r="592" spans="14:19" ht="11.25" customHeight="1" x14ac:dyDescent="0.35">
      <c r="N592" s="388" t="s">
        <v>5464</v>
      </c>
      <c r="O592" s="389" t="s">
        <v>5375</v>
      </c>
      <c r="P592" s="389" t="str">
        <f t="shared" si="18"/>
        <v>2013Y</v>
      </c>
      <c r="Q592" s="390" t="str">
        <f>[1]!SNLLabel(287,324673,,"&lt;&gt;364")</f>
        <v>AR: Group Annuities</v>
      </c>
      <c r="R592" s="366"/>
      <c r="S592" s="391" t="s">
        <v>29</v>
      </c>
    </row>
    <row r="593" spans="14:19" ht="11.25" customHeight="1" x14ac:dyDescent="0.35">
      <c r="N593" s="388" t="s">
        <v>5464</v>
      </c>
      <c r="O593" s="389" t="s">
        <v>5375</v>
      </c>
      <c r="P593" s="389" t="str">
        <f t="shared" si="18"/>
        <v>2013Y</v>
      </c>
      <c r="Q593" s="390" t="str">
        <f>[1]!SNLLabel(287,324673,,"&lt;&gt;365")</f>
        <v>AR: Accident and Health</v>
      </c>
      <c r="R593" s="366"/>
      <c r="S593" s="391" t="s">
        <v>29</v>
      </c>
    </row>
    <row r="594" spans="14:19" ht="11.25" customHeight="1" x14ac:dyDescent="0.35">
      <c r="N594" s="388" t="s">
        <v>5464</v>
      </c>
      <c r="O594" s="389" t="s">
        <v>5375</v>
      </c>
      <c r="P594" s="389" t="str">
        <f t="shared" si="18"/>
        <v>2013Y</v>
      </c>
      <c r="Q594" s="390" t="str">
        <f>[1]!SNLLabel(287,324673,,"&lt;&gt;366")</f>
        <v>AR: Fraternal</v>
      </c>
      <c r="R594" s="366"/>
      <c r="S594" s="391" t="s">
        <v>29</v>
      </c>
    </row>
    <row r="595" spans="14:19" ht="11.25" customHeight="1" x14ac:dyDescent="0.35">
      <c r="N595" s="388" t="s">
        <v>5464</v>
      </c>
      <c r="O595" s="389" t="s">
        <v>5375</v>
      </c>
      <c r="P595" s="389" t="str">
        <f t="shared" si="18"/>
        <v>2013Y</v>
      </c>
      <c r="Q595" s="390" t="str">
        <f>[1]!SNLLabel(287,324673,,"&lt;&gt;367")</f>
        <v>AR: Other Lines of Business</v>
      </c>
      <c r="R595" s="366"/>
      <c r="S595" s="391" t="s">
        <v>29</v>
      </c>
    </row>
    <row r="596" spans="14:19" ht="11.25" customHeight="1" x14ac:dyDescent="0.35">
      <c r="N596" s="388" t="s">
        <v>5464</v>
      </c>
      <c r="O596" s="389" t="s">
        <v>5375</v>
      </c>
      <c r="P596" s="389" t="str">
        <f t="shared" si="18"/>
        <v>2013Y</v>
      </c>
      <c r="Q596" s="390" t="str">
        <f>[1]!SNLLabel(287,324673,,"&lt;&gt;368")</f>
        <v>AR: YRT Mortality Risk Only</v>
      </c>
      <c r="R596" s="366"/>
      <c r="S596" s="391" t="s">
        <v>29</v>
      </c>
    </row>
    <row r="597" spans="14:19" ht="11.25" customHeight="1" x14ac:dyDescent="0.35">
      <c r="N597" s="388" t="s">
        <v>5464</v>
      </c>
      <c r="O597" s="389" t="s">
        <v>5375</v>
      </c>
      <c r="P597" s="389" t="str">
        <f t="shared" si="18"/>
        <v>2013Y</v>
      </c>
      <c r="Q597" s="390" t="str">
        <f>[1]!SNLLabel(287,324673,,"&lt;&gt;369")</f>
        <v>AR: Individual and Group Life</v>
      </c>
      <c r="R597" s="366"/>
      <c r="S597" s="391" t="s">
        <v>29</v>
      </c>
    </row>
    <row r="598" spans="14:19" ht="11.25" customHeight="1" x14ac:dyDescent="0.35">
      <c r="N598" s="367" t="s">
        <v>5464</v>
      </c>
      <c r="O598" s="368" t="s">
        <v>5375</v>
      </c>
      <c r="P598" s="368" t="str">
        <f t="shared" si="18"/>
        <v>2013Y</v>
      </c>
      <c r="Q598" s="369" t="str">
        <f>[1]!SNLLabel(287,324673,,"&lt;&gt;370")</f>
        <v>AR: Individual and Group Annuities</v>
      </c>
      <c r="R598" s="370"/>
      <c r="S598" s="371" t="s">
        <v>29</v>
      </c>
    </row>
    <row r="599" spans="14:19" ht="11.25" customHeight="1" x14ac:dyDescent="0.35">
      <c r="N599" s="384" t="s">
        <v>5464</v>
      </c>
      <c r="O599" s="385" t="s">
        <v>5375</v>
      </c>
      <c r="P599" s="385" t="str">
        <f t="shared" ref="P599:P609" si="19">LEFT(Period,4)-2&amp;"Y"</f>
        <v>2012Y</v>
      </c>
      <c r="Q599" s="386" t="str">
        <f>[1]!SNLLabel(287,324673,,"&lt;&gt;360")</f>
        <v>AR: Analysis of Operations All Lines</v>
      </c>
      <c r="R599" s="365"/>
      <c r="S599" s="387" t="s">
        <v>29</v>
      </c>
    </row>
    <row r="600" spans="14:19" ht="11.25" customHeight="1" x14ac:dyDescent="0.35">
      <c r="N600" s="388" t="s">
        <v>5464</v>
      </c>
      <c r="O600" s="389" t="s">
        <v>5375</v>
      </c>
      <c r="P600" s="389" t="str">
        <f t="shared" si="19"/>
        <v>2012Y</v>
      </c>
      <c r="Q600" s="390" t="str">
        <f>[1]!SNLLabel(287,324673,,"&lt;&gt;361")</f>
        <v>AR: Individual Life</v>
      </c>
      <c r="R600" s="366"/>
      <c r="S600" s="391" t="s">
        <v>29</v>
      </c>
    </row>
    <row r="601" spans="14:19" ht="11.25" customHeight="1" x14ac:dyDescent="0.35">
      <c r="N601" s="388" t="s">
        <v>5464</v>
      </c>
      <c r="O601" s="389" t="s">
        <v>5375</v>
      </c>
      <c r="P601" s="389" t="str">
        <f t="shared" si="19"/>
        <v>2012Y</v>
      </c>
      <c r="Q601" s="390" t="str">
        <f>[1]!SNLLabel(287,324673,,"&lt;&gt;362")</f>
        <v>AR: Group Life</v>
      </c>
      <c r="R601" s="366"/>
      <c r="S601" s="391" t="s">
        <v>29</v>
      </c>
    </row>
    <row r="602" spans="14:19" ht="11.25" customHeight="1" x14ac:dyDescent="0.35">
      <c r="N602" s="388" t="s">
        <v>5464</v>
      </c>
      <c r="O602" s="389" t="s">
        <v>5375</v>
      </c>
      <c r="P602" s="389" t="str">
        <f t="shared" si="19"/>
        <v>2012Y</v>
      </c>
      <c r="Q602" s="390" t="str">
        <f>[1]!SNLLabel(287,324673,,"&lt;&gt;363")</f>
        <v>AR: Individual Annuities</v>
      </c>
      <c r="R602" s="366"/>
      <c r="S602" s="391" t="s">
        <v>29</v>
      </c>
    </row>
    <row r="603" spans="14:19" ht="11.25" customHeight="1" x14ac:dyDescent="0.35">
      <c r="N603" s="388" t="s">
        <v>5464</v>
      </c>
      <c r="O603" s="389" t="s">
        <v>5375</v>
      </c>
      <c r="P603" s="389" t="str">
        <f t="shared" si="19"/>
        <v>2012Y</v>
      </c>
      <c r="Q603" s="390" t="str">
        <f>[1]!SNLLabel(287,324673,,"&lt;&gt;364")</f>
        <v>AR: Group Annuities</v>
      </c>
      <c r="R603" s="366"/>
      <c r="S603" s="391" t="s">
        <v>29</v>
      </c>
    </row>
    <row r="604" spans="14:19" ht="11.25" customHeight="1" x14ac:dyDescent="0.35">
      <c r="N604" s="388" t="s">
        <v>5464</v>
      </c>
      <c r="O604" s="389" t="s">
        <v>5375</v>
      </c>
      <c r="P604" s="389" t="str">
        <f t="shared" si="19"/>
        <v>2012Y</v>
      </c>
      <c r="Q604" s="390" t="str">
        <f>[1]!SNLLabel(287,324673,,"&lt;&gt;365")</f>
        <v>AR: Accident and Health</v>
      </c>
      <c r="R604" s="366"/>
      <c r="S604" s="391" t="s">
        <v>29</v>
      </c>
    </row>
    <row r="605" spans="14:19" ht="11.25" customHeight="1" x14ac:dyDescent="0.35">
      <c r="N605" s="388" t="s">
        <v>5464</v>
      </c>
      <c r="O605" s="389" t="s">
        <v>5375</v>
      </c>
      <c r="P605" s="389" t="str">
        <f t="shared" si="19"/>
        <v>2012Y</v>
      </c>
      <c r="Q605" s="390" t="str">
        <f>[1]!SNLLabel(287,324673,,"&lt;&gt;366")</f>
        <v>AR: Fraternal</v>
      </c>
      <c r="R605" s="366"/>
      <c r="S605" s="391" t="s">
        <v>29</v>
      </c>
    </row>
    <row r="606" spans="14:19" ht="11.25" customHeight="1" x14ac:dyDescent="0.35">
      <c r="N606" s="388" t="s">
        <v>5464</v>
      </c>
      <c r="O606" s="389" t="s">
        <v>5375</v>
      </c>
      <c r="P606" s="389" t="str">
        <f t="shared" si="19"/>
        <v>2012Y</v>
      </c>
      <c r="Q606" s="390" t="str">
        <f>[1]!SNLLabel(287,324673,,"&lt;&gt;367")</f>
        <v>AR: Other Lines of Business</v>
      </c>
      <c r="R606" s="366"/>
      <c r="S606" s="391" t="s">
        <v>29</v>
      </c>
    </row>
    <row r="607" spans="14:19" ht="11.25" customHeight="1" x14ac:dyDescent="0.35">
      <c r="N607" s="388" t="s">
        <v>5464</v>
      </c>
      <c r="O607" s="389" t="s">
        <v>5375</v>
      </c>
      <c r="P607" s="389" t="str">
        <f t="shared" si="19"/>
        <v>2012Y</v>
      </c>
      <c r="Q607" s="390" t="str">
        <f>[1]!SNLLabel(287,324673,,"&lt;&gt;368")</f>
        <v>AR: YRT Mortality Risk Only</v>
      </c>
      <c r="R607" s="366"/>
      <c r="S607" s="391" t="s">
        <v>29</v>
      </c>
    </row>
    <row r="608" spans="14:19" ht="11.25" customHeight="1" x14ac:dyDescent="0.35">
      <c r="N608" s="388" t="s">
        <v>5464</v>
      </c>
      <c r="O608" s="389" t="s">
        <v>5375</v>
      </c>
      <c r="P608" s="389" t="str">
        <f t="shared" si="19"/>
        <v>2012Y</v>
      </c>
      <c r="Q608" s="390" t="str">
        <f>[1]!SNLLabel(287,324673,,"&lt;&gt;369")</f>
        <v>AR: Individual and Group Life</v>
      </c>
      <c r="R608" s="366"/>
      <c r="S608" s="391" t="s">
        <v>29</v>
      </c>
    </row>
    <row r="609" spans="14:19" ht="11.25" customHeight="1" x14ac:dyDescent="0.35">
      <c r="N609" s="367" t="s">
        <v>5464</v>
      </c>
      <c r="O609" s="368" t="s">
        <v>5375</v>
      </c>
      <c r="P609" s="368" t="str">
        <f t="shared" si="19"/>
        <v>2012Y</v>
      </c>
      <c r="Q609" s="369" t="str">
        <f>[1]!SNLLabel(287,324673,,"&lt;&gt;370")</f>
        <v>AR: Individual and Group Annuities</v>
      </c>
      <c r="R609" s="370"/>
      <c r="S609" s="371" t="s">
        <v>29</v>
      </c>
    </row>
    <row r="610" spans="14:19" ht="11.25" customHeight="1" x14ac:dyDescent="0.35">
      <c r="N610" s="384" t="s">
        <v>5464</v>
      </c>
      <c r="O610" s="385" t="s">
        <v>5375</v>
      </c>
      <c r="P610" s="385" t="str">
        <f t="shared" ref="P610:P620" si="20">LEFT(Period,4)-3&amp;"Y"</f>
        <v>2011Y</v>
      </c>
      <c r="Q610" s="386" t="str">
        <f>[1]!SNLLabel(287,324673,,"&lt;&gt;360")</f>
        <v>AR: Analysis of Operations All Lines</v>
      </c>
      <c r="R610" s="365"/>
      <c r="S610" s="387" t="s">
        <v>29</v>
      </c>
    </row>
    <row r="611" spans="14:19" ht="11.25" customHeight="1" x14ac:dyDescent="0.35">
      <c r="N611" s="388" t="s">
        <v>5464</v>
      </c>
      <c r="O611" s="389" t="s">
        <v>5375</v>
      </c>
      <c r="P611" s="389" t="str">
        <f t="shared" si="20"/>
        <v>2011Y</v>
      </c>
      <c r="Q611" s="390" t="str">
        <f>[1]!SNLLabel(287,324673,,"&lt;&gt;361")</f>
        <v>AR: Individual Life</v>
      </c>
      <c r="R611" s="366"/>
      <c r="S611" s="391" t="s">
        <v>29</v>
      </c>
    </row>
    <row r="612" spans="14:19" ht="11.25" customHeight="1" x14ac:dyDescent="0.35">
      <c r="N612" s="388" t="s">
        <v>5464</v>
      </c>
      <c r="O612" s="389" t="s">
        <v>5375</v>
      </c>
      <c r="P612" s="389" t="str">
        <f t="shared" si="20"/>
        <v>2011Y</v>
      </c>
      <c r="Q612" s="390" t="str">
        <f>[1]!SNLLabel(287,324673,,"&lt;&gt;362")</f>
        <v>AR: Group Life</v>
      </c>
      <c r="R612" s="366"/>
      <c r="S612" s="391" t="s">
        <v>29</v>
      </c>
    </row>
    <row r="613" spans="14:19" ht="11.25" customHeight="1" x14ac:dyDescent="0.35">
      <c r="N613" s="388" t="s">
        <v>5464</v>
      </c>
      <c r="O613" s="389" t="s">
        <v>5375</v>
      </c>
      <c r="P613" s="389" t="str">
        <f t="shared" si="20"/>
        <v>2011Y</v>
      </c>
      <c r="Q613" s="390" t="str">
        <f>[1]!SNLLabel(287,324673,,"&lt;&gt;363")</f>
        <v>AR: Individual Annuities</v>
      </c>
      <c r="R613" s="366"/>
      <c r="S613" s="391" t="s">
        <v>29</v>
      </c>
    </row>
    <row r="614" spans="14:19" ht="11.25" customHeight="1" x14ac:dyDescent="0.35">
      <c r="N614" s="388" t="s">
        <v>5464</v>
      </c>
      <c r="O614" s="389" t="s">
        <v>5375</v>
      </c>
      <c r="P614" s="389" t="str">
        <f t="shared" si="20"/>
        <v>2011Y</v>
      </c>
      <c r="Q614" s="390" t="str">
        <f>[1]!SNLLabel(287,324673,,"&lt;&gt;364")</f>
        <v>AR: Group Annuities</v>
      </c>
      <c r="R614" s="366"/>
      <c r="S614" s="391" t="s">
        <v>29</v>
      </c>
    </row>
    <row r="615" spans="14:19" ht="11.25" customHeight="1" x14ac:dyDescent="0.35">
      <c r="N615" s="388" t="s">
        <v>5464</v>
      </c>
      <c r="O615" s="389" t="s">
        <v>5375</v>
      </c>
      <c r="P615" s="389" t="str">
        <f t="shared" si="20"/>
        <v>2011Y</v>
      </c>
      <c r="Q615" s="390" t="str">
        <f>[1]!SNLLabel(287,324673,,"&lt;&gt;365")</f>
        <v>AR: Accident and Health</v>
      </c>
      <c r="R615" s="366"/>
      <c r="S615" s="391" t="s">
        <v>29</v>
      </c>
    </row>
    <row r="616" spans="14:19" ht="11.25" customHeight="1" x14ac:dyDescent="0.35">
      <c r="N616" s="388" t="s">
        <v>5464</v>
      </c>
      <c r="O616" s="389" t="s">
        <v>5375</v>
      </c>
      <c r="P616" s="389" t="str">
        <f t="shared" si="20"/>
        <v>2011Y</v>
      </c>
      <c r="Q616" s="390" t="str">
        <f>[1]!SNLLabel(287,324673,,"&lt;&gt;366")</f>
        <v>AR: Fraternal</v>
      </c>
      <c r="R616" s="366"/>
      <c r="S616" s="391" t="s">
        <v>29</v>
      </c>
    </row>
    <row r="617" spans="14:19" ht="11.25" customHeight="1" x14ac:dyDescent="0.35">
      <c r="N617" s="388" t="s">
        <v>5464</v>
      </c>
      <c r="O617" s="389" t="s">
        <v>5375</v>
      </c>
      <c r="P617" s="389" t="str">
        <f t="shared" si="20"/>
        <v>2011Y</v>
      </c>
      <c r="Q617" s="390" t="str">
        <f>[1]!SNLLabel(287,324673,,"&lt;&gt;367")</f>
        <v>AR: Other Lines of Business</v>
      </c>
      <c r="R617" s="366"/>
      <c r="S617" s="391" t="s">
        <v>29</v>
      </c>
    </row>
    <row r="618" spans="14:19" ht="11.25" customHeight="1" x14ac:dyDescent="0.35">
      <c r="N618" s="388" t="s">
        <v>5464</v>
      </c>
      <c r="O618" s="389" t="s">
        <v>5375</v>
      </c>
      <c r="P618" s="389" t="str">
        <f t="shared" si="20"/>
        <v>2011Y</v>
      </c>
      <c r="Q618" s="390" t="str">
        <f>[1]!SNLLabel(287,324673,,"&lt;&gt;368")</f>
        <v>AR: YRT Mortality Risk Only</v>
      </c>
      <c r="R618" s="366"/>
      <c r="S618" s="391" t="s">
        <v>29</v>
      </c>
    </row>
    <row r="619" spans="14:19" ht="11.25" customHeight="1" x14ac:dyDescent="0.35">
      <c r="N619" s="388" t="s">
        <v>5464</v>
      </c>
      <c r="O619" s="389" t="s">
        <v>5375</v>
      </c>
      <c r="P619" s="389" t="str">
        <f t="shared" si="20"/>
        <v>2011Y</v>
      </c>
      <c r="Q619" s="390" t="str">
        <f>[1]!SNLLabel(287,324673,,"&lt;&gt;369")</f>
        <v>AR: Individual and Group Life</v>
      </c>
      <c r="R619" s="366"/>
      <c r="S619" s="391" t="s">
        <v>29</v>
      </c>
    </row>
    <row r="620" spans="14:19" ht="11.25" customHeight="1" x14ac:dyDescent="0.35">
      <c r="N620" s="367" t="s">
        <v>5464</v>
      </c>
      <c r="O620" s="368" t="s">
        <v>5375</v>
      </c>
      <c r="P620" s="368" t="str">
        <f t="shared" si="20"/>
        <v>2011Y</v>
      </c>
      <c r="Q620" s="369" t="str">
        <f>[1]!SNLLabel(287,324673,,"&lt;&gt;370")</f>
        <v>AR: Individual and Group Annuities</v>
      </c>
      <c r="R620" s="370"/>
      <c r="S620" s="371" t="s">
        <v>29</v>
      </c>
    </row>
    <row r="621" spans="14:19" ht="11.25" customHeight="1" x14ac:dyDescent="0.35">
      <c r="N621" s="384" t="s">
        <v>5464</v>
      </c>
      <c r="O621" s="385" t="s">
        <v>5375</v>
      </c>
      <c r="P621" s="385" t="str">
        <f t="shared" ref="P621:P631" si="21">LEFT(Period,4)-4&amp;"Y"</f>
        <v>2010Y</v>
      </c>
      <c r="Q621" s="386" t="str">
        <f>[1]!SNLLabel(287,324673,,"&lt;&gt;360")</f>
        <v>AR: Analysis of Operations All Lines</v>
      </c>
      <c r="R621" s="365"/>
      <c r="S621" s="387" t="s">
        <v>29</v>
      </c>
    </row>
    <row r="622" spans="14:19" ht="11.25" customHeight="1" x14ac:dyDescent="0.35">
      <c r="N622" s="388" t="s">
        <v>5464</v>
      </c>
      <c r="O622" s="389" t="s">
        <v>5375</v>
      </c>
      <c r="P622" s="389" t="str">
        <f t="shared" si="21"/>
        <v>2010Y</v>
      </c>
      <c r="Q622" s="390" t="str">
        <f>[1]!SNLLabel(287,324673,,"&lt;&gt;361")</f>
        <v>AR: Individual Life</v>
      </c>
      <c r="R622" s="366"/>
      <c r="S622" s="391" t="s">
        <v>29</v>
      </c>
    </row>
    <row r="623" spans="14:19" ht="11.25" customHeight="1" x14ac:dyDescent="0.35">
      <c r="N623" s="388" t="s">
        <v>5464</v>
      </c>
      <c r="O623" s="389" t="s">
        <v>5375</v>
      </c>
      <c r="P623" s="389" t="str">
        <f t="shared" si="21"/>
        <v>2010Y</v>
      </c>
      <c r="Q623" s="390" t="str">
        <f>[1]!SNLLabel(287,324673,,"&lt;&gt;362")</f>
        <v>AR: Group Life</v>
      </c>
      <c r="R623" s="366"/>
      <c r="S623" s="391" t="s">
        <v>29</v>
      </c>
    </row>
    <row r="624" spans="14:19" ht="11.25" customHeight="1" x14ac:dyDescent="0.35">
      <c r="N624" s="388" t="s">
        <v>5464</v>
      </c>
      <c r="O624" s="389" t="s">
        <v>5375</v>
      </c>
      <c r="P624" s="389" t="str">
        <f t="shared" si="21"/>
        <v>2010Y</v>
      </c>
      <c r="Q624" s="390" t="str">
        <f>[1]!SNLLabel(287,324673,,"&lt;&gt;363")</f>
        <v>AR: Individual Annuities</v>
      </c>
      <c r="R624" s="366"/>
      <c r="S624" s="391" t="s">
        <v>29</v>
      </c>
    </row>
    <row r="625" spans="14:19" ht="11.25" customHeight="1" x14ac:dyDescent="0.35">
      <c r="N625" s="388" t="s">
        <v>5464</v>
      </c>
      <c r="O625" s="389" t="s">
        <v>5375</v>
      </c>
      <c r="P625" s="389" t="str">
        <f t="shared" si="21"/>
        <v>2010Y</v>
      </c>
      <c r="Q625" s="390" t="str">
        <f>[1]!SNLLabel(287,324673,,"&lt;&gt;364")</f>
        <v>AR: Group Annuities</v>
      </c>
      <c r="R625" s="366"/>
      <c r="S625" s="391" t="s">
        <v>29</v>
      </c>
    </row>
    <row r="626" spans="14:19" ht="11.25" customHeight="1" x14ac:dyDescent="0.35">
      <c r="N626" s="388" t="s">
        <v>5464</v>
      </c>
      <c r="O626" s="389" t="s">
        <v>5375</v>
      </c>
      <c r="P626" s="389" t="str">
        <f t="shared" si="21"/>
        <v>2010Y</v>
      </c>
      <c r="Q626" s="390" t="str">
        <f>[1]!SNLLabel(287,324673,,"&lt;&gt;365")</f>
        <v>AR: Accident and Health</v>
      </c>
      <c r="R626" s="366"/>
      <c r="S626" s="391" t="s">
        <v>29</v>
      </c>
    </row>
    <row r="627" spans="14:19" ht="11.25" customHeight="1" x14ac:dyDescent="0.35">
      <c r="N627" s="388" t="s">
        <v>5464</v>
      </c>
      <c r="O627" s="389" t="s">
        <v>5375</v>
      </c>
      <c r="P627" s="389" t="str">
        <f t="shared" si="21"/>
        <v>2010Y</v>
      </c>
      <c r="Q627" s="390" t="str">
        <f>[1]!SNLLabel(287,324673,,"&lt;&gt;366")</f>
        <v>AR: Fraternal</v>
      </c>
      <c r="R627" s="366"/>
      <c r="S627" s="391" t="s">
        <v>29</v>
      </c>
    </row>
    <row r="628" spans="14:19" ht="11.25" customHeight="1" x14ac:dyDescent="0.35">
      <c r="N628" s="388" t="s">
        <v>5464</v>
      </c>
      <c r="O628" s="389" t="s">
        <v>5375</v>
      </c>
      <c r="P628" s="389" t="str">
        <f t="shared" si="21"/>
        <v>2010Y</v>
      </c>
      <c r="Q628" s="390" t="str">
        <f>[1]!SNLLabel(287,324673,,"&lt;&gt;367")</f>
        <v>AR: Other Lines of Business</v>
      </c>
      <c r="R628" s="366"/>
      <c r="S628" s="391" t="s">
        <v>29</v>
      </c>
    </row>
    <row r="629" spans="14:19" ht="11.25" customHeight="1" x14ac:dyDescent="0.35">
      <c r="N629" s="388" t="s">
        <v>5464</v>
      </c>
      <c r="O629" s="389" t="s">
        <v>5375</v>
      </c>
      <c r="P629" s="389" t="str">
        <f t="shared" si="21"/>
        <v>2010Y</v>
      </c>
      <c r="Q629" s="390" t="str">
        <f>[1]!SNLLabel(287,324673,,"&lt;&gt;368")</f>
        <v>AR: YRT Mortality Risk Only</v>
      </c>
      <c r="R629" s="366"/>
      <c r="S629" s="391" t="s">
        <v>29</v>
      </c>
    </row>
    <row r="630" spans="14:19" ht="11.25" customHeight="1" x14ac:dyDescent="0.35">
      <c r="N630" s="388" t="s">
        <v>5464</v>
      </c>
      <c r="O630" s="389" t="s">
        <v>5375</v>
      </c>
      <c r="P630" s="389" t="str">
        <f t="shared" si="21"/>
        <v>2010Y</v>
      </c>
      <c r="Q630" s="390" t="str">
        <f>[1]!SNLLabel(287,324673,,"&lt;&gt;369")</f>
        <v>AR: Individual and Group Life</v>
      </c>
      <c r="R630" s="366"/>
      <c r="S630" s="391" t="s">
        <v>29</v>
      </c>
    </row>
    <row r="631" spans="14:19" ht="11.25" customHeight="1" x14ac:dyDescent="0.35">
      <c r="N631" s="367" t="s">
        <v>5464</v>
      </c>
      <c r="O631" s="368" t="s">
        <v>5375</v>
      </c>
      <c r="P631" s="368" t="str">
        <f t="shared" si="21"/>
        <v>2010Y</v>
      </c>
      <c r="Q631" s="369" t="str">
        <f>[1]!SNLLabel(287,324673,,"&lt;&gt;370")</f>
        <v>AR: Individual and Group Annuities</v>
      </c>
      <c r="R631" s="370"/>
      <c r="S631" s="371" t="s">
        <v>29</v>
      </c>
    </row>
    <row r="632" spans="14:19" ht="11.25" customHeight="1" x14ac:dyDescent="0.35">
      <c r="N632" s="377"/>
      <c r="O632" s="378"/>
      <c r="P632" s="378"/>
      <c r="Q632" s="379"/>
      <c r="R632" s="375"/>
      <c r="S632" s="380"/>
    </row>
    <row r="633" spans="14:19" ht="11.25" customHeight="1" x14ac:dyDescent="0.35">
      <c r="N633" s="384" t="s">
        <v>5465</v>
      </c>
      <c r="O633" s="385" t="s">
        <v>5376</v>
      </c>
      <c r="P633" s="385" t="str">
        <f t="shared" ref="P633:P643" si="22">Period</f>
        <v>2014Y</v>
      </c>
      <c r="Q633" s="386" t="str">
        <f>[1]!SNLLabel(287,324674,,"&lt;&gt;360")</f>
        <v>AR: Analysis of Operations All Lines</v>
      </c>
      <c r="R633" s="365"/>
      <c r="S633" s="387" t="s">
        <v>29</v>
      </c>
    </row>
    <row r="634" spans="14:19" ht="11.25" customHeight="1" x14ac:dyDescent="0.35">
      <c r="N634" s="388" t="s">
        <v>5465</v>
      </c>
      <c r="O634" s="389" t="s">
        <v>5376</v>
      </c>
      <c r="P634" s="389" t="str">
        <f t="shared" si="22"/>
        <v>2014Y</v>
      </c>
      <c r="Q634" s="390" t="str">
        <f>[1]!SNLLabel(287,324674,,"&lt;&gt;361")</f>
        <v>AR: Individual Life</v>
      </c>
      <c r="R634" s="366"/>
      <c r="S634" s="391" t="s">
        <v>29</v>
      </c>
    </row>
    <row r="635" spans="14:19" ht="11.25" customHeight="1" x14ac:dyDescent="0.35">
      <c r="N635" s="388" t="s">
        <v>5465</v>
      </c>
      <c r="O635" s="389" t="s">
        <v>5376</v>
      </c>
      <c r="P635" s="389" t="str">
        <f t="shared" si="22"/>
        <v>2014Y</v>
      </c>
      <c r="Q635" s="390" t="str">
        <f>[1]!SNLLabel(287,324674,,"&lt;&gt;362")</f>
        <v>AR: Group Life</v>
      </c>
      <c r="R635" s="366"/>
      <c r="S635" s="391" t="s">
        <v>29</v>
      </c>
    </row>
    <row r="636" spans="14:19" ht="11.25" customHeight="1" x14ac:dyDescent="0.35">
      <c r="N636" s="388" t="s">
        <v>5465</v>
      </c>
      <c r="O636" s="389" t="s">
        <v>5376</v>
      </c>
      <c r="P636" s="389" t="str">
        <f t="shared" si="22"/>
        <v>2014Y</v>
      </c>
      <c r="Q636" s="390" t="str">
        <f>[1]!SNLLabel(287,324674,,"&lt;&gt;363")</f>
        <v>AR: Individual Annuities</v>
      </c>
      <c r="R636" s="366"/>
      <c r="S636" s="391" t="s">
        <v>29</v>
      </c>
    </row>
    <row r="637" spans="14:19" ht="11.25" customHeight="1" x14ac:dyDescent="0.35">
      <c r="N637" s="388" t="s">
        <v>5465</v>
      </c>
      <c r="O637" s="389" t="s">
        <v>5376</v>
      </c>
      <c r="P637" s="389" t="str">
        <f t="shared" si="22"/>
        <v>2014Y</v>
      </c>
      <c r="Q637" s="390" t="str">
        <f>[1]!SNLLabel(287,324674,,"&lt;&gt;364")</f>
        <v>AR: Group Annuities</v>
      </c>
      <c r="R637" s="366"/>
      <c r="S637" s="391" t="s">
        <v>29</v>
      </c>
    </row>
    <row r="638" spans="14:19" ht="11.25" customHeight="1" x14ac:dyDescent="0.35">
      <c r="N638" s="388" t="s">
        <v>5465</v>
      </c>
      <c r="O638" s="389" t="s">
        <v>5376</v>
      </c>
      <c r="P638" s="389" t="str">
        <f t="shared" si="22"/>
        <v>2014Y</v>
      </c>
      <c r="Q638" s="390" t="str">
        <f>[1]!SNLLabel(287,324674,,"&lt;&gt;365")</f>
        <v>AR: Accident and Health</v>
      </c>
      <c r="R638" s="366"/>
      <c r="S638" s="391" t="s">
        <v>29</v>
      </c>
    </row>
    <row r="639" spans="14:19" ht="11.25" customHeight="1" x14ac:dyDescent="0.35">
      <c r="N639" s="388" t="s">
        <v>5465</v>
      </c>
      <c r="O639" s="389" t="s">
        <v>5376</v>
      </c>
      <c r="P639" s="389" t="str">
        <f t="shared" si="22"/>
        <v>2014Y</v>
      </c>
      <c r="Q639" s="390" t="str">
        <f>[1]!SNLLabel(287,324674,,"&lt;&gt;366")</f>
        <v>AR: Fraternal</v>
      </c>
      <c r="R639" s="366"/>
      <c r="S639" s="391" t="s">
        <v>29</v>
      </c>
    </row>
    <row r="640" spans="14:19" ht="11.25" customHeight="1" x14ac:dyDescent="0.35">
      <c r="N640" s="388" t="s">
        <v>5465</v>
      </c>
      <c r="O640" s="389" t="s">
        <v>5376</v>
      </c>
      <c r="P640" s="389" t="str">
        <f t="shared" si="22"/>
        <v>2014Y</v>
      </c>
      <c r="Q640" s="390" t="str">
        <f>[1]!SNLLabel(287,324674,,"&lt;&gt;367")</f>
        <v>AR: Other Lines of Business</v>
      </c>
      <c r="R640" s="366"/>
      <c r="S640" s="391" t="s">
        <v>29</v>
      </c>
    </row>
    <row r="641" spans="14:19" ht="11.25" customHeight="1" x14ac:dyDescent="0.35">
      <c r="N641" s="388" t="s">
        <v>5465</v>
      </c>
      <c r="O641" s="389" t="s">
        <v>5376</v>
      </c>
      <c r="P641" s="389" t="str">
        <f t="shared" si="22"/>
        <v>2014Y</v>
      </c>
      <c r="Q641" s="390" t="str">
        <f>[1]!SNLLabel(287,324674,,"&lt;&gt;368")</f>
        <v>AR: YRT Mortality Risk Only</v>
      </c>
      <c r="R641" s="366"/>
      <c r="S641" s="391" t="s">
        <v>29</v>
      </c>
    </row>
    <row r="642" spans="14:19" ht="11.25" customHeight="1" x14ac:dyDescent="0.35">
      <c r="N642" s="388" t="s">
        <v>5465</v>
      </c>
      <c r="O642" s="389" t="s">
        <v>5376</v>
      </c>
      <c r="P642" s="389" t="str">
        <f t="shared" si="22"/>
        <v>2014Y</v>
      </c>
      <c r="Q642" s="390" t="str">
        <f>[1]!SNLLabel(287,324674,,"&lt;&gt;369")</f>
        <v>AR: Individual and Group Life</v>
      </c>
      <c r="R642" s="366"/>
      <c r="S642" s="391" t="s">
        <v>29</v>
      </c>
    </row>
    <row r="643" spans="14:19" ht="11.25" customHeight="1" x14ac:dyDescent="0.35">
      <c r="N643" s="367" t="s">
        <v>5465</v>
      </c>
      <c r="O643" s="368" t="s">
        <v>5376</v>
      </c>
      <c r="P643" s="368" t="str">
        <f t="shared" si="22"/>
        <v>2014Y</v>
      </c>
      <c r="Q643" s="369" t="str">
        <f>[1]!SNLLabel(287,324674,,"&lt;&gt;370")</f>
        <v>AR: Individual and Group Annuities</v>
      </c>
      <c r="R643" s="370"/>
      <c r="S643" s="371" t="s">
        <v>29</v>
      </c>
    </row>
    <row r="644" spans="14:19" ht="11.25" customHeight="1" x14ac:dyDescent="0.35">
      <c r="N644" s="384" t="s">
        <v>5465</v>
      </c>
      <c r="O644" s="385" t="s">
        <v>5376</v>
      </c>
      <c r="P644" s="385" t="str">
        <f t="shared" ref="P644:P654" si="23">LEFT(Period,4)-1&amp;"Y"</f>
        <v>2013Y</v>
      </c>
      <c r="Q644" s="386" t="str">
        <f>[1]!SNLLabel(287,324674,,"&lt;&gt;360")</f>
        <v>AR: Analysis of Operations All Lines</v>
      </c>
      <c r="R644" s="365"/>
      <c r="S644" s="387" t="s">
        <v>29</v>
      </c>
    </row>
    <row r="645" spans="14:19" ht="11.25" customHeight="1" x14ac:dyDescent="0.35">
      <c r="N645" s="388" t="s">
        <v>5465</v>
      </c>
      <c r="O645" s="389" t="s">
        <v>5376</v>
      </c>
      <c r="P645" s="389" t="str">
        <f t="shared" si="23"/>
        <v>2013Y</v>
      </c>
      <c r="Q645" s="390" t="str">
        <f>[1]!SNLLabel(287,324674,,"&lt;&gt;361")</f>
        <v>AR: Individual Life</v>
      </c>
      <c r="R645" s="366"/>
      <c r="S645" s="391" t="s">
        <v>29</v>
      </c>
    </row>
    <row r="646" spans="14:19" ht="11.25" customHeight="1" x14ac:dyDescent="0.35">
      <c r="N646" s="388" t="s">
        <v>5465</v>
      </c>
      <c r="O646" s="389" t="s">
        <v>5376</v>
      </c>
      <c r="P646" s="389" t="str">
        <f t="shared" si="23"/>
        <v>2013Y</v>
      </c>
      <c r="Q646" s="390" t="str">
        <f>[1]!SNLLabel(287,324674,,"&lt;&gt;362")</f>
        <v>AR: Group Life</v>
      </c>
      <c r="R646" s="366"/>
      <c r="S646" s="391" t="s">
        <v>29</v>
      </c>
    </row>
    <row r="647" spans="14:19" ht="11.25" customHeight="1" x14ac:dyDescent="0.35">
      <c r="N647" s="388" t="s">
        <v>5465</v>
      </c>
      <c r="O647" s="389" t="s">
        <v>5376</v>
      </c>
      <c r="P647" s="389" t="str">
        <f t="shared" si="23"/>
        <v>2013Y</v>
      </c>
      <c r="Q647" s="390" t="str">
        <f>[1]!SNLLabel(287,324674,,"&lt;&gt;363")</f>
        <v>AR: Individual Annuities</v>
      </c>
      <c r="R647" s="366"/>
      <c r="S647" s="391" t="s">
        <v>29</v>
      </c>
    </row>
    <row r="648" spans="14:19" ht="11.25" customHeight="1" x14ac:dyDescent="0.35">
      <c r="N648" s="388" t="s">
        <v>5465</v>
      </c>
      <c r="O648" s="389" t="s">
        <v>5376</v>
      </c>
      <c r="P648" s="389" t="str">
        <f t="shared" si="23"/>
        <v>2013Y</v>
      </c>
      <c r="Q648" s="390" t="str">
        <f>[1]!SNLLabel(287,324674,,"&lt;&gt;364")</f>
        <v>AR: Group Annuities</v>
      </c>
      <c r="R648" s="366"/>
      <c r="S648" s="391" t="s">
        <v>29</v>
      </c>
    </row>
    <row r="649" spans="14:19" ht="11.25" customHeight="1" x14ac:dyDescent="0.35">
      <c r="N649" s="388" t="s">
        <v>5465</v>
      </c>
      <c r="O649" s="389" t="s">
        <v>5376</v>
      </c>
      <c r="P649" s="389" t="str">
        <f t="shared" si="23"/>
        <v>2013Y</v>
      </c>
      <c r="Q649" s="390" t="str">
        <f>[1]!SNLLabel(287,324674,,"&lt;&gt;365")</f>
        <v>AR: Accident and Health</v>
      </c>
      <c r="R649" s="366"/>
      <c r="S649" s="391" t="s">
        <v>29</v>
      </c>
    </row>
    <row r="650" spans="14:19" ht="11.25" customHeight="1" x14ac:dyDescent="0.35">
      <c r="N650" s="388" t="s">
        <v>5465</v>
      </c>
      <c r="O650" s="389" t="s">
        <v>5376</v>
      </c>
      <c r="P650" s="389" t="str">
        <f t="shared" si="23"/>
        <v>2013Y</v>
      </c>
      <c r="Q650" s="390" t="str">
        <f>[1]!SNLLabel(287,324674,,"&lt;&gt;366")</f>
        <v>AR: Fraternal</v>
      </c>
      <c r="R650" s="366"/>
      <c r="S650" s="391" t="s">
        <v>29</v>
      </c>
    </row>
    <row r="651" spans="14:19" ht="11.25" customHeight="1" x14ac:dyDescent="0.35">
      <c r="N651" s="388" t="s">
        <v>5465</v>
      </c>
      <c r="O651" s="389" t="s">
        <v>5376</v>
      </c>
      <c r="P651" s="389" t="str">
        <f t="shared" si="23"/>
        <v>2013Y</v>
      </c>
      <c r="Q651" s="390" t="str">
        <f>[1]!SNLLabel(287,324674,,"&lt;&gt;367")</f>
        <v>AR: Other Lines of Business</v>
      </c>
      <c r="R651" s="366"/>
      <c r="S651" s="391" t="s">
        <v>29</v>
      </c>
    </row>
    <row r="652" spans="14:19" ht="11.25" customHeight="1" x14ac:dyDescent="0.35">
      <c r="N652" s="388" t="s">
        <v>5465</v>
      </c>
      <c r="O652" s="389" t="s">
        <v>5376</v>
      </c>
      <c r="P652" s="389" t="str">
        <f t="shared" si="23"/>
        <v>2013Y</v>
      </c>
      <c r="Q652" s="390" t="str">
        <f>[1]!SNLLabel(287,324674,,"&lt;&gt;368")</f>
        <v>AR: YRT Mortality Risk Only</v>
      </c>
      <c r="R652" s="366"/>
      <c r="S652" s="391" t="s">
        <v>29</v>
      </c>
    </row>
    <row r="653" spans="14:19" ht="11.25" customHeight="1" x14ac:dyDescent="0.35">
      <c r="N653" s="388" t="s">
        <v>5465</v>
      </c>
      <c r="O653" s="389" t="s">
        <v>5376</v>
      </c>
      <c r="P653" s="389" t="str">
        <f t="shared" si="23"/>
        <v>2013Y</v>
      </c>
      <c r="Q653" s="390" t="str">
        <f>[1]!SNLLabel(287,324674,,"&lt;&gt;369")</f>
        <v>AR: Individual and Group Life</v>
      </c>
      <c r="R653" s="366"/>
      <c r="S653" s="391" t="s">
        <v>29</v>
      </c>
    </row>
    <row r="654" spans="14:19" ht="11.25" customHeight="1" x14ac:dyDescent="0.35">
      <c r="N654" s="367" t="s">
        <v>5465</v>
      </c>
      <c r="O654" s="368" t="s">
        <v>5376</v>
      </c>
      <c r="P654" s="368" t="str">
        <f t="shared" si="23"/>
        <v>2013Y</v>
      </c>
      <c r="Q654" s="369" t="str">
        <f>[1]!SNLLabel(287,324674,,"&lt;&gt;370")</f>
        <v>AR: Individual and Group Annuities</v>
      </c>
      <c r="R654" s="370"/>
      <c r="S654" s="371" t="s">
        <v>29</v>
      </c>
    </row>
    <row r="655" spans="14:19" ht="11.25" customHeight="1" x14ac:dyDescent="0.35">
      <c r="N655" s="384" t="s">
        <v>5465</v>
      </c>
      <c r="O655" s="385" t="s">
        <v>5376</v>
      </c>
      <c r="P655" s="385" t="str">
        <f t="shared" ref="P655:P665" si="24">LEFT(Period,4)-2&amp;"Y"</f>
        <v>2012Y</v>
      </c>
      <c r="Q655" s="386" t="str">
        <f>[1]!SNLLabel(287,324674,,"&lt;&gt;360")</f>
        <v>AR: Analysis of Operations All Lines</v>
      </c>
      <c r="R655" s="365"/>
      <c r="S655" s="387" t="s">
        <v>29</v>
      </c>
    </row>
    <row r="656" spans="14:19" ht="11.25" customHeight="1" x14ac:dyDescent="0.35">
      <c r="N656" s="388" t="s">
        <v>5465</v>
      </c>
      <c r="O656" s="389" t="s">
        <v>5376</v>
      </c>
      <c r="P656" s="389" t="str">
        <f t="shared" si="24"/>
        <v>2012Y</v>
      </c>
      <c r="Q656" s="390" t="str">
        <f>[1]!SNLLabel(287,324674,,"&lt;&gt;361")</f>
        <v>AR: Individual Life</v>
      </c>
      <c r="R656" s="366"/>
      <c r="S656" s="391" t="s">
        <v>29</v>
      </c>
    </row>
    <row r="657" spans="14:19" ht="11.25" customHeight="1" x14ac:dyDescent="0.35">
      <c r="N657" s="388" t="s">
        <v>5465</v>
      </c>
      <c r="O657" s="389" t="s">
        <v>5376</v>
      </c>
      <c r="P657" s="389" t="str">
        <f t="shared" si="24"/>
        <v>2012Y</v>
      </c>
      <c r="Q657" s="390" t="str">
        <f>[1]!SNLLabel(287,324674,,"&lt;&gt;362")</f>
        <v>AR: Group Life</v>
      </c>
      <c r="R657" s="366"/>
      <c r="S657" s="391" t="s">
        <v>29</v>
      </c>
    </row>
    <row r="658" spans="14:19" ht="11.25" customHeight="1" x14ac:dyDescent="0.35">
      <c r="N658" s="388" t="s">
        <v>5465</v>
      </c>
      <c r="O658" s="389" t="s">
        <v>5376</v>
      </c>
      <c r="P658" s="389" t="str">
        <f t="shared" si="24"/>
        <v>2012Y</v>
      </c>
      <c r="Q658" s="390" t="str">
        <f>[1]!SNLLabel(287,324674,,"&lt;&gt;363")</f>
        <v>AR: Individual Annuities</v>
      </c>
      <c r="R658" s="366"/>
      <c r="S658" s="391" t="s">
        <v>29</v>
      </c>
    </row>
    <row r="659" spans="14:19" ht="11.25" customHeight="1" x14ac:dyDescent="0.35">
      <c r="N659" s="388" t="s">
        <v>5465</v>
      </c>
      <c r="O659" s="389" t="s">
        <v>5376</v>
      </c>
      <c r="P659" s="389" t="str">
        <f t="shared" si="24"/>
        <v>2012Y</v>
      </c>
      <c r="Q659" s="390" t="str">
        <f>[1]!SNLLabel(287,324674,,"&lt;&gt;364")</f>
        <v>AR: Group Annuities</v>
      </c>
      <c r="R659" s="366"/>
      <c r="S659" s="391" t="s">
        <v>29</v>
      </c>
    </row>
    <row r="660" spans="14:19" ht="11.25" customHeight="1" x14ac:dyDescent="0.35">
      <c r="N660" s="388" t="s">
        <v>5465</v>
      </c>
      <c r="O660" s="389" t="s">
        <v>5376</v>
      </c>
      <c r="P660" s="389" t="str">
        <f t="shared" si="24"/>
        <v>2012Y</v>
      </c>
      <c r="Q660" s="390" t="str">
        <f>[1]!SNLLabel(287,324674,,"&lt;&gt;365")</f>
        <v>AR: Accident and Health</v>
      </c>
      <c r="R660" s="366"/>
      <c r="S660" s="391" t="s">
        <v>29</v>
      </c>
    </row>
    <row r="661" spans="14:19" ht="11.25" customHeight="1" x14ac:dyDescent="0.35">
      <c r="N661" s="388" t="s">
        <v>5465</v>
      </c>
      <c r="O661" s="389" t="s">
        <v>5376</v>
      </c>
      <c r="P661" s="389" t="str">
        <f t="shared" si="24"/>
        <v>2012Y</v>
      </c>
      <c r="Q661" s="390" t="str">
        <f>[1]!SNLLabel(287,324674,,"&lt;&gt;366")</f>
        <v>AR: Fraternal</v>
      </c>
      <c r="R661" s="366"/>
      <c r="S661" s="391" t="s">
        <v>29</v>
      </c>
    </row>
    <row r="662" spans="14:19" ht="11.25" customHeight="1" x14ac:dyDescent="0.35">
      <c r="N662" s="388" t="s">
        <v>5465</v>
      </c>
      <c r="O662" s="389" t="s">
        <v>5376</v>
      </c>
      <c r="P662" s="389" t="str">
        <f t="shared" si="24"/>
        <v>2012Y</v>
      </c>
      <c r="Q662" s="390" t="str">
        <f>[1]!SNLLabel(287,324674,,"&lt;&gt;367")</f>
        <v>AR: Other Lines of Business</v>
      </c>
      <c r="R662" s="366"/>
      <c r="S662" s="391" t="s">
        <v>29</v>
      </c>
    </row>
    <row r="663" spans="14:19" ht="11.25" customHeight="1" x14ac:dyDescent="0.35">
      <c r="N663" s="388" t="s">
        <v>5465</v>
      </c>
      <c r="O663" s="389" t="s">
        <v>5376</v>
      </c>
      <c r="P663" s="389" t="str">
        <f t="shared" si="24"/>
        <v>2012Y</v>
      </c>
      <c r="Q663" s="390" t="str">
        <f>[1]!SNLLabel(287,324674,,"&lt;&gt;368")</f>
        <v>AR: YRT Mortality Risk Only</v>
      </c>
      <c r="R663" s="366"/>
      <c r="S663" s="391" t="s">
        <v>29</v>
      </c>
    </row>
    <row r="664" spans="14:19" ht="11.25" customHeight="1" x14ac:dyDescent="0.35">
      <c r="N664" s="388" t="s">
        <v>5465</v>
      </c>
      <c r="O664" s="389" t="s">
        <v>5376</v>
      </c>
      <c r="P664" s="389" t="str">
        <f t="shared" si="24"/>
        <v>2012Y</v>
      </c>
      <c r="Q664" s="390" t="str">
        <f>[1]!SNLLabel(287,324674,,"&lt;&gt;369")</f>
        <v>AR: Individual and Group Life</v>
      </c>
      <c r="R664" s="366"/>
      <c r="S664" s="391" t="s">
        <v>29</v>
      </c>
    </row>
    <row r="665" spans="14:19" ht="11.25" customHeight="1" x14ac:dyDescent="0.35">
      <c r="N665" s="367" t="s">
        <v>5465</v>
      </c>
      <c r="O665" s="368" t="s">
        <v>5376</v>
      </c>
      <c r="P665" s="368" t="str">
        <f t="shared" si="24"/>
        <v>2012Y</v>
      </c>
      <c r="Q665" s="369" t="str">
        <f>[1]!SNLLabel(287,324674,,"&lt;&gt;370")</f>
        <v>AR: Individual and Group Annuities</v>
      </c>
      <c r="R665" s="370"/>
      <c r="S665" s="371" t="s">
        <v>29</v>
      </c>
    </row>
    <row r="666" spans="14:19" ht="11.25" customHeight="1" x14ac:dyDescent="0.35">
      <c r="N666" s="384" t="s">
        <v>5465</v>
      </c>
      <c r="O666" s="385" t="s">
        <v>5376</v>
      </c>
      <c r="P666" s="385" t="str">
        <f t="shared" ref="P666:P676" si="25">LEFT(Period,4)-3&amp;"Y"</f>
        <v>2011Y</v>
      </c>
      <c r="Q666" s="386" t="str">
        <f>[1]!SNLLabel(287,324674,,"&lt;&gt;360")</f>
        <v>AR: Analysis of Operations All Lines</v>
      </c>
      <c r="R666" s="365"/>
      <c r="S666" s="387" t="s">
        <v>29</v>
      </c>
    </row>
    <row r="667" spans="14:19" ht="11.25" customHeight="1" x14ac:dyDescent="0.35">
      <c r="N667" s="388" t="s">
        <v>5465</v>
      </c>
      <c r="O667" s="389" t="s">
        <v>5376</v>
      </c>
      <c r="P667" s="389" t="str">
        <f t="shared" si="25"/>
        <v>2011Y</v>
      </c>
      <c r="Q667" s="390" t="str">
        <f>[1]!SNLLabel(287,324674,,"&lt;&gt;361")</f>
        <v>AR: Individual Life</v>
      </c>
      <c r="R667" s="366"/>
      <c r="S667" s="391" t="s">
        <v>29</v>
      </c>
    </row>
    <row r="668" spans="14:19" ht="11.25" customHeight="1" x14ac:dyDescent="0.35">
      <c r="N668" s="388" t="s">
        <v>5465</v>
      </c>
      <c r="O668" s="389" t="s">
        <v>5376</v>
      </c>
      <c r="P668" s="389" t="str">
        <f t="shared" si="25"/>
        <v>2011Y</v>
      </c>
      <c r="Q668" s="390" t="str">
        <f>[1]!SNLLabel(287,324674,,"&lt;&gt;362")</f>
        <v>AR: Group Life</v>
      </c>
      <c r="R668" s="366"/>
      <c r="S668" s="391" t="s">
        <v>29</v>
      </c>
    </row>
    <row r="669" spans="14:19" ht="11.25" customHeight="1" x14ac:dyDescent="0.35">
      <c r="N669" s="388" t="s">
        <v>5465</v>
      </c>
      <c r="O669" s="389" t="s">
        <v>5376</v>
      </c>
      <c r="P669" s="389" t="str">
        <f t="shared" si="25"/>
        <v>2011Y</v>
      </c>
      <c r="Q669" s="390" t="str">
        <f>[1]!SNLLabel(287,324674,,"&lt;&gt;363")</f>
        <v>AR: Individual Annuities</v>
      </c>
      <c r="R669" s="366"/>
      <c r="S669" s="391" t="s">
        <v>29</v>
      </c>
    </row>
    <row r="670" spans="14:19" ht="11.25" customHeight="1" x14ac:dyDescent="0.35">
      <c r="N670" s="388" t="s">
        <v>5465</v>
      </c>
      <c r="O670" s="389" t="s">
        <v>5376</v>
      </c>
      <c r="P670" s="389" t="str">
        <f t="shared" si="25"/>
        <v>2011Y</v>
      </c>
      <c r="Q670" s="390" t="str">
        <f>[1]!SNLLabel(287,324674,,"&lt;&gt;364")</f>
        <v>AR: Group Annuities</v>
      </c>
      <c r="R670" s="366"/>
      <c r="S670" s="391" t="s">
        <v>29</v>
      </c>
    </row>
    <row r="671" spans="14:19" ht="11.25" customHeight="1" x14ac:dyDescent="0.35">
      <c r="N671" s="388" t="s">
        <v>5465</v>
      </c>
      <c r="O671" s="389" t="s">
        <v>5376</v>
      </c>
      <c r="P671" s="389" t="str">
        <f t="shared" si="25"/>
        <v>2011Y</v>
      </c>
      <c r="Q671" s="390" t="str">
        <f>[1]!SNLLabel(287,324674,,"&lt;&gt;365")</f>
        <v>AR: Accident and Health</v>
      </c>
      <c r="R671" s="366"/>
      <c r="S671" s="391" t="s">
        <v>29</v>
      </c>
    </row>
    <row r="672" spans="14:19" ht="11.25" customHeight="1" x14ac:dyDescent="0.35">
      <c r="N672" s="388" t="s">
        <v>5465</v>
      </c>
      <c r="O672" s="389" t="s">
        <v>5376</v>
      </c>
      <c r="P672" s="389" t="str">
        <f t="shared" si="25"/>
        <v>2011Y</v>
      </c>
      <c r="Q672" s="390" t="str">
        <f>[1]!SNLLabel(287,324674,,"&lt;&gt;366")</f>
        <v>AR: Fraternal</v>
      </c>
      <c r="R672" s="366"/>
      <c r="S672" s="391" t="s">
        <v>29</v>
      </c>
    </row>
    <row r="673" spans="14:19" ht="11.25" customHeight="1" x14ac:dyDescent="0.35">
      <c r="N673" s="388" t="s">
        <v>5465</v>
      </c>
      <c r="O673" s="389" t="s">
        <v>5376</v>
      </c>
      <c r="P673" s="389" t="str">
        <f t="shared" si="25"/>
        <v>2011Y</v>
      </c>
      <c r="Q673" s="390" t="str">
        <f>[1]!SNLLabel(287,324674,,"&lt;&gt;367")</f>
        <v>AR: Other Lines of Business</v>
      </c>
      <c r="R673" s="366"/>
      <c r="S673" s="391" t="s">
        <v>29</v>
      </c>
    </row>
    <row r="674" spans="14:19" ht="11.25" customHeight="1" x14ac:dyDescent="0.35">
      <c r="N674" s="388" t="s">
        <v>5465</v>
      </c>
      <c r="O674" s="389" t="s">
        <v>5376</v>
      </c>
      <c r="P674" s="389" t="str">
        <f t="shared" si="25"/>
        <v>2011Y</v>
      </c>
      <c r="Q674" s="390" t="str">
        <f>[1]!SNLLabel(287,324674,,"&lt;&gt;368")</f>
        <v>AR: YRT Mortality Risk Only</v>
      </c>
      <c r="R674" s="366"/>
      <c r="S674" s="391" t="s">
        <v>29</v>
      </c>
    </row>
    <row r="675" spans="14:19" ht="11.25" customHeight="1" x14ac:dyDescent="0.35">
      <c r="N675" s="388" t="s">
        <v>5465</v>
      </c>
      <c r="O675" s="389" t="s">
        <v>5376</v>
      </c>
      <c r="P675" s="389" t="str">
        <f t="shared" si="25"/>
        <v>2011Y</v>
      </c>
      <c r="Q675" s="390" t="str">
        <f>[1]!SNLLabel(287,324674,,"&lt;&gt;369")</f>
        <v>AR: Individual and Group Life</v>
      </c>
      <c r="R675" s="366"/>
      <c r="S675" s="391" t="s">
        <v>29</v>
      </c>
    </row>
    <row r="676" spans="14:19" ht="11.25" customHeight="1" x14ac:dyDescent="0.35">
      <c r="N676" s="367" t="s">
        <v>5465</v>
      </c>
      <c r="O676" s="368" t="s">
        <v>5376</v>
      </c>
      <c r="P676" s="368" t="str">
        <f t="shared" si="25"/>
        <v>2011Y</v>
      </c>
      <c r="Q676" s="369" t="str">
        <f>[1]!SNLLabel(287,324674,,"&lt;&gt;370")</f>
        <v>AR: Individual and Group Annuities</v>
      </c>
      <c r="R676" s="370"/>
      <c r="S676" s="371" t="s">
        <v>29</v>
      </c>
    </row>
    <row r="677" spans="14:19" ht="11.25" customHeight="1" x14ac:dyDescent="0.35">
      <c r="N677" s="384" t="s">
        <v>5465</v>
      </c>
      <c r="O677" s="385" t="s">
        <v>5376</v>
      </c>
      <c r="P677" s="385" t="str">
        <f t="shared" ref="P677:P687" si="26">LEFT(Period,4)-4&amp;"Y"</f>
        <v>2010Y</v>
      </c>
      <c r="Q677" s="386" t="str">
        <f>[1]!SNLLabel(287,324674,,"&lt;&gt;360")</f>
        <v>AR: Analysis of Operations All Lines</v>
      </c>
      <c r="R677" s="365"/>
      <c r="S677" s="387" t="s">
        <v>29</v>
      </c>
    </row>
    <row r="678" spans="14:19" ht="11.25" customHeight="1" x14ac:dyDescent="0.35">
      <c r="N678" s="388" t="s">
        <v>5465</v>
      </c>
      <c r="O678" s="389" t="s">
        <v>5376</v>
      </c>
      <c r="P678" s="389" t="str">
        <f t="shared" si="26"/>
        <v>2010Y</v>
      </c>
      <c r="Q678" s="390" t="str">
        <f>[1]!SNLLabel(287,324674,,"&lt;&gt;361")</f>
        <v>AR: Individual Life</v>
      </c>
      <c r="R678" s="366"/>
      <c r="S678" s="391" t="s">
        <v>29</v>
      </c>
    </row>
    <row r="679" spans="14:19" ht="11.25" customHeight="1" x14ac:dyDescent="0.35">
      <c r="N679" s="388" t="s">
        <v>5465</v>
      </c>
      <c r="O679" s="389" t="s">
        <v>5376</v>
      </c>
      <c r="P679" s="389" t="str">
        <f t="shared" si="26"/>
        <v>2010Y</v>
      </c>
      <c r="Q679" s="390" t="str">
        <f>[1]!SNLLabel(287,324674,,"&lt;&gt;362")</f>
        <v>AR: Group Life</v>
      </c>
      <c r="R679" s="366"/>
      <c r="S679" s="391" t="s">
        <v>29</v>
      </c>
    </row>
    <row r="680" spans="14:19" ht="11.25" customHeight="1" x14ac:dyDescent="0.35">
      <c r="N680" s="388" t="s">
        <v>5465</v>
      </c>
      <c r="O680" s="389" t="s">
        <v>5376</v>
      </c>
      <c r="P680" s="389" t="str">
        <f t="shared" si="26"/>
        <v>2010Y</v>
      </c>
      <c r="Q680" s="390" t="str">
        <f>[1]!SNLLabel(287,324674,,"&lt;&gt;363")</f>
        <v>AR: Individual Annuities</v>
      </c>
      <c r="R680" s="366"/>
      <c r="S680" s="391" t="s">
        <v>29</v>
      </c>
    </row>
    <row r="681" spans="14:19" ht="11.25" customHeight="1" x14ac:dyDescent="0.35">
      <c r="N681" s="388" t="s">
        <v>5465</v>
      </c>
      <c r="O681" s="389" t="s">
        <v>5376</v>
      </c>
      <c r="P681" s="389" t="str">
        <f t="shared" si="26"/>
        <v>2010Y</v>
      </c>
      <c r="Q681" s="390" t="str">
        <f>[1]!SNLLabel(287,324674,,"&lt;&gt;364")</f>
        <v>AR: Group Annuities</v>
      </c>
      <c r="R681" s="366"/>
      <c r="S681" s="391" t="s">
        <v>29</v>
      </c>
    </row>
    <row r="682" spans="14:19" ht="11.25" customHeight="1" x14ac:dyDescent="0.35">
      <c r="N682" s="388" t="s">
        <v>5465</v>
      </c>
      <c r="O682" s="389" t="s">
        <v>5376</v>
      </c>
      <c r="P682" s="389" t="str">
        <f t="shared" si="26"/>
        <v>2010Y</v>
      </c>
      <c r="Q682" s="390" t="str">
        <f>[1]!SNLLabel(287,324674,,"&lt;&gt;365")</f>
        <v>AR: Accident and Health</v>
      </c>
      <c r="R682" s="366"/>
      <c r="S682" s="391" t="s">
        <v>29</v>
      </c>
    </row>
    <row r="683" spans="14:19" ht="11.25" customHeight="1" x14ac:dyDescent="0.35">
      <c r="N683" s="388" t="s">
        <v>5465</v>
      </c>
      <c r="O683" s="389" t="s">
        <v>5376</v>
      </c>
      <c r="P683" s="389" t="str">
        <f t="shared" si="26"/>
        <v>2010Y</v>
      </c>
      <c r="Q683" s="390" t="str">
        <f>[1]!SNLLabel(287,324674,,"&lt;&gt;366")</f>
        <v>AR: Fraternal</v>
      </c>
      <c r="R683" s="366"/>
      <c r="S683" s="391" t="s">
        <v>29</v>
      </c>
    </row>
    <row r="684" spans="14:19" ht="11.25" customHeight="1" x14ac:dyDescent="0.35">
      <c r="N684" s="388" t="s">
        <v>5465</v>
      </c>
      <c r="O684" s="389" t="s">
        <v>5376</v>
      </c>
      <c r="P684" s="389" t="str">
        <f t="shared" si="26"/>
        <v>2010Y</v>
      </c>
      <c r="Q684" s="390" t="str">
        <f>[1]!SNLLabel(287,324674,,"&lt;&gt;367")</f>
        <v>AR: Other Lines of Business</v>
      </c>
      <c r="R684" s="366"/>
      <c r="S684" s="391" t="s">
        <v>29</v>
      </c>
    </row>
    <row r="685" spans="14:19" ht="11.25" customHeight="1" x14ac:dyDescent="0.35">
      <c r="N685" s="388" t="s">
        <v>5465</v>
      </c>
      <c r="O685" s="389" t="s">
        <v>5376</v>
      </c>
      <c r="P685" s="389" t="str">
        <f t="shared" si="26"/>
        <v>2010Y</v>
      </c>
      <c r="Q685" s="390" t="str">
        <f>[1]!SNLLabel(287,324674,,"&lt;&gt;368")</f>
        <v>AR: YRT Mortality Risk Only</v>
      </c>
      <c r="R685" s="366"/>
      <c r="S685" s="391" t="s">
        <v>29</v>
      </c>
    </row>
    <row r="686" spans="14:19" ht="11.25" customHeight="1" x14ac:dyDescent="0.35">
      <c r="N686" s="388" t="s">
        <v>5465</v>
      </c>
      <c r="O686" s="389" t="s">
        <v>5376</v>
      </c>
      <c r="P686" s="389" t="str">
        <f t="shared" si="26"/>
        <v>2010Y</v>
      </c>
      <c r="Q686" s="390" t="str">
        <f>[1]!SNLLabel(287,324674,,"&lt;&gt;369")</f>
        <v>AR: Individual and Group Life</v>
      </c>
      <c r="R686" s="366"/>
      <c r="S686" s="391" t="s">
        <v>29</v>
      </c>
    </row>
    <row r="687" spans="14:19" ht="11.25" customHeight="1" x14ac:dyDescent="0.35">
      <c r="N687" s="367" t="s">
        <v>5465</v>
      </c>
      <c r="O687" s="368" t="s">
        <v>5376</v>
      </c>
      <c r="P687" s="368" t="str">
        <f t="shared" si="26"/>
        <v>2010Y</v>
      </c>
      <c r="Q687" s="369" t="str">
        <f>[1]!SNLLabel(287,324674,,"&lt;&gt;370")</f>
        <v>AR: Individual and Group Annuities</v>
      </c>
      <c r="R687" s="370"/>
      <c r="S687" s="371" t="s">
        <v>29</v>
      </c>
    </row>
    <row r="688" spans="14:19" ht="11.25" customHeight="1" x14ac:dyDescent="0.35">
      <c r="N688" s="377"/>
      <c r="O688" s="378"/>
      <c r="P688" s="378"/>
      <c r="Q688" s="379"/>
      <c r="R688" s="375"/>
      <c r="S688" s="380"/>
    </row>
    <row r="689" spans="14:19" ht="11.25" customHeight="1" x14ac:dyDescent="0.35">
      <c r="N689" s="384" t="s">
        <v>5466</v>
      </c>
      <c r="O689" s="385" t="s">
        <v>5377</v>
      </c>
      <c r="P689" s="385" t="str">
        <f t="shared" ref="P689:P699" si="27">Period</f>
        <v>2014Y</v>
      </c>
      <c r="Q689" s="386" t="str">
        <f>[1]!SNLLabel(287,324675,,"&lt;&gt;360")</f>
        <v>AR: Analysis of Operations All Lines</v>
      </c>
      <c r="R689" s="365"/>
      <c r="S689" s="387" t="s">
        <v>29</v>
      </c>
    </row>
    <row r="690" spans="14:19" ht="11.25" customHeight="1" x14ac:dyDescent="0.35">
      <c r="N690" s="388" t="s">
        <v>5466</v>
      </c>
      <c r="O690" s="389" t="s">
        <v>5377</v>
      </c>
      <c r="P690" s="389" t="str">
        <f t="shared" si="27"/>
        <v>2014Y</v>
      </c>
      <c r="Q690" s="390" t="str">
        <f>[1]!SNLLabel(287,324675,,"&lt;&gt;361")</f>
        <v>AR: Individual Life</v>
      </c>
      <c r="R690" s="366"/>
      <c r="S690" s="391" t="s">
        <v>29</v>
      </c>
    </row>
    <row r="691" spans="14:19" ht="11.25" customHeight="1" x14ac:dyDescent="0.35">
      <c r="N691" s="388" t="s">
        <v>5466</v>
      </c>
      <c r="O691" s="389" t="s">
        <v>5377</v>
      </c>
      <c r="P691" s="389" t="str">
        <f t="shared" si="27"/>
        <v>2014Y</v>
      </c>
      <c r="Q691" s="390" t="str">
        <f>[1]!SNLLabel(287,324675,,"&lt;&gt;362")</f>
        <v>AR: Group Life</v>
      </c>
      <c r="R691" s="366"/>
      <c r="S691" s="391" t="s">
        <v>29</v>
      </c>
    </row>
    <row r="692" spans="14:19" ht="11.25" customHeight="1" x14ac:dyDescent="0.35">
      <c r="N692" s="388" t="s">
        <v>5466</v>
      </c>
      <c r="O692" s="389" t="s">
        <v>5377</v>
      </c>
      <c r="P692" s="389" t="str">
        <f t="shared" si="27"/>
        <v>2014Y</v>
      </c>
      <c r="Q692" s="390" t="str">
        <f>[1]!SNLLabel(287,324675,,"&lt;&gt;363")</f>
        <v>AR: Individual Annuities</v>
      </c>
      <c r="R692" s="366"/>
      <c r="S692" s="391" t="s">
        <v>29</v>
      </c>
    </row>
    <row r="693" spans="14:19" ht="11.25" customHeight="1" x14ac:dyDescent="0.35">
      <c r="N693" s="388" t="s">
        <v>5466</v>
      </c>
      <c r="O693" s="389" t="s">
        <v>5377</v>
      </c>
      <c r="P693" s="389" t="str">
        <f t="shared" si="27"/>
        <v>2014Y</v>
      </c>
      <c r="Q693" s="390" t="str">
        <f>[1]!SNLLabel(287,324675,,"&lt;&gt;364")</f>
        <v>AR: Group Annuities</v>
      </c>
      <c r="R693" s="366"/>
      <c r="S693" s="391" t="s">
        <v>29</v>
      </c>
    </row>
    <row r="694" spans="14:19" ht="11.25" customHeight="1" x14ac:dyDescent="0.35">
      <c r="N694" s="388" t="s">
        <v>5466</v>
      </c>
      <c r="O694" s="389" t="s">
        <v>5377</v>
      </c>
      <c r="P694" s="389" t="str">
        <f t="shared" si="27"/>
        <v>2014Y</v>
      </c>
      <c r="Q694" s="390" t="str">
        <f>[1]!SNLLabel(287,324675,,"&lt;&gt;365")</f>
        <v>AR: Accident and Health</v>
      </c>
      <c r="R694" s="366"/>
      <c r="S694" s="391" t="s">
        <v>29</v>
      </c>
    </row>
    <row r="695" spans="14:19" ht="11.25" customHeight="1" x14ac:dyDescent="0.35">
      <c r="N695" s="388" t="s">
        <v>5466</v>
      </c>
      <c r="O695" s="389" t="s">
        <v>5377</v>
      </c>
      <c r="P695" s="389" t="str">
        <f t="shared" si="27"/>
        <v>2014Y</v>
      </c>
      <c r="Q695" s="390" t="str">
        <f>[1]!SNLLabel(287,324675,,"&lt;&gt;366")</f>
        <v>AR: Fraternal</v>
      </c>
      <c r="R695" s="366"/>
      <c r="S695" s="391" t="s">
        <v>29</v>
      </c>
    </row>
    <row r="696" spans="14:19" ht="11.25" customHeight="1" x14ac:dyDescent="0.35">
      <c r="N696" s="388" t="s">
        <v>5466</v>
      </c>
      <c r="O696" s="389" t="s">
        <v>5377</v>
      </c>
      <c r="P696" s="389" t="str">
        <f t="shared" si="27"/>
        <v>2014Y</v>
      </c>
      <c r="Q696" s="390" t="str">
        <f>[1]!SNLLabel(287,324675,,"&lt;&gt;367")</f>
        <v>AR: Other Lines of Business</v>
      </c>
      <c r="R696" s="366"/>
      <c r="S696" s="391" t="s">
        <v>29</v>
      </c>
    </row>
    <row r="697" spans="14:19" ht="11.25" customHeight="1" x14ac:dyDescent="0.35">
      <c r="N697" s="388" t="s">
        <v>5466</v>
      </c>
      <c r="O697" s="389" t="s">
        <v>5377</v>
      </c>
      <c r="P697" s="389" t="str">
        <f t="shared" si="27"/>
        <v>2014Y</v>
      </c>
      <c r="Q697" s="390" t="str">
        <f>[1]!SNLLabel(287,324675,,"&lt;&gt;368")</f>
        <v>AR: YRT Mortality Risk Only</v>
      </c>
      <c r="R697" s="366"/>
      <c r="S697" s="391" t="s">
        <v>29</v>
      </c>
    </row>
    <row r="698" spans="14:19" ht="11.25" customHeight="1" x14ac:dyDescent="0.35">
      <c r="N698" s="388" t="s">
        <v>5466</v>
      </c>
      <c r="O698" s="389" t="s">
        <v>5377</v>
      </c>
      <c r="P698" s="389" t="str">
        <f t="shared" si="27"/>
        <v>2014Y</v>
      </c>
      <c r="Q698" s="390" t="str">
        <f>[1]!SNLLabel(287,324675,,"&lt;&gt;369")</f>
        <v>AR: Individual and Group Life</v>
      </c>
      <c r="R698" s="366"/>
      <c r="S698" s="391" t="s">
        <v>29</v>
      </c>
    </row>
    <row r="699" spans="14:19" ht="11.25" customHeight="1" x14ac:dyDescent="0.35">
      <c r="N699" s="367" t="s">
        <v>5466</v>
      </c>
      <c r="O699" s="368" t="s">
        <v>5377</v>
      </c>
      <c r="P699" s="368" t="str">
        <f t="shared" si="27"/>
        <v>2014Y</v>
      </c>
      <c r="Q699" s="369" t="str">
        <f>[1]!SNLLabel(287,324675,,"&lt;&gt;370")</f>
        <v>AR: Individual and Group Annuities</v>
      </c>
      <c r="R699" s="370"/>
      <c r="S699" s="371" t="s">
        <v>29</v>
      </c>
    </row>
    <row r="700" spans="14:19" ht="11.25" customHeight="1" x14ac:dyDescent="0.35">
      <c r="N700" s="384" t="s">
        <v>5466</v>
      </c>
      <c r="O700" s="385" t="s">
        <v>5377</v>
      </c>
      <c r="P700" s="385" t="str">
        <f t="shared" ref="P700:P710" si="28">LEFT(Period,4)-1&amp;"Y"</f>
        <v>2013Y</v>
      </c>
      <c r="Q700" s="386" t="str">
        <f>[1]!SNLLabel(287,324675,,"&lt;&gt;360")</f>
        <v>AR: Analysis of Operations All Lines</v>
      </c>
      <c r="R700" s="365"/>
      <c r="S700" s="387" t="s">
        <v>29</v>
      </c>
    </row>
    <row r="701" spans="14:19" ht="11.25" customHeight="1" x14ac:dyDescent="0.35">
      <c r="N701" s="388" t="s">
        <v>5466</v>
      </c>
      <c r="O701" s="389" t="s">
        <v>5377</v>
      </c>
      <c r="P701" s="389" t="str">
        <f t="shared" si="28"/>
        <v>2013Y</v>
      </c>
      <c r="Q701" s="390" t="str">
        <f>[1]!SNLLabel(287,324675,,"&lt;&gt;361")</f>
        <v>AR: Individual Life</v>
      </c>
      <c r="R701" s="366"/>
      <c r="S701" s="391" t="s">
        <v>29</v>
      </c>
    </row>
    <row r="702" spans="14:19" ht="11.25" customHeight="1" x14ac:dyDescent="0.35">
      <c r="N702" s="388" t="s">
        <v>5466</v>
      </c>
      <c r="O702" s="389" t="s">
        <v>5377</v>
      </c>
      <c r="P702" s="389" t="str">
        <f t="shared" si="28"/>
        <v>2013Y</v>
      </c>
      <c r="Q702" s="390" t="str">
        <f>[1]!SNLLabel(287,324675,,"&lt;&gt;362")</f>
        <v>AR: Group Life</v>
      </c>
      <c r="R702" s="366"/>
      <c r="S702" s="391" t="s">
        <v>29</v>
      </c>
    </row>
    <row r="703" spans="14:19" ht="11.25" customHeight="1" x14ac:dyDescent="0.35">
      <c r="N703" s="388" t="s">
        <v>5466</v>
      </c>
      <c r="O703" s="389" t="s">
        <v>5377</v>
      </c>
      <c r="P703" s="389" t="str">
        <f t="shared" si="28"/>
        <v>2013Y</v>
      </c>
      <c r="Q703" s="390" t="str">
        <f>[1]!SNLLabel(287,324675,,"&lt;&gt;363")</f>
        <v>AR: Individual Annuities</v>
      </c>
      <c r="R703" s="366"/>
      <c r="S703" s="391" t="s">
        <v>29</v>
      </c>
    </row>
    <row r="704" spans="14:19" ht="11.25" customHeight="1" x14ac:dyDescent="0.35">
      <c r="N704" s="388" t="s">
        <v>5466</v>
      </c>
      <c r="O704" s="389" t="s">
        <v>5377</v>
      </c>
      <c r="P704" s="389" t="str">
        <f t="shared" si="28"/>
        <v>2013Y</v>
      </c>
      <c r="Q704" s="390" t="str">
        <f>[1]!SNLLabel(287,324675,,"&lt;&gt;364")</f>
        <v>AR: Group Annuities</v>
      </c>
      <c r="R704" s="366"/>
      <c r="S704" s="391" t="s">
        <v>29</v>
      </c>
    </row>
    <row r="705" spans="14:19" ht="11.25" customHeight="1" x14ac:dyDescent="0.35">
      <c r="N705" s="388" t="s">
        <v>5466</v>
      </c>
      <c r="O705" s="389" t="s">
        <v>5377</v>
      </c>
      <c r="P705" s="389" t="str">
        <f t="shared" si="28"/>
        <v>2013Y</v>
      </c>
      <c r="Q705" s="390" t="str">
        <f>[1]!SNLLabel(287,324675,,"&lt;&gt;365")</f>
        <v>AR: Accident and Health</v>
      </c>
      <c r="R705" s="366"/>
      <c r="S705" s="391" t="s">
        <v>29</v>
      </c>
    </row>
    <row r="706" spans="14:19" ht="11.25" customHeight="1" x14ac:dyDescent="0.35">
      <c r="N706" s="388" t="s">
        <v>5466</v>
      </c>
      <c r="O706" s="389" t="s">
        <v>5377</v>
      </c>
      <c r="P706" s="389" t="str">
        <f t="shared" si="28"/>
        <v>2013Y</v>
      </c>
      <c r="Q706" s="390" t="str">
        <f>[1]!SNLLabel(287,324675,,"&lt;&gt;366")</f>
        <v>AR: Fraternal</v>
      </c>
      <c r="R706" s="366"/>
      <c r="S706" s="391" t="s">
        <v>29</v>
      </c>
    </row>
    <row r="707" spans="14:19" ht="11.25" customHeight="1" x14ac:dyDescent="0.35">
      <c r="N707" s="388" t="s">
        <v>5466</v>
      </c>
      <c r="O707" s="389" t="s">
        <v>5377</v>
      </c>
      <c r="P707" s="389" t="str">
        <f t="shared" si="28"/>
        <v>2013Y</v>
      </c>
      <c r="Q707" s="390" t="str">
        <f>[1]!SNLLabel(287,324675,,"&lt;&gt;367")</f>
        <v>AR: Other Lines of Business</v>
      </c>
      <c r="R707" s="366"/>
      <c r="S707" s="391" t="s">
        <v>29</v>
      </c>
    </row>
    <row r="708" spans="14:19" ht="11.25" customHeight="1" x14ac:dyDescent="0.35">
      <c r="N708" s="388" t="s">
        <v>5466</v>
      </c>
      <c r="O708" s="389" t="s">
        <v>5377</v>
      </c>
      <c r="P708" s="389" t="str">
        <f t="shared" si="28"/>
        <v>2013Y</v>
      </c>
      <c r="Q708" s="390" t="str">
        <f>[1]!SNLLabel(287,324675,,"&lt;&gt;368")</f>
        <v>AR: YRT Mortality Risk Only</v>
      </c>
      <c r="R708" s="366"/>
      <c r="S708" s="391" t="s">
        <v>29</v>
      </c>
    </row>
    <row r="709" spans="14:19" ht="11.25" customHeight="1" x14ac:dyDescent="0.35">
      <c r="N709" s="388" t="s">
        <v>5466</v>
      </c>
      <c r="O709" s="389" t="s">
        <v>5377</v>
      </c>
      <c r="P709" s="389" t="str">
        <f t="shared" si="28"/>
        <v>2013Y</v>
      </c>
      <c r="Q709" s="390" t="str">
        <f>[1]!SNLLabel(287,324675,,"&lt;&gt;369")</f>
        <v>AR: Individual and Group Life</v>
      </c>
      <c r="R709" s="366"/>
      <c r="S709" s="391" t="s">
        <v>29</v>
      </c>
    </row>
    <row r="710" spans="14:19" ht="11.25" customHeight="1" x14ac:dyDescent="0.35">
      <c r="N710" s="367" t="s">
        <v>5466</v>
      </c>
      <c r="O710" s="368" t="s">
        <v>5377</v>
      </c>
      <c r="P710" s="368" t="str">
        <f t="shared" si="28"/>
        <v>2013Y</v>
      </c>
      <c r="Q710" s="369" t="str">
        <f>[1]!SNLLabel(287,324675,,"&lt;&gt;370")</f>
        <v>AR: Individual and Group Annuities</v>
      </c>
      <c r="R710" s="370"/>
      <c r="S710" s="371" t="s">
        <v>29</v>
      </c>
    </row>
    <row r="711" spans="14:19" ht="11.25" customHeight="1" x14ac:dyDescent="0.35">
      <c r="N711" s="384" t="s">
        <v>5466</v>
      </c>
      <c r="O711" s="385" t="s">
        <v>5377</v>
      </c>
      <c r="P711" s="385" t="str">
        <f t="shared" ref="P711:P721" si="29">LEFT(Period,4)-2&amp;"Y"</f>
        <v>2012Y</v>
      </c>
      <c r="Q711" s="386" t="str">
        <f>[1]!SNLLabel(287,324675,,"&lt;&gt;360")</f>
        <v>AR: Analysis of Operations All Lines</v>
      </c>
      <c r="R711" s="365"/>
      <c r="S711" s="387" t="s">
        <v>29</v>
      </c>
    </row>
    <row r="712" spans="14:19" ht="11.25" customHeight="1" x14ac:dyDescent="0.35">
      <c r="N712" s="388" t="s">
        <v>5466</v>
      </c>
      <c r="O712" s="389" t="s">
        <v>5377</v>
      </c>
      <c r="P712" s="389" t="str">
        <f t="shared" si="29"/>
        <v>2012Y</v>
      </c>
      <c r="Q712" s="390" t="str">
        <f>[1]!SNLLabel(287,324675,,"&lt;&gt;361")</f>
        <v>AR: Individual Life</v>
      </c>
      <c r="R712" s="366"/>
      <c r="S712" s="391" t="s">
        <v>29</v>
      </c>
    </row>
    <row r="713" spans="14:19" ht="11.25" customHeight="1" x14ac:dyDescent="0.35">
      <c r="N713" s="388" t="s">
        <v>5466</v>
      </c>
      <c r="O713" s="389" t="s">
        <v>5377</v>
      </c>
      <c r="P713" s="389" t="str">
        <f t="shared" si="29"/>
        <v>2012Y</v>
      </c>
      <c r="Q713" s="390" t="str">
        <f>[1]!SNLLabel(287,324675,,"&lt;&gt;362")</f>
        <v>AR: Group Life</v>
      </c>
      <c r="R713" s="366"/>
      <c r="S713" s="391" t="s">
        <v>29</v>
      </c>
    </row>
    <row r="714" spans="14:19" ht="11.25" customHeight="1" x14ac:dyDescent="0.35">
      <c r="N714" s="388" t="s">
        <v>5466</v>
      </c>
      <c r="O714" s="389" t="s">
        <v>5377</v>
      </c>
      <c r="P714" s="389" t="str">
        <f t="shared" si="29"/>
        <v>2012Y</v>
      </c>
      <c r="Q714" s="390" t="str">
        <f>[1]!SNLLabel(287,324675,,"&lt;&gt;363")</f>
        <v>AR: Individual Annuities</v>
      </c>
      <c r="R714" s="366"/>
      <c r="S714" s="391" t="s">
        <v>29</v>
      </c>
    </row>
    <row r="715" spans="14:19" ht="11.25" customHeight="1" x14ac:dyDescent="0.35">
      <c r="N715" s="388" t="s">
        <v>5466</v>
      </c>
      <c r="O715" s="389" t="s">
        <v>5377</v>
      </c>
      <c r="P715" s="389" t="str">
        <f t="shared" si="29"/>
        <v>2012Y</v>
      </c>
      <c r="Q715" s="390" t="str">
        <f>[1]!SNLLabel(287,324675,,"&lt;&gt;364")</f>
        <v>AR: Group Annuities</v>
      </c>
      <c r="R715" s="366"/>
      <c r="S715" s="391" t="s">
        <v>29</v>
      </c>
    </row>
    <row r="716" spans="14:19" ht="11.25" customHeight="1" x14ac:dyDescent="0.35">
      <c r="N716" s="388" t="s">
        <v>5466</v>
      </c>
      <c r="O716" s="389" t="s">
        <v>5377</v>
      </c>
      <c r="P716" s="389" t="str">
        <f t="shared" si="29"/>
        <v>2012Y</v>
      </c>
      <c r="Q716" s="390" t="str">
        <f>[1]!SNLLabel(287,324675,,"&lt;&gt;365")</f>
        <v>AR: Accident and Health</v>
      </c>
      <c r="R716" s="366"/>
      <c r="S716" s="391" t="s">
        <v>29</v>
      </c>
    </row>
    <row r="717" spans="14:19" ht="11.25" customHeight="1" x14ac:dyDescent="0.35">
      <c r="N717" s="388" t="s">
        <v>5466</v>
      </c>
      <c r="O717" s="389" t="s">
        <v>5377</v>
      </c>
      <c r="P717" s="389" t="str">
        <f t="shared" si="29"/>
        <v>2012Y</v>
      </c>
      <c r="Q717" s="390" t="str">
        <f>[1]!SNLLabel(287,324675,,"&lt;&gt;366")</f>
        <v>AR: Fraternal</v>
      </c>
      <c r="R717" s="366"/>
      <c r="S717" s="391" t="s">
        <v>29</v>
      </c>
    </row>
    <row r="718" spans="14:19" ht="11.25" customHeight="1" x14ac:dyDescent="0.35">
      <c r="N718" s="388" t="s">
        <v>5466</v>
      </c>
      <c r="O718" s="389" t="s">
        <v>5377</v>
      </c>
      <c r="P718" s="389" t="str">
        <f t="shared" si="29"/>
        <v>2012Y</v>
      </c>
      <c r="Q718" s="390" t="str">
        <f>[1]!SNLLabel(287,324675,,"&lt;&gt;367")</f>
        <v>AR: Other Lines of Business</v>
      </c>
      <c r="R718" s="366"/>
      <c r="S718" s="391" t="s">
        <v>29</v>
      </c>
    </row>
    <row r="719" spans="14:19" ht="11.25" customHeight="1" x14ac:dyDescent="0.35">
      <c r="N719" s="388" t="s">
        <v>5466</v>
      </c>
      <c r="O719" s="389" t="s">
        <v>5377</v>
      </c>
      <c r="P719" s="389" t="str">
        <f t="shared" si="29"/>
        <v>2012Y</v>
      </c>
      <c r="Q719" s="390" t="str">
        <f>[1]!SNLLabel(287,324675,,"&lt;&gt;368")</f>
        <v>AR: YRT Mortality Risk Only</v>
      </c>
      <c r="R719" s="366"/>
      <c r="S719" s="391" t="s">
        <v>29</v>
      </c>
    </row>
    <row r="720" spans="14:19" ht="11.25" customHeight="1" x14ac:dyDescent="0.35">
      <c r="N720" s="388" t="s">
        <v>5466</v>
      </c>
      <c r="O720" s="389" t="s">
        <v>5377</v>
      </c>
      <c r="P720" s="389" t="str">
        <f t="shared" si="29"/>
        <v>2012Y</v>
      </c>
      <c r="Q720" s="390" t="str">
        <f>[1]!SNLLabel(287,324675,,"&lt;&gt;369")</f>
        <v>AR: Individual and Group Life</v>
      </c>
      <c r="R720" s="366"/>
      <c r="S720" s="391" t="s">
        <v>29</v>
      </c>
    </row>
    <row r="721" spans="14:19" ht="11.25" customHeight="1" x14ac:dyDescent="0.35">
      <c r="N721" s="367" t="s">
        <v>5466</v>
      </c>
      <c r="O721" s="368" t="s">
        <v>5377</v>
      </c>
      <c r="P721" s="368" t="str">
        <f t="shared" si="29"/>
        <v>2012Y</v>
      </c>
      <c r="Q721" s="369" t="str">
        <f>[1]!SNLLabel(287,324675,,"&lt;&gt;370")</f>
        <v>AR: Individual and Group Annuities</v>
      </c>
      <c r="R721" s="370"/>
      <c r="S721" s="371" t="s">
        <v>29</v>
      </c>
    </row>
    <row r="722" spans="14:19" ht="11.25" customHeight="1" x14ac:dyDescent="0.35">
      <c r="N722" s="384" t="s">
        <v>5466</v>
      </c>
      <c r="O722" s="385" t="s">
        <v>5377</v>
      </c>
      <c r="P722" s="385" t="str">
        <f t="shared" ref="P722:P732" si="30">LEFT(Period,4)-3&amp;"Y"</f>
        <v>2011Y</v>
      </c>
      <c r="Q722" s="386" t="str">
        <f>[1]!SNLLabel(287,324675,,"&lt;&gt;360")</f>
        <v>AR: Analysis of Operations All Lines</v>
      </c>
      <c r="R722" s="365"/>
      <c r="S722" s="387" t="s">
        <v>29</v>
      </c>
    </row>
    <row r="723" spans="14:19" ht="11.25" customHeight="1" x14ac:dyDescent="0.35">
      <c r="N723" s="388" t="s">
        <v>5466</v>
      </c>
      <c r="O723" s="389" t="s">
        <v>5377</v>
      </c>
      <c r="P723" s="389" t="str">
        <f t="shared" si="30"/>
        <v>2011Y</v>
      </c>
      <c r="Q723" s="390" t="str">
        <f>[1]!SNLLabel(287,324675,,"&lt;&gt;361")</f>
        <v>AR: Individual Life</v>
      </c>
      <c r="R723" s="366"/>
      <c r="S723" s="391" t="s">
        <v>29</v>
      </c>
    </row>
    <row r="724" spans="14:19" ht="11.25" customHeight="1" x14ac:dyDescent="0.35">
      <c r="N724" s="388" t="s">
        <v>5466</v>
      </c>
      <c r="O724" s="389" t="s">
        <v>5377</v>
      </c>
      <c r="P724" s="389" t="str">
        <f t="shared" si="30"/>
        <v>2011Y</v>
      </c>
      <c r="Q724" s="390" t="str">
        <f>[1]!SNLLabel(287,324675,,"&lt;&gt;362")</f>
        <v>AR: Group Life</v>
      </c>
      <c r="R724" s="366"/>
      <c r="S724" s="391" t="s">
        <v>29</v>
      </c>
    </row>
    <row r="725" spans="14:19" ht="11.25" customHeight="1" x14ac:dyDescent="0.35">
      <c r="N725" s="388" t="s">
        <v>5466</v>
      </c>
      <c r="O725" s="389" t="s">
        <v>5377</v>
      </c>
      <c r="P725" s="389" t="str">
        <f t="shared" si="30"/>
        <v>2011Y</v>
      </c>
      <c r="Q725" s="390" t="str">
        <f>[1]!SNLLabel(287,324675,,"&lt;&gt;363")</f>
        <v>AR: Individual Annuities</v>
      </c>
      <c r="R725" s="366"/>
      <c r="S725" s="391" t="s">
        <v>29</v>
      </c>
    </row>
    <row r="726" spans="14:19" ht="11.25" customHeight="1" x14ac:dyDescent="0.35">
      <c r="N726" s="388" t="s">
        <v>5466</v>
      </c>
      <c r="O726" s="389" t="s">
        <v>5377</v>
      </c>
      <c r="P726" s="389" t="str">
        <f t="shared" si="30"/>
        <v>2011Y</v>
      </c>
      <c r="Q726" s="390" t="str">
        <f>[1]!SNLLabel(287,324675,,"&lt;&gt;364")</f>
        <v>AR: Group Annuities</v>
      </c>
      <c r="R726" s="366"/>
      <c r="S726" s="391" t="s">
        <v>29</v>
      </c>
    </row>
    <row r="727" spans="14:19" ht="11.25" customHeight="1" x14ac:dyDescent="0.35">
      <c r="N727" s="388" t="s">
        <v>5466</v>
      </c>
      <c r="O727" s="389" t="s">
        <v>5377</v>
      </c>
      <c r="P727" s="389" t="str">
        <f t="shared" si="30"/>
        <v>2011Y</v>
      </c>
      <c r="Q727" s="390" t="str">
        <f>[1]!SNLLabel(287,324675,,"&lt;&gt;365")</f>
        <v>AR: Accident and Health</v>
      </c>
      <c r="R727" s="366"/>
      <c r="S727" s="391" t="s">
        <v>29</v>
      </c>
    </row>
    <row r="728" spans="14:19" ht="11.25" customHeight="1" x14ac:dyDescent="0.35">
      <c r="N728" s="388" t="s">
        <v>5466</v>
      </c>
      <c r="O728" s="389" t="s">
        <v>5377</v>
      </c>
      <c r="P728" s="389" t="str">
        <f t="shared" si="30"/>
        <v>2011Y</v>
      </c>
      <c r="Q728" s="390" t="str">
        <f>[1]!SNLLabel(287,324675,,"&lt;&gt;366")</f>
        <v>AR: Fraternal</v>
      </c>
      <c r="R728" s="366"/>
      <c r="S728" s="391" t="s">
        <v>29</v>
      </c>
    </row>
    <row r="729" spans="14:19" ht="11.25" customHeight="1" x14ac:dyDescent="0.35">
      <c r="N729" s="388" t="s">
        <v>5466</v>
      </c>
      <c r="O729" s="389" t="s">
        <v>5377</v>
      </c>
      <c r="P729" s="389" t="str">
        <f t="shared" si="30"/>
        <v>2011Y</v>
      </c>
      <c r="Q729" s="390" t="str">
        <f>[1]!SNLLabel(287,324675,,"&lt;&gt;367")</f>
        <v>AR: Other Lines of Business</v>
      </c>
      <c r="R729" s="366"/>
      <c r="S729" s="391" t="s">
        <v>29</v>
      </c>
    </row>
    <row r="730" spans="14:19" ht="11.25" customHeight="1" x14ac:dyDescent="0.35">
      <c r="N730" s="388" t="s">
        <v>5466</v>
      </c>
      <c r="O730" s="389" t="s">
        <v>5377</v>
      </c>
      <c r="P730" s="389" t="str">
        <f t="shared" si="30"/>
        <v>2011Y</v>
      </c>
      <c r="Q730" s="390" t="str">
        <f>[1]!SNLLabel(287,324675,,"&lt;&gt;368")</f>
        <v>AR: YRT Mortality Risk Only</v>
      </c>
      <c r="R730" s="366"/>
      <c r="S730" s="391" t="s">
        <v>29</v>
      </c>
    </row>
    <row r="731" spans="14:19" ht="11.25" customHeight="1" x14ac:dyDescent="0.35">
      <c r="N731" s="388" t="s">
        <v>5466</v>
      </c>
      <c r="O731" s="389" t="s">
        <v>5377</v>
      </c>
      <c r="P731" s="389" t="str">
        <f t="shared" si="30"/>
        <v>2011Y</v>
      </c>
      <c r="Q731" s="390" t="str">
        <f>[1]!SNLLabel(287,324675,,"&lt;&gt;369")</f>
        <v>AR: Individual and Group Life</v>
      </c>
      <c r="R731" s="366"/>
      <c r="S731" s="391" t="s">
        <v>29</v>
      </c>
    </row>
    <row r="732" spans="14:19" ht="11.25" customHeight="1" x14ac:dyDescent="0.35">
      <c r="N732" s="367" t="s">
        <v>5466</v>
      </c>
      <c r="O732" s="368" t="s">
        <v>5377</v>
      </c>
      <c r="P732" s="368" t="str">
        <f t="shared" si="30"/>
        <v>2011Y</v>
      </c>
      <c r="Q732" s="369" t="str">
        <f>[1]!SNLLabel(287,324675,,"&lt;&gt;370")</f>
        <v>AR: Individual and Group Annuities</v>
      </c>
      <c r="R732" s="370"/>
      <c r="S732" s="371" t="s">
        <v>29</v>
      </c>
    </row>
    <row r="733" spans="14:19" ht="11.25" customHeight="1" x14ac:dyDescent="0.35">
      <c r="N733" s="384" t="s">
        <v>5466</v>
      </c>
      <c r="O733" s="385" t="s">
        <v>5377</v>
      </c>
      <c r="P733" s="385" t="str">
        <f t="shared" ref="P733:P743" si="31">LEFT(Period,4)-4&amp;"Y"</f>
        <v>2010Y</v>
      </c>
      <c r="Q733" s="386" t="str">
        <f>[1]!SNLLabel(287,324675,,"&lt;&gt;360")</f>
        <v>AR: Analysis of Operations All Lines</v>
      </c>
      <c r="R733" s="365"/>
      <c r="S733" s="387" t="s">
        <v>29</v>
      </c>
    </row>
    <row r="734" spans="14:19" ht="11.25" customHeight="1" x14ac:dyDescent="0.35">
      <c r="N734" s="388" t="s">
        <v>5466</v>
      </c>
      <c r="O734" s="389" t="s">
        <v>5377</v>
      </c>
      <c r="P734" s="389" t="str">
        <f t="shared" si="31"/>
        <v>2010Y</v>
      </c>
      <c r="Q734" s="390" t="str">
        <f>[1]!SNLLabel(287,324675,,"&lt;&gt;361")</f>
        <v>AR: Individual Life</v>
      </c>
      <c r="R734" s="366"/>
      <c r="S734" s="391" t="s">
        <v>29</v>
      </c>
    </row>
    <row r="735" spans="14:19" ht="11.25" customHeight="1" x14ac:dyDescent="0.35">
      <c r="N735" s="388" t="s">
        <v>5466</v>
      </c>
      <c r="O735" s="389" t="s">
        <v>5377</v>
      </c>
      <c r="P735" s="389" t="str">
        <f t="shared" si="31"/>
        <v>2010Y</v>
      </c>
      <c r="Q735" s="390" t="str">
        <f>[1]!SNLLabel(287,324675,,"&lt;&gt;362")</f>
        <v>AR: Group Life</v>
      </c>
      <c r="R735" s="366"/>
      <c r="S735" s="391" t="s">
        <v>29</v>
      </c>
    </row>
    <row r="736" spans="14:19" ht="11.25" customHeight="1" x14ac:dyDescent="0.35">
      <c r="N736" s="388" t="s">
        <v>5466</v>
      </c>
      <c r="O736" s="389" t="s">
        <v>5377</v>
      </c>
      <c r="P736" s="389" t="str">
        <f t="shared" si="31"/>
        <v>2010Y</v>
      </c>
      <c r="Q736" s="390" t="str">
        <f>[1]!SNLLabel(287,324675,,"&lt;&gt;363")</f>
        <v>AR: Individual Annuities</v>
      </c>
      <c r="R736" s="366"/>
      <c r="S736" s="391" t="s">
        <v>29</v>
      </c>
    </row>
    <row r="737" spans="14:19" ht="11.25" customHeight="1" x14ac:dyDescent="0.35">
      <c r="N737" s="388" t="s">
        <v>5466</v>
      </c>
      <c r="O737" s="389" t="s">
        <v>5377</v>
      </c>
      <c r="P737" s="389" t="str">
        <f t="shared" si="31"/>
        <v>2010Y</v>
      </c>
      <c r="Q737" s="390" t="str">
        <f>[1]!SNLLabel(287,324675,,"&lt;&gt;364")</f>
        <v>AR: Group Annuities</v>
      </c>
      <c r="R737" s="366"/>
      <c r="S737" s="391" t="s">
        <v>29</v>
      </c>
    </row>
    <row r="738" spans="14:19" ht="11.25" customHeight="1" x14ac:dyDescent="0.35">
      <c r="N738" s="388" t="s">
        <v>5466</v>
      </c>
      <c r="O738" s="389" t="s">
        <v>5377</v>
      </c>
      <c r="P738" s="389" t="str">
        <f t="shared" si="31"/>
        <v>2010Y</v>
      </c>
      <c r="Q738" s="390" t="str">
        <f>[1]!SNLLabel(287,324675,,"&lt;&gt;365")</f>
        <v>AR: Accident and Health</v>
      </c>
      <c r="R738" s="366"/>
      <c r="S738" s="391" t="s">
        <v>29</v>
      </c>
    </row>
    <row r="739" spans="14:19" ht="11.25" customHeight="1" x14ac:dyDescent="0.35">
      <c r="N739" s="388" t="s">
        <v>5466</v>
      </c>
      <c r="O739" s="389" t="s">
        <v>5377</v>
      </c>
      <c r="P739" s="389" t="str">
        <f t="shared" si="31"/>
        <v>2010Y</v>
      </c>
      <c r="Q739" s="390" t="str">
        <f>[1]!SNLLabel(287,324675,,"&lt;&gt;366")</f>
        <v>AR: Fraternal</v>
      </c>
      <c r="R739" s="366"/>
      <c r="S739" s="391" t="s">
        <v>29</v>
      </c>
    </row>
    <row r="740" spans="14:19" ht="11.25" customHeight="1" x14ac:dyDescent="0.35">
      <c r="N740" s="388" t="s">
        <v>5466</v>
      </c>
      <c r="O740" s="389" t="s">
        <v>5377</v>
      </c>
      <c r="P740" s="389" t="str">
        <f t="shared" si="31"/>
        <v>2010Y</v>
      </c>
      <c r="Q740" s="390" t="str">
        <f>[1]!SNLLabel(287,324675,,"&lt;&gt;367")</f>
        <v>AR: Other Lines of Business</v>
      </c>
      <c r="R740" s="366"/>
      <c r="S740" s="391" t="s">
        <v>29</v>
      </c>
    </row>
    <row r="741" spans="14:19" ht="11.25" customHeight="1" x14ac:dyDescent="0.35">
      <c r="N741" s="388" t="s">
        <v>5466</v>
      </c>
      <c r="O741" s="389" t="s">
        <v>5377</v>
      </c>
      <c r="P741" s="389" t="str">
        <f t="shared" si="31"/>
        <v>2010Y</v>
      </c>
      <c r="Q741" s="390" t="str">
        <f>[1]!SNLLabel(287,324675,,"&lt;&gt;368")</f>
        <v>AR: YRT Mortality Risk Only</v>
      </c>
      <c r="R741" s="366"/>
      <c r="S741" s="391" t="s">
        <v>29</v>
      </c>
    </row>
    <row r="742" spans="14:19" ht="11.25" customHeight="1" x14ac:dyDescent="0.35">
      <c r="N742" s="388" t="s">
        <v>5466</v>
      </c>
      <c r="O742" s="389" t="s">
        <v>5377</v>
      </c>
      <c r="P742" s="389" t="str">
        <f t="shared" si="31"/>
        <v>2010Y</v>
      </c>
      <c r="Q742" s="390" t="str">
        <f>[1]!SNLLabel(287,324675,,"&lt;&gt;369")</f>
        <v>AR: Individual and Group Life</v>
      </c>
      <c r="R742" s="366"/>
      <c r="S742" s="391" t="s">
        <v>29</v>
      </c>
    </row>
    <row r="743" spans="14:19" ht="11.25" customHeight="1" x14ac:dyDescent="0.35">
      <c r="N743" s="367" t="s">
        <v>5466</v>
      </c>
      <c r="O743" s="368" t="s">
        <v>5377</v>
      </c>
      <c r="P743" s="368" t="str">
        <f t="shared" si="31"/>
        <v>2010Y</v>
      </c>
      <c r="Q743" s="369" t="str">
        <f>[1]!SNLLabel(287,324675,,"&lt;&gt;370")</f>
        <v>AR: Individual and Group Annuities</v>
      </c>
      <c r="R743" s="370"/>
      <c r="S743" s="371" t="s">
        <v>29</v>
      </c>
    </row>
    <row r="744" spans="14:19" ht="11.25" customHeight="1" x14ac:dyDescent="0.35">
      <c r="N744" s="377"/>
      <c r="O744" s="378"/>
      <c r="P744" s="378"/>
      <c r="Q744" s="379"/>
      <c r="R744" s="375"/>
      <c r="S744" s="380"/>
    </row>
    <row r="745" spans="14:19" ht="11.25" customHeight="1" x14ac:dyDescent="0.35">
      <c r="N745" s="384" t="s">
        <v>5467</v>
      </c>
      <c r="O745" s="385" t="s">
        <v>5378</v>
      </c>
      <c r="P745" s="385" t="str">
        <f t="shared" ref="P745:P755" si="32">Period</f>
        <v>2014Y</v>
      </c>
      <c r="Q745" s="386" t="str">
        <f>[1]!SNLLabel(287,324676,,"&lt;&gt;360")</f>
        <v>AR: Analysis of Operations All Lines</v>
      </c>
      <c r="R745" s="365"/>
      <c r="S745" s="387" t="s">
        <v>29</v>
      </c>
    </row>
    <row r="746" spans="14:19" ht="11.25" customHeight="1" x14ac:dyDescent="0.35">
      <c r="N746" s="388" t="s">
        <v>5467</v>
      </c>
      <c r="O746" s="389" t="s">
        <v>5378</v>
      </c>
      <c r="P746" s="389" t="str">
        <f t="shared" si="32"/>
        <v>2014Y</v>
      </c>
      <c r="Q746" s="390" t="str">
        <f>[1]!SNLLabel(287,324676,,"&lt;&gt;361")</f>
        <v>AR: Individual Life</v>
      </c>
      <c r="R746" s="366"/>
      <c r="S746" s="391" t="s">
        <v>29</v>
      </c>
    </row>
    <row r="747" spans="14:19" ht="11.25" customHeight="1" x14ac:dyDescent="0.35">
      <c r="N747" s="388" t="s">
        <v>5467</v>
      </c>
      <c r="O747" s="389" t="s">
        <v>5378</v>
      </c>
      <c r="P747" s="389" t="str">
        <f t="shared" si="32"/>
        <v>2014Y</v>
      </c>
      <c r="Q747" s="390" t="str">
        <f>[1]!SNLLabel(287,324676,,"&lt;&gt;362")</f>
        <v>AR: Group Life</v>
      </c>
      <c r="R747" s="366"/>
      <c r="S747" s="391" t="s">
        <v>29</v>
      </c>
    </row>
    <row r="748" spans="14:19" ht="11.25" customHeight="1" x14ac:dyDescent="0.35">
      <c r="N748" s="388" t="s">
        <v>5467</v>
      </c>
      <c r="O748" s="389" t="s">
        <v>5378</v>
      </c>
      <c r="P748" s="389" t="str">
        <f t="shared" si="32"/>
        <v>2014Y</v>
      </c>
      <c r="Q748" s="390" t="str">
        <f>[1]!SNLLabel(287,324676,,"&lt;&gt;363")</f>
        <v>AR: Individual Annuities</v>
      </c>
      <c r="R748" s="366"/>
      <c r="S748" s="391" t="s">
        <v>29</v>
      </c>
    </row>
    <row r="749" spans="14:19" ht="11.25" customHeight="1" x14ac:dyDescent="0.35">
      <c r="N749" s="388" t="s">
        <v>5467</v>
      </c>
      <c r="O749" s="389" t="s">
        <v>5378</v>
      </c>
      <c r="P749" s="389" t="str">
        <f t="shared" si="32"/>
        <v>2014Y</v>
      </c>
      <c r="Q749" s="390" t="str">
        <f>[1]!SNLLabel(287,324676,,"&lt;&gt;364")</f>
        <v>AR: Group Annuities</v>
      </c>
      <c r="R749" s="366"/>
      <c r="S749" s="391" t="s">
        <v>29</v>
      </c>
    </row>
    <row r="750" spans="14:19" ht="11.25" customHeight="1" x14ac:dyDescent="0.35">
      <c r="N750" s="388" t="s">
        <v>5467</v>
      </c>
      <c r="O750" s="389" t="s">
        <v>5378</v>
      </c>
      <c r="P750" s="389" t="str">
        <f t="shared" si="32"/>
        <v>2014Y</v>
      </c>
      <c r="Q750" s="390" t="str">
        <f>[1]!SNLLabel(287,324676,,"&lt;&gt;365")</f>
        <v>AR: Accident and Health</v>
      </c>
      <c r="R750" s="366"/>
      <c r="S750" s="391" t="s">
        <v>29</v>
      </c>
    </row>
    <row r="751" spans="14:19" ht="11.25" customHeight="1" x14ac:dyDescent="0.35">
      <c r="N751" s="388" t="s">
        <v>5467</v>
      </c>
      <c r="O751" s="389" t="s">
        <v>5378</v>
      </c>
      <c r="P751" s="389" t="str">
        <f t="shared" si="32"/>
        <v>2014Y</v>
      </c>
      <c r="Q751" s="390" t="str">
        <f>[1]!SNLLabel(287,324676,,"&lt;&gt;366")</f>
        <v>AR: Fraternal</v>
      </c>
      <c r="R751" s="366"/>
      <c r="S751" s="391" t="s">
        <v>29</v>
      </c>
    </row>
    <row r="752" spans="14:19" ht="11.25" customHeight="1" x14ac:dyDescent="0.35">
      <c r="N752" s="388" t="s">
        <v>5467</v>
      </c>
      <c r="O752" s="389" t="s">
        <v>5378</v>
      </c>
      <c r="P752" s="389" t="str">
        <f t="shared" si="32"/>
        <v>2014Y</v>
      </c>
      <c r="Q752" s="390" t="str">
        <f>[1]!SNLLabel(287,324676,,"&lt;&gt;367")</f>
        <v>AR: Other Lines of Business</v>
      </c>
      <c r="R752" s="366"/>
      <c r="S752" s="391" t="s">
        <v>29</v>
      </c>
    </row>
    <row r="753" spans="14:19" ht="11.25" customHeight="1" x14ac:dyDescent="0.35">
      <c r="N753" s="388" t="s">
        <v>5467</v>
      </c>
      <c r="O753" s="389" t="s">
        <v>5378</v>
      </c>
      <c r="P753" s="389" t="str">
        <f t="shared" si="32"/>
        <v>2014Y</v>
      </c>
      <c r="Q753" s="390" t="str">
        <f>[1]!SNLLabel(287,324676,,"&lt;&gt;368")</f>
        <v>AR: YRT Mortality Risk Only</v>
      </c>
      <c r="R753" s="366"/>
      <c r="S753" s="391" t="s">
        <v>29</v>
      </c>
    </row>
    <row r="754" spans="14:19" ht="11.25" customHeight="1" x14ac:dyDescent="0.35">
      <c r="N754" s="388" t="s">
        <v>5467</v>
      </c>
      <c r="O754" s="389" t="s">
        <v>5378</v>
      </c>
      <c r="P754" s="389" t="str">
        <f t="shared" si="32"/>
        <v>2014Y</v>
      </c>
      <c r="Q754" s="390" t="str">
        <f>[1]!SNLLabel(287,324676,,"&lt;&gt;369")</f>
        <v>AR: Individual and Group Life</v>
      </c>
      <c r="R754" s="366"/>
      <c r="S754" s="391" t="s">
        <v>29</v>
      </c>
    </row>
    <row r="755" spans="14:19" ht="11.25" customHeight="1" x14ac:dyDescent="0.35">
      <c r="N755" s="367" t="s">
        <v>5467</v>
      </c>
      <c r="O755" s="368" t="s">
        <v>5378</v>
      </c>
      <c r="P755" s="368" t="str">
        <f t="shared" si="32"/>
        <v>2014Y</v>
      </c>
      <c r="Q755" s="369" t="str">
        <f>[1]!SNLLabel(287,324676,,"&lt;&gt;370")</f>
        <v>AR: Individual and Group Annuities</v>
      </c>
      <c r="R755" s="370"/>
      <c r="S755" s="371" t="s">
        <v>29</v>
      </c>
    </row>
    <row r="756" spans="14:19" ht="11.25" customHeight="1" x14ac:dyDescent="0.35">
      <c r="N756" s="384" t="s">
        <v>5467</v>
      </c>
      <c r="O756" s="385" t="s">
        <v>5378</v>
      </c>
      <c r="P756" s="385" t="str">
        <f t="shared" ref="P756:P766" si="33">LEFT(Period,4)-1&amp;"Y"</f>
        <v>2013Y</v>
      </c>
      <c r="Q756" s="386" t="str">
        <f>[1]!SNLLabel(287,324676,,"&lt;&gt;360")</f>
        <v>AR: Analysis of Operations All Lines</v>
      </c>
      <c r="R756" s="365"/>
      <c r="S756" s="387" t="s">
        <v>29</v>
      </c>
    </row>
    <row r="757" spans="14:19" ht="11.25" customHeight="1" x14ac:dyDescent="0.35">
      <c r="N757" s="388" t="s">
        <v>5467</v>
      </c>
      <c r="O757" s="389" t="s">
        <v>5378</v>
      </c>
      <c r="P757" s="389" t="str">
        <f t="shared" si="33"/>
        <v>2013Y</v>
      </c>
      <c r="Q757" s="390" t="str">
        <f>[1]!SNLLabel(287,324676,,"&lt;&gt;361")</f>
        <v>AR: Individual Life</v>
      </c>
      <c r="R757" s="366"/>
      <c r="S757" s="391" t="s">
        <v>29</v>
      </c>
    </row>
    <row r="758" spans="14:19" ht="11.25" customHeight="1" x14ac:dyDescent="0.35">
      <c r="N758" s="388" t="s">
        <v>5467</v>
      </c>
      <c r="O758" s="389" t="s">
        <v>5378</v>
      </c>
      <c r="P758" s="389" t="str">
        <f t="shared" si="33"/>
        <v>2013Y</v>
      </c>
      <c r="Q758" s="390" t="str">
        <f>[1]!SNLLabel(287,324676,,"&lt;&gt;362")</f>
        <v>AR: Group Life</v>
      </c>
      <c r="R758" s="366"/>
      <c r="S758" s="391" t="s">
        <v>29</v>
      </c>
    </row>
    <row r="759" spans="14:19" ht="11.25" customHeight="1" x14ac:dyDescent="0.35">
      <c r="N759" s="388" t="s">
        <v>5467</v>
      </c>
      <c r="O759" s="389" t="s">
        <v>5378</v>
      </c>
      <c r="P759" s="389" t="str">
        <f t="shared" si="33"/>
        <v>2013Y</v>
      </c>
      <c r="Q759" s="390" t="str">
        <f>[1]!SNLLabel(287,324676,,"&lt;&gt;363")</f>
        <v>AR: Individual Annuities</v>
      </c>
      <c r="R759" s="366"/>
      <c r="S759" s="391" t="s">
        <v>29</v>
      </c>
    </row>
    <row r="760" spans="14:19" ht="11.25" customHeight="1" x14ac:dyDescent="0.35">
      <c r="N760" s="388" t="s">
        <v>5467</v>
      </c>
      <c r="O760" s="389" t="s">
        <v>5378</v>
      </c>
      <c r="P760" s="389" t="str">
        <f t="shared" si="33"/>
        <v>2013Y</v>
      </c>
      <c r="Q760" s="390" t="str">
        <f>[1]!SNLLabel(287,324676,,"&lt;&gt;364")</f>
        <v>AR: Group Annuities</v>
      </c>
      <c r="R760" s="366"/>
      <c r="S760" s="391" t="s">
        <v>29</v>
      </c>
    </row>
    <row r="761" spans="14:19" ht="11.25" customHeight="1" x14ac:dyDescent="0.35">
      <c r="N761" s="388" t="s">
        <v>5467</v>
      </c>
      <c r="O761" s="389" t="s">
        <v>5378</v>
      </c>
      <c r="P761" s="389" t="str">
        <f t="shared" si="33"/>
        <v>2013Y</v>
      </c>
      <c r="Q761" s="390" t="str">
        <f>[1]!SNLLabel(287,324676,,"&lt;&gt;365")</f>
        <v>AR: Accident and Health</v>
      </c>
      <c r="R761" s="366"/>
      <c r="S761" s="391" t="s">
        <v>29</v>
      </c>
    </row>
    <row r="762" spans="14:19" ht="11.25" customHeight="1" x14ac:dyDescent="0.35">
      <c r="N762" s="388" t="s">
        <v>5467</v>
      </c>
      <c r="O762" s="389" t="s">
        <v>5378</v>
      </c>
      <c r="P762" s="389" t="str">
        <f t="shared" si="33"/>
        <v>2013Y</v>
      </c>
      <c r="Q762" s="390" t="str">
        <f>[1]!SNLLabel(287,324676,,"&lt;&gt;366")</f>
        <v>AR: Fraternal</v>
      </c>
      <c r="R762" s="366"/>
      <c r="S762" s="391" t="s">
        <v>29</v>
      </c>
    </row>
    <row r="763" spans="14:19" ht="11.25" customHeight="1" x14ac:dyDescent="0.35">
      <c r="N763" s="388" t="s">
        <v>5467</v>
      </c>
      <c r="O763" s="389" t="s">
        <v>5378</v>
      </c>
      <c r="P763" s="389" t="str">
        <f t="shared" si="33"/>
        <v>2013Y</v>
      </c>
      <c r="Q763" s="390" t="str">
        <f>[1]!SNLLabel(287,324676,,"&lt;&gt;367")</f>
        <v>AR: Other Lines of Business</v>
      </c>
      <c r="R763" s="366"/>
      <c r="S763" s="391" t="s">
        <v>29</v>
      </c>
    </row>
    <row r="764" spans="14:19" ht="11.25" customHeight="1" x14ac:dyDescent="0.35">
      <c r="N764" s="388" t="s">
        <v>5467</v>
      </c>
      <c r="O764" s="389" t="s">
        <v>5378</v>
      </c>
      <c r="P764" s="389" t="str">
        <f t="shared" si="33"/>
        <v>2013Y</v>
      </c>
      <c r="Q764" s="390" t="str">
        <f>[1]!SNLLabel(287,324676,,"&lt;&gt;368")</f>
        <v>AR: YRT Mortality Risk Only</v>
      </c>
      <c r="R764" s="366"/>
      <c r="S764" s="391" t="s">
        <v>29</v>
      </c>
    </row>
    <row r="765" spans="14:19" ht="11.25" customHeight="1" x14ac:dyDescent="0.35">
      <c r="N765" s="388" t="s">
        <v>5467</v>
      </c>
      <c r="O765" s="389" t="s">
        <v>5378</v>
      </c>
      <c r="P765" s="389" t="str">
        <f t="shared" si="33"/>
        <v>2013Y</v>
      </c>
      <c r="Q765" s="390" t="str">
        <f>[1]!SNLLabel(287,324676,,"&lt;&gt;369")</f>
        <v>AR: Individual and Group Life</v>
      </c>
      <c r="R765" s="366"/>
      <c r="S765" s="391" t="s">
        <v>29</v>
      </c>
    </row>
    <row r="766" spans="14:19" ht="11.25" customHeight="1" x14ac:dyDescent="0.35">
      <c r="N766" s="367" t="s">
        <v>5467</v>
      </c>
      <c r="O766" s="368" t="s">
        <v>5378</v>
      </c>
      <c r="P766" s="368" t="str">
        <f t="shared" si="33"/>
        <v>2013Y</v>
      </c>
      <c r="Q766" s="369" t="str">
        <f>[1]!SNLLabel(287,324676,,"&lt;&gt;370")</f>
        <v>AR: Individual and Group Annuities</v>
      </c>
      <c r="R766" s="370"/>
      <c r="S766" s="371" t="s">
        <v>29</v>
      </c>
    </row>
    <row r="767" spans="14:19" ht="11.25" customHeight="1" x14ac:dyDescent="0.35">
      <c r="N767" s="384" t="s">
        <v>5467</v>
      </c>
      <c r="O767" s="385" t="s">
        <v>5378</v>
      </c>
      <c r="P767" s="385" t="str">
        <f t="shared" ref="P767:P777" si="34">LEFT(Period,4)-2&amp;"Y"</f>
        <v>2012Y</v>
      </c>
      <c r="Q767" s="386" t="str">
        <f>[1]!SNLLabel(287,324676,,"&lt;&gt;360")</f>
        <v>AR: Analysis of Operations All Lines</v>
      </c>
      <c r="R767" s="365"/>
      <c r="S767" s="387" t="s">
        <v>29</v>
      </c>
    </row>
    <row r="768" spans="14:19" ht="11.25" customHeight="1" x14ac:dyDescent="0.35">
      <c r="N768" s="388" t="s">
        <v>5467</v>
      </c>
      <c r="O768" s="389" t="s">
        <v>5378</v>
      </c>
      <c r="P768" s="389" t="str">
        <f t="shared" si="34"/>
        <v>2012Y</v>
      </c>
      <c r="Q768" s="390" t="str">
        <f>[1]!SNLLabel(287,324676,,"&lt;&gt;361")</f>
        <v>AR: Individual Life</v>
      </c>
      <c r="R768" s="366"/>
      <c r="S768" s="391" t="s">
        <v>29</v>
      </c>
    </row>
    <row r="769" spans="14:19" ht="11.25" customHeight="1" x14ac:dyDescent="0.35">
      <c r="N769" s="388" t="s">
        <v>5467</v>
      </c>
      <c r="O769" s="389" t="s">
        <v>5378</v>
      </c>
      <c r="P769" s="389" t="str">
        <f t="shared" si="34"/>
        <v>2012Y</v>
      </c>
      <c r="Q769" s="390" t="str">
        <f>[1]!SNLLabel(287,324676,,"&lt;&gt;362")</f>
        <v>AR: Group Life</v>
      </c>
      <c r="R769" s="366"/>
      <c r="S769" s="391" t="s">
        <v>29</v>
      </c>
    </row>
    <row r="770" spans="14:19" ht="11.25" customHeight="1" x14ac:dyDescent="0.35">
      <c r="N770" s="388" t="s">
        <v>5467</v>
      </c>
      <c r="O770" s="389" t="s">
        <v>5378</v>
      </c>
      <c r="P770" s="389" t="str">
        <f t="shared" si="34"/>
        <v>2012Y</v>
      </c>
      <c r="Q770" s="390" t="str">
        <f>[1]!SNLLabel(287,324676,,"&lt;&gt;363")</f>
        <v>AR: Individual Annuities</v>
      </c>
      <c r="R770" s="366"/>
      <c r="S770" s="391" t="s">
        <v>29</v>
      </c>
    </row>
    <row r="771" spans="14:19" ht="11.25" customHeight="1" x14ac:dyDescent="0.35">
      <c r="N771" s="388" t="s">
        <v>5467</v>
      </c>
      <c r="O771" s="389" t="s">
        <v>5378</v>
      </c>
      <c r="P771" s="389" t="str">
        <f t="shared" si="34"/>
        <v>2012Y</v>
      </c>
      <c r="Q771" s="390" t="str">
        <f>[1]!SNLLabel(287,324676,,"&lt;&gt;364")</f>
        <v>AR: Group Annuities</v>
      </c>
      <c r="R771" s="366"/>
      <c r="S771" s="391" t="s">
        <v>29</v>
      </c>
    </row>
    <row r="772" spans="14:19" ht="11.25" customHeight="1" x14ac:dyDescent="0.35">
      <c r="N772" s="388" t="s">
        <v>5467</v>
      </c>
      <c r="O772" s="389" t="s">
        <v>5378</v>
      </c>
      <c r="P772" s="389" t="str">
        <f t="shared" si="34"/>
        <v>2012Y</v>
      </c>
      <c r="Q772" s="390" t="str">
        <f>[1]!SNLLabel(287,324676,,"&lt;&gt;365")</f>
        <v>AR: Accident and Health</v>
      </c>
      <c r="R772" s="366"/>
      <c r="S772" s="391" t="s">
        <v>29</v>
      </c>
    </row>
    <row r="773" spans="14:19" ht="11.25" customHeight="1" x14ac:dyDescent="0.35">
      <c r="N773" s="388" t="s">
        <v>5467</v>
      </c>
      <c r="O773" s="389" t="s">
        <v>5378</v>
      </c>
      <c r="P773" s="389" t="str">
        <f t="shared" si="34"/>
        <v>2012Y</v>
      </c>
      <c r="Q773" s="390" t="str">
        <f>[1]!SNLLabel(287,324676,,"&lt;&gt;366")</f>
        <v>AR: Fraternal</v>
      </c>
      <c r="R773" s="366"/>
      <c r="S773" s="391" t="s">
        <v>29</v>
      </c>
    </row>
    <row r="774" spans="14:19" ht="11.25" customHeight="1" x14ac:dyDescent="0.35">
      <c r="N774" s="388" t="s">
        <v>5467</v>
      </c>
      <c r="O774" s="389" t="s">
        <v>5378</v>
      </c>
      <c r="P774" s="389" t="str">
        <f t="shared" si="34"/>
        <v>2012Y</v>
      </c>
      <c r="Q774" s="390" t="str">
        <f>[1]!SNLLabel(287,324676,,"&lt;&gt;367")</f>
        <v>AR: Other Lines of Business</v>
      </c>
      <c r="R774" s="366"/>
      <c r="S774" s="391" t="s">
        <v>29</v>
      </c>
    </row>
    <row r="775" spans="14:19" ht="11.25" customHeight="1" x14ac:dyDescent="0.35">
      <c r="N775" s="388" t="s">
        <v>5467</v>
      </c>
      <c r="O775" s="389" t="s">
        <v>5378</v>
      </c>
      <c r="P775" s="389" t="str">
        <f t="shared" si="34"/>
        <v>2012Y</v>
      </c>
      <c r="Q775" s="390" t="str">
        <f>[1]!SNLLabel(287,324676,,"&lt;&gt;368")</f>
        <v>AR: YRT Mortality Risk Only</v>
      </c>
      <c r="R775" s="366"/>
      <c r="S775" s="391" t="s">
        <v>29</v>
      </c>
    </row>
    <row r="776" spans="14:19" ht="11.25" customHeight="1" x14ac:dyDescent="0.35">
      <c r="N776" s="388" t="s">
        <v>5467</v>
      </c>
      <c r="O776" s="389" t="s">
        <v>5378</v>
      </c>
      <c r="P776" s="389" t="str">
        <f t="shared" si="34"/>
        <v>2012Y</v>
      </c>
      <c r="Q776" s="390" t="str">
        <f>[1]!SNLLabel(287,324676,,"&lt;&gt;369")</f>
        <v>AR: Individual and Group Life</v>
      </c>
      <c r="R776" s="366"/>
      <c r="S776" s="391" t="s">
        <v>29</v>
      </c>
    </row>
    <row r="777" spans="14:19" ht="11.25" customHeight="1" x14ac:dyDescent="0.35">
      <c r="N777" s="367" t="s">
        <v>5467</v>
      </c>
      <c r="O777" s="368" t="s">
        <v>5378</v>
      </c>
      <c r="P777" s="368" t="str">
        <f t="shared" si="34"/>
        <v>2012Y</v>
      </c>
      <c r="Q777" s="369" t="str">
        <f>[1]!SNLLabel(287,324676,,"&lt;&gt;370")</f>
        <v>AR: Individual and Group Annuities</v>
      </c>
      <c r="R777" s="370"/>
      <c r="S777" s="371" t="s">
        <v>29</v>
      </c>
    </row>
    <row r="778" spans="14:19" ht="11.25" customHeight="1" x14ac:dyDescent="0.35">
      <c r="N778" s="384" t="s">
        <v>5467</v>
      </c>
      <c r="O778" s="385" t="s">
        <v>5378</v>
      </c>
      <c r="P778" s="385" t="str">
        <f t="shared" ref="P778:P788" si="35">LEFT(Period,4)-3&amp;"Y"</f>
        <v>2011Y</v>
      </c>
      <c r="Q778" s="386" t="str">
        <f>[1]!SNLLabel(287,324676,,"&lt;&gt;360")</f>
        <v>AR: Analysis of Operations All Lines</v>
      </c>
      <c r="R778" s="365"/>
      <c r="S778" s="387" t="s">
        <v>29</v>
      </c>
    </row>
    <row r="779" spans="14:19" ht="11.25" customHeight="1" x14ac:dyDescent="0.35">
      <c r="N779" s="388" t="s">
        <v>5467</v>
      </c>
      <c r="O779" s="389" t="s">
        <v>5378</v>
      </c>
      <c r="P779" s="389" t="str">
        <f t="shared" si="35"/>
        <v>2011Y</v>
      </c>
      <c r="Q779" s="390" t="str">
        <f>[1]!SNLLabel(287,324676,,"&lt;&gt;361")</f>
        <v>AR: Individual Life</v>
      </c>
      <c r="R779" s="366"/>
      <c r="S779" s="391" t="s">
        <v>29</v>
      </c>
    </row>
    <row r="780" spans="14:19" ht="11.25" customHeight="1" x14ac:dyDescent="0.35">
      <c r="N780" s="388" t="s">
        <v>5467</v>
      </c>
      <c r="O780" s="389" t="s">
        <v>5378</v>
      </c>
      <c r="P780" s="389" t="str">
        <f t="shared" si="35"/>
        <v>2011Y</v>
      </c>
      <c r="Q780" s="390" t="str">
        <f>[1]!SNLLabel(287,324676,,"&lt;&gt;362")</f>
        <v>AR: Group Life</v>
      </c>
      <c r="R780" s="366"/>
      <c r="S780" s="391" t="s">
        <v>29</v>
      </c>
    </row>
    <row r="781" spans="14:19" ht="11.25" customHeight="1" x14ac:dyDescent="0.35">
      <c r="N781" s="388" t="s">
        <v>5467</v>
      </c>
      <c r="O781" s="389" t="s">
        <v>5378</v>
      </c>
      <c r="P781" s="389" t="str">
        <f t="shared" si="35"/>
        <v>2011Y</v>
      </c>
      <c r="Q781" s="390" t="str">
        <f>[1]!SNLLabel(287,324676,,"&lt;&gt;363")</f>
        <v>AR: Individual Annuities</v>
      </c>
      <c r="R781" s="366"/>
      <c r="S781" s="391" t="s">
        <v>29</v>
      </c>
    </row>
    <row r="782" spans="14:19" ht="11.25" customHeight="1" x14ac:dyDescent="0.35">
      <c r="N782" s="388" t="s">
        <v>5467</v>
      </c>
      <c r="O782" s="389" t="s">
        <v>5378</v>
      </c>
      <c r="P782" s="389" t="str">
        <f t="shared" si="35"/>
        <v>2011Y</v>
      </c>
      <c r="Q782" s="390" t="str">
        <f>[1]!SNLLabel(287,324676,,"&lt;&gt;364")</f>
        <v>AR: Group Annuities</v>
      </c>
      <c r="R782" s="366"/>
      <c r="S782" s="391" t="s">
        <v>29</v>
      </c>
    </row>
    <row r="783" spans="14:19" ht="11.25" customHeight="1" x14ac:dyDescent="0.35">
      <c r="N783" s="388" t="s">
        <v>5467</v>
      </c>
      <c r="O783" s="389" t="s">
        <v>5378</v>
      </c>
      <c r="P783" s="389" t="str">
        <f t="shared" si="35"/>
        <v>2011Y</v>
      </c>
      <c r="Q783" s="390" t="str">
        <f>[1]!SNLLabel(287,324676,,"&lt;&gt;365")</f>
        <v>AR: Accident and Health</v>
      </c>
      <c r="R783" s="366"/>
      <c r="S783" s="391" t="s">
        <v>29</v>
      </c>
    </row>
    <row r="784" spans="14:19" ht="11.25" customHeight="1" x14ac:dyDescent="0.35">
      <c r="N784" s="388" t="s">
        <v>5467</v>
      </c>
      <c r="O784" s="389" t="s">
        <v>5378</v>
      </c>
      <c r="P784" s="389" t="str">
        <f t="shared" si="35"/>
        <v>2011Y</v>
      </c>
      <c r="Q784" s="390" t="str">
        <f>[1]!SNLLabel(287,324676,,"&lt;&gt;366")</f>
        <v>AR: Fraternal</v>
      </c>
      <c r="R784" s="366"/>
      <c r="S784" s="391" t="s">
        <v>29</v>
      </c>
    </row>
    <row r="785" spans="14:19" ht="11.25" customHeight="1" x14ac:dyDescent="0.35">
      <c r="N785" s="388" t="s">
        <v>5467</v>
      </c>
      <c r="O785" s="389" t="s">
        <v>5378</v>
      </c>
      <c r="P785" s="389" t="str">
        <f t="shared" si="35"/>
        <v>2011Y</v>
      </c>
      <c r="Q785" s="390" t="str">
        <f>[1]!SNLLabel(287,324676,,"&lt;&gt;367")</f>
        <v>AR: Other Lines of Business</v>
      </c>
      <c r="R785" s="366"/>
      <c r="S785" s="391" t="s">
        <v>29</v>
      </c>
    </row>
    <row r="786" spans="14:19" ht="11.25" customHeight="1" x14ac:dyDescent="0.35">
      <c r="N786" s="388" t="s">
        <v>5467</v>
      </c>
      <c r="O786" s="389" t="s">
        <v>5378</v>
      </c>
      <c r="P786" s="389" t="str">
        <f t="shared" si="35"/>
        <v>2011Y</v>
      </c>
      <c r="Q786" s="390" t="str">
        <f>[1]!SNLLabel(287,324676,,"&lt;&gt;368")</f>
        <v>AR: YRT Mortality Risk Only</v>
      </c>
      <c r="R786" s="366"/>
      <c r="S786" s="391" t="s">
        <v>29</v>
      </c>
    </row>
    <row r="787" spans="14:19" ht="11.25" customHeight="1" x14ac:dyDescent="0.35">
      <c r="N787" s="388" t="s">
        <v>5467</v>
      </c>
      <c r="O787" s="389" t="s">
        <v>5378</v>
      </c>
      <c r="P787" s="389" t="str">
        <f t="shared" si="35"/>
        <v>2011Y</v>
      </c>
      <c r="Q787" s="390" t="str">
        <f>[1]!SNLLabel(287,324676,,"&lt;&gt;369")</f>
        <v>AR: Individual and Group Life</v>
      </c>
      <c r="R787" s="366"/>
      <c r="S787" s="391" t="s">
        <v>29</v>
      </c>
    </row>
    <row r="788" spans="14:19" ht="11.25" customHeight="1" x14ac:dyDescent="0.35">
      <c r="N788" s="367" t="s">
        <v>5467</v>
      </c>
      <c r="O788" s="368" t="s">
        <v>5378</v>
      </c>
      <c r="P788" s="368" t="str">
        <f t="shared" si="35"/>
        <v>2011Y</v>
      </c>
      <c r="Q788" s="369" t="str">
        <f>[1]!SNLLabel(287,324676,,"&lt;&gt;370")</f>
        <v>AR: Individual and Group Annuities</v>
      </c>
      <c r="R788" s="370"/>
      <c r="S788" s="371" t="s">
        <v>29</v>
      </c>
    </row>
    <row r="789" spans="14:19" ht="11.25" customHeight="1" x14ac:dyDescent="0.35">
      <c r="N789" s="384" t="s">
        <v>5467</v>
      </c>
      <c r="O789" s="385" t="s">
        <v>5378</v>
      </c>
      <c r="P789" s="385" t="str">
        <f t="shared" ref="P789:P799" si="36">LEFT(Period,4)-4&amp;"Y"</f>
        <v>2010Y</v>
      </c>
      <c r="Q789" s="386" t="str">
        <f>[1]!SNLLabel(287,324676,,"&lt;&gt;360")</f>
        <v>AR: Analysis of Operations All Lines</v>
      </c>
      <c r="R789" s="365"/>
      <c r="S789" s="387" t="s">
        <v>29</v>
      </c>
    </row>
    <row r="790" spans="14:19" ht="11.25" customHeight="1" x14ac:dyDescent="0.35">
      <c r="N790" s="388" t="s">
        <v>5467</v>
      </c>
      <c r="O790" s="389" t="s">
        <v>5378</v>
      </c>
      <c r="P790" s="389" t="str">
        <f t="shared" si="36"/>
        <v>2010Y</v>
      </c>
      <c r="Q790" s="390" t="str">
        <f>[1]!SNLLabel(287,324676,,"&lt;&gt;361")</f>
        <v>AR: Individual Life</v>
      </c>
      <c r="R790" s="366"/>
      <c r="S790" s="391" t="s">
        <v>29</v>
      </c>
    </row>
    <row r="791" spans="14:19" ht="11.25" customHeight="1" x14ac:dyDescent="0.35">
      <c r="N791" s="388" t="s">
        <v>5467</v>
      </c>
      <c r="O791" s="389" t="s">
        <v>5378</v>
      </c>
      <c r="P791" s="389" t="str">
        <f t="shared" si="36"/>
        <v>2010Y</v>
      </c>
      <c r="Q791" s="390" t="str">
        <f>[1]!SNLLabel(287,324676,,"&lt;&gt;362")</f>
        <v>AR: Group Life</v>
      </c>
      <c r="R791" s="366"/>
      <c r="S791" s="391" t="s">
        <v>29</v>
      </c>
    </row>
    <row r="792" spans="14:19" ht="11.25" customHeight="1" x14ac:dyDescent="0.35">
      <c r="N792" s="388" t="s">
        <v>5467</v>
      </c>
      <c r="O792" s="389" t="s">
        <v>5378</v>
      </c>
      <c r="P792" s="389" t="str">
        <f t="shared" si="36"/>
        <v>2010Y</v>
      </c>
      <c r="Q792" s="390" t="str">
        <f>[1]!SNLLabel(287,324676,,"&lt;&gt;363")</f>
        <v>AR: Individual Annuities</v>
      </c>
      <c r="R792" s="366"/>
      <c r="S792" s="391" t="s">
        <v>29</v>
      </c>
    </row>
    <row r="793" spans="14:19" ht="11.25" customHeight="1" x14ac:dyDescent="0.35">
      <c r="N793" s="388" t="s">
        <v>5467</v>
      </c>
      <c r="O793" s="389" t="s">
        <v>5378</v>
      </c>
      <c r="P793" s="389" t="str">
        <f t="shared" si="36"/>
        <v>2010Y</v>
      </c>
      <c r="Q793" s="390" t="str">
        <f>[1]!SNLLabel(287,324676,,"&lt;&gt;364")</f>
        <v>AR: Group Annuities</v>
      </c>
      <c r="R793" s="366"/>
      <c r="S793" s="391" t="s">
        <v>29</v>
      </c>
    </row>
    <row r="794" spans="14:19" ht="11.25" customHeight="1" x14ac:dyDescent="0.35">
      <c r="N794" s="388" t="s">
        <v>5467</v>
      </c>
      <c r="O794" s="389" t="s">
        <v>5378</v>
      </c>
      <c r="P794" s="389" t="str">
        <f t="shared" si="36"/>
        <v>2010Y</v>
      </c>
      <c r="Q794" s="390" t="str">
        <f>[1]!SNLLabel(287,324676,,"&lt;&gt;365")</f>
        <v>AR: Accident and Health</v>
      </c>
      <c r="R794" s="366"/>
      <c r="S794" s="391" t="s">
        <v>29</v>
      </c>
    </row>
    <row r="795" spans="14:19" ht="11.25" customHeight="1" x14ac:dyDescent="0.35">
      <c r="N795" s="388" t="s">
        <v>5467</v>
      </c>
      <c r="O795" s="389" t="s">
        <v>5378</v>
      </c>
      <c r="P795" s="389" t="str">
        <f t="shared" si="36"/>
        <v>2010Y</v>
      </c>
      <c r="Q795" s="390" t="str">
        <f>[1]!SNLLabel(287,324676,,"&lt;&gt;366")</f>
        <v>AR: Fraternal</v>
      </c>
      <c r="R795" s="366"/>
      <c r="S795" s="391" t="s">
        <v>29</v>
      </c>
    </row>
    <row r="796" spans="14:19" ht="11.25" customHeight="1" x14ac:dyDescent="0.35">
      <c r="N796" s="388" t="s">
        <v>5467</v>
      </c>
      <c r="O796" s="389" t="s">
        <v>5378</v>
      </c>
      <c r="P796" s="389" t="str">
        <f t="shared" si="36"/>
        <v>2010Y</v>
      </c>
      <c r="Q796" s="390" t="str">
        <f>[1]!SNLLabel(287,324676,,"&lt;&gt;367")</f>
        <v>AR: Other Lines of Business</v>
      </c>
      <c r="R796" s="366"/>
      <c r="S796" s="391" t="s">
        <v>29</v>
      </c>
    </row>
    <row r="797" spans="14:19" ht="11.25" customHeight="1" x14ac:dyDescent="0.35">
      <c r="N797" s="388" t="s">
        <v>5467</v>
      </c>
      <c r="O797" s="389" t="s">
        <v>5378</v>
      </c>
      <c r="P797" s="389" t="str">
        <f t="shared" si="36"/>
        <v>2010Y</v>
      </c>
      <c r="Q797" s="390" t="str">
        <f>[1]!SNLLabel(287,324676,,"&lt;&gt;368")</f>
        <v>AR: YRT Mortality Risk Only</v>
      </c>
      <c r="R797" s="366"/>
      <c r="S797" s="391" t="s">
        <v>29</v>
      </c>
    </row>
    <row r="798" spans="14:19" ht="11.25" customHeight="1" x14ac:dyDescent="0.35">
      <c r="N798" s="388" t="s">
        <v>5467</v>
      </c>
      <c r="O798" s="389" t="s">
        <v>5378</v>
      </c>
      <c r="P798" s="389" t="str">
        <f t="shared" si="36"/>
        <v>2010Y</v>
      </c>
      <c r="Q798" s="390" t="str">
        <f>[1]!SNLLabel(287,324676,,"&lt;&gt;369")</f>
        <v>AR: Individual and Group Life</v>
      </c>
      <c r="R798" s="366"/>
      <c r="S798" s="391" t="s">
        <v>29</v>
      </c>
    </row>
    <row r="799" spans="14:19" ht="11.25" customHeight="1" x14ac:dyDescent="0.35">
      <c r="N799" s="367" t="s">
        <v>5467</v>
      </c>
      <c r="O799" s="368" t="s">
        <v>5378</v>
      </c>
      <c r="P799" s="368" t="str">
        <f t="shared" si="36"/>
        <v>2010Y</v>
      </c>
      <c r="Q799" s="369" t="str">
        <f>[1]!SNLLabel(287,324676,,"&lt;&gt;370")</f>
        <v>AR: Individual and Group Annuities</v>
      </c>
      <c r="R799" s="370"/>
      <c r="S799" s="371" t="s">
        <v>29</v>
      </c>
    </row>
    <row r="800" spans="14:19" ht="11.25" customHeight="1" x14ac:dyDescent="0.35">
      <c r="N800" s="377"/>
      <c r="O800" s="378"/>
      <c r="P800" s="378"/>
      <c r="Q800" s="379"/>
      <c r="R800" s="375"/>
      <c r="S800" s="380"/>
    </row>
    <row r="801" spans="14:19" ht="11.25" customHeight="1" x14ac:dyDescent="0.35">
      <c r="N801" s="384" t="s">
        <v>5468</v>
      </c>
      <c r="O801" s="385" t="s">
        <v>5379</v>
      </c>
      <c r="P801" s="385" t="str">
        <f t="shared" ref="P801:P811" si="37">Period</f>
        <v>2014Y</v>
      </c>
      <c r="Q801" s="386" t="str">
        <f>[1]!SNLLabel(287,324678,,"&lt;&gt;360")</f>
        <v>AR: Analysis of Operations All Lines</v>
      </c>
      <c r="R801" s="365"/>
      <c r="S801" s="387" t="s">
        <v>29</v>
      </c>
    </row>
    <row r="802" spans="14:19" ht="11.25" customHeight="1" x14ac:dyDescent="0.35">
      <c r="N802" s="388" t="s">
        <v>5468</v>
      </c>
      <c r="O802" s="389" t="s">
        <v>5379</v>
      </c>
      <c r="P802" s="389" t="str">
        <f t="shared" si="37"/>
        <v>2014Y</v>
      </c>
      <c r="Q802" s="390" t="str">
        <f>[1]!SNLLabel(287,324678,,"&lt;&gt;361")</f>
        <v>AR: Individual Life</v>
      </c>
      <c r="R802" s="366"/>
      <c r="S802" s="391" t="s">
        <v>29</v>
      </c>
    </row>
    <row r="803" spans="14:19" ht="11.25" customHeight="1" x14ac:dyDescent="0.35">
      <c r="N803" s="388" t="s">
        <v>5468</v>
      </c>
      <c r="O803" s="389" t="s">
        <v>5379</v>
      </c>
      <c r="P803" s="389" t="str">
        <f t="shared" si="37"/>
        <v>2014Y</v>
      </c>
      <c r="Q803" s="390" t="str">
        <f>[1]!SNLLabel(287,324678,,"&lt;&gt;362")</f>
        <v>AR: Group Life</v>
      </c>
      <c r="R803" s="366"/>
      <c r="S803" s="391" t="s">
        <v>29</v>
      </c>
    </row>
    <row r="804" spans="14:19" ht="11.25" customHeight="1" x14ac:dyDescent="0.35">
      <c r="N804" s="388" t="s">
        <v>5468</v>
      </c>
      <c r="O804" s="389" t="s">
        <v>5379</v>
      </c>
      <c r="P804" s="389" t="str">
        <f t="shared" si="37"/>
        <v>2014Y</v>
      </c>
      <c r="Q804" s="390" t="str">
        <f>[1]!SNLLabel(287,324678,,"&lt;&gt;363")</f>
        <v>AR: Individual Annuities</v>
      </c>
      <c r="R804" s="366"/>
      <c r="S804" s="391" t="s">
        <v>29</v>
      </c>
    </row>
    <row r="805" spans="14:19" ht="11.25" customHeight="1" x14ac:dyDescent="0.35">
      <c r="N805" s="388" t="s">
        <v>5468</v>
      </c>
      <c r="O805" s="389" t="s">
        <v>5379</v>
      </c>
      <c r="P805" s="389" t="str">
        <f t="shared" si="37"/>
        <v>2014Y</v>
      </c>
      <c r="Q805" s="390" t="str">
        <f>[1]!SNLLabel(287,324678,,"&lt;&gt;364")</f>
        <v>AR: Group Annuities</v>
      </c>
      <c r="R805" s="366"/>
      <c r="S805" s="391" t="s">
        <v>29</v>
      </c>
    </row>
    <row r="806" spans="14:19" ht="11.25" customHeight="1" x14ac:dyDescent="0.35">
      <c r="N806" s="388" t="s">
        <v>5468</v>
      </c>
      <c r="O806" s="389" t="s">
        <v>5379</v>
      </c>
      <c r="P806" s="389" t="str">
        <f t="shared" si="37"/>
        <v>2014Y</v>
      </c>
      <c r="Q806" s="390" t="str">
        <f>[1]!SNLLabel(287,324678,,"&lt;&gt;365")</f>
        <v>AR: Accident and Health</v>
      </c>
      <c r="R806" s="366"/>
      <c r="S806" s="391" t="s">
        <v>29</v>
      </c>
    </row>
    <row r="807" spans="14:19" ht="11.25" customHeight="1" x14ac:dyDescent="0.35">
      <c r="N807" s="388" t="s">
        <v>5468</v>
      </c>
      <c r="O807" s="389" t="s">
        <v>5379</v>
      </c>
      <c r="P807" s="389" t="str">
        <f t="shared" si="37"/>
        <v>2014Y</v>
      </c>
      <c r="Q807" s="390" t="str">
        <f>[1]!SNLLabel(287,324678,,"&lt;&gt;366")</f>
        <v>AR: Fraternal</v>
      </c>
      <c r="R807" s="366"/>
      <c r="S807" s="391" t="s">
        <v>29</v>
      </c>
    </row>
    <row r="808" spans="14:19" ht="11.25" customHeight="1" x14ac:dyDescent="0.35">
      <c r="N808" s="388" t="s">
        <v>5468</v>
      </c>
      <c r="O808" s="389" t="s">
        <v>5379</v>
      </c>
      <c r="P808" s="389" t="str">
        <f t="shared" si="37"/>
        <v>2014Y</v>
      </c>
      <c r="Q808" s="390" t="str">
        <f>[1]!SNLLabel(287,324678,,"&lt;&gt;367")</f>
        <v>AR: Other Lines of Business</v>
      </c>
      <c r="R808" s="366"/>
      <c r="S808" s="391" t="s">
        <v>29</v>
      </c>
    </row>
    <row r="809" spans="14:19" ht="11.25" customHeight="1" x14ac:dyDescent="0.35">
      <c r="N809" s="388" t="s">
        <v>5468</v>
      </c>
      <c r="O809" s="389" t="s">
        <v>5379</v>
      </c>
      <c r="P809" s="389" t="str">
        <f t="shared" si="37"/>
        <v>2014Y</v>
      </c>
      <c r="Q809" s="390" t="str">
        <f>[1]!SNLLabel(287,324678,,"&lt;&gt;368")</f>
        <v>AR: YRT Mortality Risk Only</v>
      </c>
      <c r="R809" s="366"/>
      <c r="S809" s="391" t="s">
        <v>29</v>
      </c>
    </row>
    <row r="810" spans="14:19" ht="11.25" customHeight="1" x14ac:dyDescent="0.35">
      <c r="N810" s="388" t="s">
        <v>5468</v>
      </c>
      <c r="O810" s="389" t="s">
        <v>5379</v>
      </c>
      <c r="P810" s="389" t="str">
        <f t="shared" si="37"/>
        <v>2014Y</v>
      </c>
      <c r="Q810" s="390" t="str">
        <f>[1]!SNLLabel(287,324678,,"&lt;&gt;369")</f>
        <v>AR: Individual and Group Life</v>
      </c>
      <c r="R810" s="366"/>
      <c r="S810" s="391" t="s">
        <v>29</v>
      </c>
    </row>
    <row r="811" spans="14:19" ht="11.25" customHeight="1" x14ac:dyDescent="0.35">
      <c r="N811" s="367" t="s">
        <v>5468</v>
      </c>
      <c r="O811" s="368" t="s">
        <v>5379</v>
      </c>
      <c r="P811" s="368" t="str">
        <f t="shared" si="37"/>
        <v>2014Y</v>
      </c>
      <c r="Q811" s="369" t="str">
        <f>[1]!SNLLabel(287,324678,,"&lt;&gt;370")</f>
        <v>AR: Individual and Group Annuities</v>
      </c>
      <c r="R811" s="370"/>
      <c r="S811" s="371" t="s">
        <v>29</v>
      </c>
    </row>
    <row r="812" spans="14:19" ht="11.25" customHeight="1" x14ac:dyDescent="0.35">
      <c r="N812" s="384" t="s">
        <v>5468</v>
      </c>
      <c r="O812" s="385" t="s">
        <v>5379</v>
      </c>
      <c r="P812" s="385" t="str">
        <f t="shared" ref="P812:P822" si="38">LEFT(Period,4)-1&amp;"Y"</f>
        <v>2013Y</v>
      </c>
      <c r="Q812" s="386" t="str">
        <f>[1]!SNLLabel(287,324678,,"&lt;&gt;360")</f>
        <v>AR: Analysis of Operations All Lines</v>
      </c>
      <c r="R812" s="365"/>
      <c r="S812" s="387" t="s">
        <v>29</v>
      </c>
    </row>
    <row r="813" spans="14:19" ht="11.25" customHeight="1" x14ac:dyDescent="0.35">
      <c r="N813" s="388" t="s">
        <v>5468</v>
      </c>
      <c r="O813" s="389" t="s">
        <v>5379</v>
      </c>
      <c r="P813" s="389" t="str">
        <f t="shared" si="38"/>
        <v>2013Y</v>
      </c>
      <c r="Q813" s="390" t="str">
        <f>[1]!SNLLabel(287,324678,,"&lt;&gt;361")</f>
        <v>AR: Individual Life</v>
      </c>
      <c r="R813" s="366"/>
      <c r="S813" s="391" t="s">
        <v>29</v>
      </c>
    </row>
    <row r="814" spans="14:19" ht="11.25" customHeight="1" x14ac:dyDescent="0.35">
      <c r="N814" s="388" t="s">
        <v>5468</v>
      </c>
      <c r="O814" s="389" t="s">
        <v>5379</v>
      </c>
      <c r="P814" s="389" t="str">
        <f t="shared" si="38"/>
        <v>2013Y</v>
      </c>
      <c r="Q814" s="390" t="str">
        <f>[1]!SNLLabel(287,324678,,"&lt;&gt;362")</f>
        <v>AR: Group Life</v>
      </c>
      <c r="R814" s="366"/>
      <c r="S814" s="391" t="s">
        <v>29</v>
      </c>
    </row>
    <row r="815" spans="14:19" ht="11.25" customHeight="1" x14ac:dyDescent="0.35">
      <c r="N815" s="388" t="s">
        <v>5468</v>
      </c>
      <c r="O815" s="389" t="s">
        <v>5379</v>
      </c>
      <c r="P815" s="389" t="str">
        <f t="shared" si="38"/>
        <v>2013Y</v>
      </c>
      <c r="Q815" s="390" t="str">
        <f>[1]!SNLLabel(287,324678,,"&lt;&gt;363")</f>
        <v>AR: Individual Annuities</v>
      </c>
      <c r="R815" s="366"/>
      <c r="S815" s="391" t="s">
        <v>29</v>
      </c>
    </row>
    <row r="816" spans="14:19" ht="11.25" customHeight="1" x14ac:dyDescent="0.35">
      <c r="N816" s="388" t="s">
        <v>5468</v>
      </c>
      <c r="O816" s="389" t="s">
        <v>5379</v>
      </c>
      <c r="P816" s="389" t="str">
        <f t="shared" si="38"/>
        <v>2013Y</v>
      </c>
      <c r="Q816" s="390" t="str">
        <f>[1]!SNLLabel(287,324678,,"&lt;&gt;364")</f>
        <v>AR: Group Annuities</v>
      </c>
      <c r="R816" s="366"/>
      <c r="S816" s="391" t="s">
        <v>29</v>
      </c>
    </row>
    <row r="817" spans="14:19" ht="11.25" customHeight="1" x14ac:dyDescent="0.35">
      <c r="N817" s="388" t="s">
        <v>5468</v>
      </c>
      <c r="O817" s="389" t="s">
        <v>5379</v>
      </c>
      <c r="P817" s="389" t="str">
        <f t="shared" si="38"/>
        <v>2013Y</v>
      </c>
      <c r="Q817" s="390" t="str">
        <f>[1]!SNLLabel(287,324678,,"&lt;&gt;365")</f>
        <v>AR: Accident and Health</v>
      </c>
      <c r="R817" s="366"/>
      <c r="S817" s="391" t="s">
        <v>29</v>
      </c>
    </row>
    <row r="818" spans="14:19" ht="11.25" customHeight="1" x14ac:dyDescent="0.35">
      <c r="N818" s="388" t="s">
        <v>5468</v>
      </c>
      <c r="O818" s="389" t="s">
        <v>5379</v>
      </c>
      <c r="P818" s="389" t="str">
        <f t="shared" si="38"/>
        <v>2013Y</v>
      </c>
      <c r="Q818" s="390" t="str">
        <f>[1]!SNLLabel(287,324678,,"&lt;&gt;366")</f>
        <v>AR: Fraternal</v>
      </c>
      <c r="R818" s="366"/>
      <c r="S818" s="391" t="s">
        <v>29</v>
      </c>
    </row>
    <row r="819" spans="14:19" ht="11.25" customHeight="1" x14ac:dyDescent="0.35">
      <c r="N819" s="388" t="s">
        <v>5468</v>
      </c>
      <c r="O819" s="389" t="s">
        <v>5379</v>
      </c>
      <c r="P819" s="389" t="str">
        <f t="shared" si="38"/>
        <v>2013Y</v>
      </c>
      <c r="Q819" s="390" t="str">
        <f>[1]!SNLLabel(287,324678,,"&lt;&gt;367")</f>
        <v>AR: Other Lines of Business</v>
      </c>
      <c r="R819" s="366"/>
      <c r="S819" s="391" t="s">
        <v>29</v>
      </c>
    </row>
    <row r="820" spans="14:19" ht="11.25" customHeight="1" x14ac:dyDescent="0.35">
      <c r="N820" s="388" t="s">
        <v>5468</v>
      </c>
      <c r="O820" s="389" t="s">
        <v>5379</v>
      </c>
      <c r="P820" s="389" t="str">
        <f t="shared" si="38"/>
        <v>2013Y</v>
      </c>
      <c r="Q820" s="390" t="str">
        <f>[1]!SNLLabel(287,324678,,"&lt;&gt;368")</f>
        <v>AR: YRT Mortality Risk Only</v>
      </c>
      <c r="R820" s="366"/>
      <c r="S820" s="391" t="s">
        <v>29</v>
      </c>
    </row>
    <row r="821" spans="14:19" ht="11.25" customHeight="1" x14ac:dyDescent="0.35">
      <c r="N821" s="388" t="s">
        <v>5468</v>
      </c>
      <c r="O821" s="389" t="s">
        <v>5379</v>
      </c>
      <c r="P821" s="389" t="str">
        <f t="shared" si="38"/>
        <v>2013Y</v>
      </c>
      <c r="Q821" s="390" t="str">
        <f>[1]!SNLLabel(287,324678,,"&lt;&gt;369")</f>
        <v>AR: Individual and Group Life</v>
      </c>
      <c r="R821" s="366"/>
      <c r="S821" s="391" t="s">
        <v>29</v>
      </c>
    </row>
    <row r="822" spans="14:19" ht="11.25" customHeight="1" x14ac:dyDescent="0.35">
      <c r="N822" s="367" t="s">
        <v>5468</v>
      </c>
      <c r="O822" s="368" t="s">
        <v>5379</v>
      </c>
      <c r="P822" s="368" t="str">
        <f t="shared" si="38"/>
        <v>2013Y</v>
      </c>
      <c r="Q822" s="369" t="str">
        <f>[1]!SNLLabel(287,324678,,"&lt;&gt;370")</f>
        <v>AR: Individual and Group Annuities</v>
      </c>
      <c r="R822" s="370"/>
      <c r="S822" s="371" t="s">
        <v>29</v>
      </c>
    </row>
    <row r="823" spans="14:19" ht="11.25" customHeight="1" x14ac:dyDescent="0.35">
      <c r="N823" s="384" t="s">
        <v>5468</v>
      </c>
      <c r="O823" s="385" t="s">
        <v>5379</v>
      </c>
      <c r="P823" s="385" t="str">
        <f t="shared" ref="P823:P833" si="39">LEFT(Period,4)-2&amp;"Y"</f>
        <v>2012Y</v>
      </c>
      <c r="Q823" s="386" t="str">
        <f>[1]!SNLLabel(287,324678,,"&lt;&gt;360")</f>
        <v>AR: Analysis of Operations All Lines</v>
      </c>
      <c r="R823" s="365"/>
      <c r="S823" s="387" t="s">
        <v>29</v>
      </c>
    </row>
    <row r="824" spans="14:19" ht="11.25" customHeight="1" x14ac:dyDescent="0.35">
      <c r="N824" s="388" t="s">
        <v>5468</v>
      </c>
      <c r="O824" s="389" t="s">
        <v>5379</v>
      </c>
      <c r="P824" s="389" t="str">
        <f t="shared" si="39"/>
        <v>2012Y</v>
      </c>
      <c r="Q824" s="390" t="str">
        <f>[1]!SNLLabel(287,324678,,"&lt;&gt;361")</f>
        <v>AR: Individual Life</v>
      </c>
      <c r="R824" s="366"/>
      <c r="S824" s="391" t="s">
        <v>29</v>
      </c>
    </row>
    <row r="825" spans="14:19" ht="11.25" customHeight="1" x14ac:dyDescent="0.35">
      <c r="N825" s="388" t="s">
        <v>5468</v>
      </c>
      <c r="O825" s="389" t="s">
        <v>5379</v>
      </c>
      <c r="P825" s="389" t="str">
        <f t="shared" si="39"/>
        <v>2012Y</v>
      </c>
      <c r="Q825" s="390" t="str">
        <f>[1]!SNLLabel(287,324678,,"&lt;&gt;362")</f>
        <v>AR: Group Life</v>
      </c>
      <c r="R825" s="366"/>
      <c r="S825" s="391" t="s">
        <v>29</v>
      </c>
    </row>
    <row r="826" spans="14:19" ht="11.25" customHeight="1" x14ac:dyDescent="0.35">
      <c r="N826" s="388" t="s">
        <v>5468</v>
      </c>
      <c r="O826" s="389" t="s">
        <v>5379</v>
      </c>
      <c r="P826" s="389" t="str">
        <f t="shared" si="39"/>
        <v>2012Y</v>
      </c>
      <c r="Q826" s="390" t="str">
        <f>[1]!SNLLabel(287,324678,,"&lt;&gt;363")</f>
        <v>AR: Individual Annuities</v>
      </c>
      <c r="R826" s="366"/>
      <c r="S826" s="391" t="s">
        <v>29</v>
      </c>
    </row>
    <row r="827" spans="14:19" ht="11.25" customHeight="1" x14ac:dyDescent="0.35">
      <c r="N827" s="388" t="s">
        <v>5468</v>
      </c>
      <c r="O827" s="389" t="s">
        <v>5379</v>
      </c>
      <c r="P827" s="389" t="str">
        <f t="shared" si="39"/>
        <v>2012Y</v>
      </c>
      <c r="Q827" s="390" t="str">
        <f>[1]!SNLLabel(287,324678,,"&lt;&gt;364")</f>
        <v>AR: Group Annuities</v>
      </c>
      <c r="R827" s="366"/>
      <c r="S827" s="391" t="s">
        <v>29</v>
      </c>
    </row>
    <row r="828" spans="14:19" ht="11.25" customHeight="1" x14ac:dyDescent="0.35">
      <c r="N828" s="388" t="s">
        <v>5468</v>
      </c>
      <c r="O828" s="389" t="s">
        <v>5379</v>
      </c>
      <c r="P828" s="389" t="str">
        <f t="shared" si="39"/>
        <v>2012Y</v>
      </c>
      <c r="Q828" s="390" t="str">
        <f>[1]!SNLLabel(287,324678,,"&lt;&gt;365")</f>
        <v>AR: Accident and Health</v>
      </c>
      <c r="R828" s="366"/>
      <c r="S828" s="391" t="s">
        <v>29</v>
      </c>
    </row>
    <row r="829" spans="14:19" ht="11.25" customHeight="1" x14ac:dyDescent="0.35">
      <c r="N829" s="388" t="s">
        <v>5468</v>
      </c>
      <c r="O829" s="389" t="s">
        <v>5379</v>
      </c>
      <c r="P829" s="389" t="str">
        <f t="shared" si="39"/>
        <v>2012Y</v>
      </c>
      <c r="Q829" s="390" t="str">
        <f>[1]!SNLLabel(287,324678,,"&lt;&gt;366")</f>
        <v>AR: Fraternal</v>
      </c>
      <c r="R829" s="366"/>
      <c r="S829" s="391" t="s">
        <v>29</v>
      </c>
    </row>
    <row r="830" spans="14:19" ht="11.25" customHeight="1" x14ac:dyDescent="0.35">
      <c r="N830" s="388" t="s">
        <v>5468</v>
      </c>
      <c r="O830" s="389" t="s">
        <v>5379</v>
      </c>
      <c r="P830" s="389" t="str">
        <f t="shared" si="39"/>
        <v>2012Y</v>
      </c>
      <c r="Q830" s="390" t="str">
        <f>[1]!SNLLabel(287,324678,,"&lt;&gt;367")</f>
        <v>AR: Other Lines of Business</v>
      </c>
      <c r="R830" s="366"/>
      <c r="S830" s="391" t="s">
        <v>29</v>
      </c>
    </row>
    <row r="831" spans="14:19" ht="11.25" customHeight="1" x14ac:dyDescent="0.35">
      <c r="N831" s="388" t="s">
        <v>5468</v>
      </c>
      <c r="O831" s="389" t="s">
        <v>5379</v>
      </c>
      <c r="P831" s="389" t="str">
        <f t="shared" si="39"/>
        <v>2012Y</v>
      </c>
      <c r="Q831" s="390" t="str">
        <f>[1]!SNLLabel(287,324678,,"&lt;&gt;368")</f>
        <v>AR: YRT Mortality Risk Only</v>
      </c>
      <c r="R831" s="366"/>
      <c r="S831" s="391" t="s">
        <v>29</v>
      </c>
    </row>
    <row r="832" spans="14:19" ht="11.25" customHeight="1" x14ac:dyDescent="0.35">
      <c r="N832" s="388" t="s">
        <v>5468</v>
      </c>
      <c r="O832" s="389" t="s">
        <v>5379</v>
      </c>
      <c r="P832" s="389" t="str">
        <f t="shared" si="39"/>
        <v>2012Y</v>
      </c>
      <c r="Q832" s="390" t="str">
        <f>[1]!SNLLabel(287,324678,,"&lt;&gt;369")</f>
        <v>AR: Individual and Group Life</v>
      </c>
      <c r="R832" s="366"/>
      <c r="S832" s="391" t="s">
        <v>29</v>
      </c>
    </row>
    <row r="833" spans="14:19" ht="11.25" customHeight="1" x14ac:dyDescent="0.35">
      <c r="N833" s="367" t="s">
        <v>5468</v>
      </c>
      <c r="O833" s="368" t="s">
        <v>5379</v>
      </c>
      <c r="P833" s="368" t="str">
        <f t="shared" si="39"/>
        <v>2012Y</v>
      </c>
      <c r="Q833" s="369" t="str">
        <f>[1]!SNLLabel(287,324678,,"&lt;&gt;370")</f>
        <v>AR: Individual and Group Annuities</v>
      </c>
      <c r="R833" s="370"/>
      <c r="S833" s="371" t="s">
        <v>29</v>
      </c>
    </row>
    <row r="834" spans="14:19" ht="11.25" customHeight="1" x14ac:dyDescent="0.35">
      <c r="N834" s="384" t="s">
        <v>5468</v>
      </c>
      <c r="O834" s="385" t="s">
        <v>5379</v>
      </c>
      <c r="P834" s="385" t="str">
        <f t="shared" ref="P834:P844" si="40">LEFT(Period,4)-3&amp;"Y"</f>
        <v>2011Y</v>
      </c>
      <c r="Q834" s="386" t="str">
        <f>[1]!SNLLabel(287,324678,,"&lt;&gt;360")</f>
        <v>AR: Analysis of Operations All Lines</v>
      </c>
      <c r="R834" s="365"/>
      <c r="S834" s="387" t="s">
        <v>29</v>
      </c>
    </row>
    <row r="835" spans="14:19" ht="11.25" customHeight="1" x14ac:dyDescent="0.35">
      <c r="N835" s="388" t="s">
        <v>5468</v>
      </c>
      <c r="O835" s="389" t="s">
        <v>5379</v>
      </c>
      <c r="P835" s="389" t="str">
        <f t="shared" si="40"/>
        <v>2011Y</v>
      </c>
      <c r="Q835" s="390" t="str">
        <f>[1]!SNLLabel(287,324678,,"&lt;&gt;361")</f>
        <v>AR: Individual Life</v>
      </c>
      <c r="R835" s="366"/>
      <c r="S835" s="391" t="s">
        <v>29</v>
      </c>
    </row>
    <row r="836" spans="14:19" ht="11.25" customHeight="1" x14ac:dyDescent="0.35">
      <c r="N836" s="388" t="s">
        <v>5468</v>
      </c>
      <c r="O836" s="389" t="s">
        <v>5379</v>
      </c>
      <c r="P836" s="389" t="str">
        <f t="shared" si="40"/>
        <v>2011Y</v>
      </c>
      <c r="Q836" s="390" t="str">
        <f>[1]!SNLLabel(287,324678,,"&lt;&gt;362")</f>
        <v>AR: Group Life</v>
      </c>
      <c r="R836" s="366"/>
      <c r="S836" s="391" t="s">
        <v>29</v>
      </c>
    </row>
    <row r="837" spans="14:19" ht="11.25" customHeight="1" x14ac:dyDescent="0.35">
      <c r="N837" s="388" t="s">
        <v>5468</v>
      </c>
      <c r="O837" s="389" t="s">
        <v>5379</v>
      </c>
      <c r="P837" s="389" t="str">
        <f t="shared" si="40"/>
        <v>2011Y</v>
      </c>
      <c r="Q837" s="390" t="str">
        <f>[1]!SNLLabel(287,324678,,"&lt;&gt;363")</f>
        <v>AR: Individual Annuities</v>
      </c>
      <c r="R837" s="366"/>
      <c r="S837" s="391" t="s">
        <v>29</v>
      </c>
    </row>
    <row r="838" spans="14:19" ht="11.25" customHeight="1" x14ac:dyDescent="0.35">
      <c r="N838" s="388" t="s">
        <v>5468</v>
      </c>
      <c r="O838" s="389" t="s">
        <v>5379</v>
      </c>
      <c r="P838" s="389" t="str">
        <f t="shared" si="40"/>
        <v>2011Y</v>
      </c>
      <c r="Q838" s="390" t="str">
        <f>[1]!SNLLabel(287,324678,,"&lt;&gt;364")</f>
        <v>AR: Group Annuities</v>
      </c>
      <c r="R838" s="366"/>
      <c r="S838" s="391" t="s">
        <v>29</v>
      </c>
    </row>
    <row r="839" spans="14:19" ht="11.25" customHeight="1" x14ac:dyDescent="0.35">
      <c r="N839" s="388" t="s">
        <v>5468</v>
      </c>
      <c r="O839" s="389" t="s">
        <v>5379</v>
      </c>
      <c r="P839" s="389" t="str">
        <f t="shared" si="40"/>
        <v>2011Y</v>
      </c>
      <c r="Q839" s="390" t="str">
        <f>[1]!SNLLabel(287,324678,,"&lt;&gt;365")</f>
        <v>AR: Accident and Health</v>
      </c>
      <c r="R839" s="366"/>
      <c r="S839" s="391" t="s">
        <v>29</v>
      </c>
    </row>
    <row r="840" spans="14:19" ht="11.25" customHeight="1" x14ac:dyDescent="0.35">
      <c r="N840" s="388" t="s">
        <v>5468</v>
      </c>
      <c r="O840" s="389" t="s">
        <v>5379</v>
      </c>
      <c r="P840" s="389" t="str">
        <f t="shared" si="40"/>
        <v>2011Y</v>
      </c>
      <c r="Q840" s="390" t="str">
        <f>[1]!SNLLabel(287,324678,,"&lt;&gt;366")</f>
        <v>AR: Fraternal</v>
      </c>
      <c r="R840" s="366"/>
      <c r="S840" s="391" t="s">
        <v>29</v>
      </c>
    </row>
    <row r="841" spans="14:19" ht="11.25" customHeight="1" x14ac:dyDescent="0.35">
      <c r="N841" s="388" t="s">
        <v>5468</v>
      </c>
      <c r="O841" s="389" t="s">
        <v>5379</v>
      </c>
      <c r="P841" s="389" t="str">
        <f t="shared" si="40"/>
        <v>2011Y</v>
      </c>
      <c r="Q841" s="390" t="str">
        <f>[1]!SNLLabel(287,324678,,"&lt;&gt;367")</f>
        <v>AR: Other Lines of Business</v>
      </c>
      <c r="R841" s="366"/>
      <c r="S841" s="391" t="s">
        <v>29</v>
      </c>
    </row>
    <row r="842" spans="14:19" ht="11.25" customHeight="1" x14ac:dyDescent="0.35">
      <c r="N842" s="388" t="s">
        <v>5468</v>
      </c>
      <c r="O842" s="389" t="s">
        <v>5379</v>
      </c>
      <c r="P842" s="389" t="str">
        <f t="shared" si="40"/>
        <v>2011Y</v>
      </c>
      <c r="Q842" s="390" t="str">
        <f>[1]!SNLLabel(287,324678,,"&lt;&gt;368")</f>
        <v>AR: YRT Mortality Risk Only</v>
      </c>
      <c r="R842" s="366"/>
      <c r="S842" s="391" t="s">
        <v>29</v>
      </c>
    </row>
    <row r="843" spans="14:19" ht="11.25" customHeight="1" x14ac:dyDescent="0.35">
      <c r="N843" s="388" t="s">
        <v>5468</v>
      </c>
      <c r="O843" s="389" t="s">
        <v>5379</v>
      </c>
      <c r="P843" s="389" t="str">
        <f t="shared" si="40"/>
        <v>2011Y</v>
      </c>
      <c r="Q843" s="390" t="str">
        <f>[1]!SNLLabel(287,324678,,"&lt;&gt;369")</f>
        <v>AR: Individual and Group Life</v>
      </c>
      <c r="R843" s="366"/>
      <c r="S843" s="391" t="s">
        <v>29</v>
      </c>
    </row>
    <row r="844" spans="14:19" ht="11.25" customHeight="1" x14ac:dyDescent="0.35">
      <c r="N844" s="367" t="s">
        <v>5468</v>
      </c>
      <c r="O844" s="368" t="s">
        <v>5379</v>
      </c>
      <c r="P844" s="368" t="str">
        <f t="shared" si="40"/>
        <v>2011Y</v>
      </c>
      <c r="Q844" s="369" t="str">
        <f>[1]!SNLLabel(287,324678,,"&lt;&gt;370")</f>
        <v>AR: Individual and Group Annuities</v>
      </c>
      <c r="R844" s="370"/>
      <c r="S844" s="371" t="s">
        <v>29</v>
      </c>
    </row>
    <row r="845" spans="14:19" ht="11.25" customHeight="1" x14ac:dyDescent="0.35">
      <c r="N845" s="384" t="s">
        <v>5468</v>
      </c>
      <c r="O845" s="385" t="s">
        <v>5379</v>
      </c>
      <c r="P845" s="385" t="str">
        <f t="shared" ref="P845:P855" si="41">LEFT(Period,4)-4&amp;"Y"</f>
        <v>2010Y</v>
      </c>
      <c r="Q845" s="386" t="str">
        <f>[1]!SNLLabel(287,324678,,"&lt;&gt;360")</f>
        <v>AR: Analysis of Operations All Lines</v>
      </c>
      <c r="R845" s="365"/>
      <c r="S845" s="387" t="s">
        <v>29</v>
      </c>
    </row>
    <row r="846" spans="14:19" ht="11.25" customHeight="1" x14ac:dyDescent="0.35">
      <c r="N846" s="388" t="s">
        <v>5468</v>
      </c>
      <c r="O846" s="389" t="s">
        <v>5379</v>
      </c>
      <c r="P846" s="389" t="str">
        <f t="shared" si="41"/>
        <v>2010Y</v>
      </c>
      <c r="Q846" s="390" t="str">
        <f>[1]!SNLLabel(287,324678,,"&lt;&gt;361")</f>
        <v>AR: Individual Life</v>
      </c>
      <c r="R846" s="366"/>
      <c r="S846" s="391" t="s">
        <v>29</v>
      </c>
    </row>
    <row r="847" spans="14:19" ht="11.25" customHeight="1" x14ac:dyDescent="0.35">
      <c r="N847" s="388" t="s">
        <v>5468</v>
      </c>
      <c r="O847" s="389" t="s">
        <v>5379</v>
      </c>
      <c r="P847" s="389" t="str">
        <f t="shared" si="41"/>
        <v>2010Y</v>
      </c>
      <c r="Q847" s="390" t="str">
        <f>[1]!SNLLabel(287,324678,,"&lt;&gt;362")</f>
        <v>AR: Group Life</v>
      </c>
      <c r="R847" s="366"/>
      <c r="S847" s="391" t="s">
        <v>29</v>
      </c>
    </row>
    <row r="848" spans="14:19" ht="11.25" customHeight="1" x14ac:dyDescent="0.35">
      <c r="N848" s="388" t="s">
        <v>5468</v>
      </c>
      <c r="O848" s="389" t="s">
        <v>5379</v>
      </c>
      <c r="P848" s="389" t="str">
        <f t="shared" si="41"/>
        <v>2010Y</v>
      </c>
      <c r="Q848" s="390" t="str">
        <f>[1]!SNLLabel(287,324678,,"&lt;&gt;363")</f>
        <v>AR: Individual Annuities</v>
      </c>
      <c r="R848" s="366"/>
      <c r="S848" s="391" t="s">
        <v>29</v>
      </c>
    </row>
    <row r="849" spans="14:19" ht="11.25" customHeight="1" x14ac:dyDescent="0.35">
      <c r="N849" s="388" t="s">
        <v>5468</v>
      </c>
      <c r="O849" s="389" t="s">
        <v>5379</v>
      </c>
      <c r="P849" s="389" t="str">
        <f t="shared" si="41"/>
        <v>2010Y</v>
      </c>
      <c r="Q849" s="390" t="str">
        <f>[1]!SNLLabel(287,324678,,"&lt;&gt;364")</f>
        <v>AR: Group Annuities</v>
      </c>
      <c r="R849" s="366"/>
      <c r="S849" s="391" t="s">
        <v>29</v>
      </c>
    </row>
    <row r="850" spans="14:19" ht="11.25" customHeight="1" x14ac:dyDescent="0.35">
      <c r="N850" s="388" t="s">
        <v>5468</v>
      </c>
      <c r="O850" s="389" t="s">
        <v>5379</v>
      </c>
      <c r="P850" s="389" t="str">
        <f t="shared" si="41"/>
        <v>2010Y</v>
      </c>
      <c r="Q850" s="390" t="str">
        <f>[1]!SNLLabel(287,324678,,"&lt;&gt;365")</f>
        <v>AR: Accident and Health</v>
      </c>
      <c r="R850" s="366"/>
      <c r="S850" s="391" t="s">
        <v>29</v>
      </c>
    </row>
    <row r="851" spans="14:19" ht="11.25" customHeight="1" x14ac:dyDescent="0.35">
      <c r="N851" s="388" t="s">
        <v>5468</v>
      </c>
      <c r="O851" s="389" t="s">
        <v>5379</v>
      </c>
      <c r="P851" s="389" t="str">
        <f t="shared" si="41"/>
        <v>2010Y</v>
      </c>
      <c r="Q851" s="390" t="str">
        <f>[1]!SNLLabel(287,324678,,"&lt;&gt;366")</f>
        <v>AR: Fraternal</v>
      </c>
      <c r="R851" s="366"/>
      <c r="S851" s="391" t="s">
        <v>29</v>
      </c>
    </row>
    <row r="852" spans="14:19" ht="11.25" customHeight="1" x14ac:dyDescent="0.35">
      <c r="N852" s="388" t="s">
        <v>5468</v>
      </c>
      <c r="O852" s="389" t="s">
        <v>5379</v>
      </c>
      <c r="P852" s="389" t="str">
        <f t="shared" si="41"/>
        <v>2010Y</v>
      </c>
      <c r="Q852" s="390" t="str">
        <f>[1]!SNLLabel(287,324678,,"&lt;&gt;367")</f>
        <v>AR: Other Lines of Business</v>
      </c>
      <c r="R852" s="366"/>
      <c r="S852" s="391" t="s">
        <v>29</v>
      </c>
    </row>
    <row r="853" spans="14:19" ht="11.25" customHeight="1" x14ac:dyDescent="0.35">
      <c r="N853" s="388" t="s">
        <v>5468</v>
      </c>
      <c r="O853" s="389" t="s">
        <v>5379</v>
      </c>
      <c r="P853" s="389" t="str">
        <f t="shared" si="41"/>
        <v>2010Y</v>
      </c>
      <c r="Q853" s="390" t="str">
        <f>[1]!SNLLabel(287,324678,,"&lt;&gt;368")</f>
        <v>AR: YRT Mortality Risk Only</v>
      </c>
      <c r="R853" s="366"/>
      <c r="S853" s="391" t="s">
        <v>29</v>
      </c>
    </row>
    <row r="854" spans="14:19" ht="11.25" customHeight="1" x14ac:dyDescent="0.35">
      <c r="N854" s="388" t="s">
        <v>5468</v>
      </c>
      <c r="O854" s="389" t="s">
        <v>5379</v>
      </c>
      <c r="P854" s="389" t="str">
        <f t="shared" si="41"/>
        <v>2010Y</v>
      </c>
      <c r="Q854" s="390" t="str">
        <f>[1]!SNLLabel(287,324678,,"&lt;&gt;369")</f>
        <v>AR: Individual and Group Life</v>
      </c>
      <c r="R854" s="366"/>
      <c r="S854" s="391" t="s">
        <v>29</v>
      </c>
    </row>
    <row r="855" spans="14:19" ht="11.25" customHeight="1" x14ac:dyDescent="0.35">
      <c r="N855" s="367" t="s">
        <v>5468</v>
      </c>
      <c r="O855" s="368" t="s">
        <v>5379</v>
      </c>
      <c r="P855" s="368" t="str">
        <f t="shared" si="41"/>
        <v>2010Y</v>
      </c>
      <c r="Q855" s="369" t="str">
        <f>[1]!SNLLabel(287,324678,,"&lt;&gt;370")</f>
        <v>AR: Individual and Group Annuities</v>
      </c>
      <c r="R855" s="370"/>
      <c r="S855" s="371" t="s">
        <v>29</v>
      </c>
    </row>
    <row r="856" spans="14:19" ht="11.25" customHeight="1" x14ac:dyDescent="0.35">
      <c r="N856" s="377"/>
      <c r="O856" s="378"/>
      <c r="P856" s="378"/>
      <c r="Q856" s="379"/>
      <c r="R856" s="375"/>
      <c r="S856" s="380"/>
    </row>
    <row r="857" spans="14:19" ht="11.25" customHeight="1" x14ac:dyDescent="0.35">
      <c r="N857" s="384" t="s">
        <v>5469</v>
      </c>
      <c r="O857" s="385" t="s">
        <v>5380</v>
      </c>
      <c r="P857" s="385" t="str">
        <f t="shared" ref="P857:P867" si="42">Period</f>
        <v>2014Y</v>
      </c>
      <c r="Q857" s="386" t="str">
        <f>[1]!SNLLabel(287,324680,,"&lt;&gt;360")</f>
        <v>AR: Analysis of Operations All Lines</v>
      </c>
      <c r="R857" s="365"/>
      <c r="S857" s="387" t="s">
        <v>29</v>
      </c>
    </row>
    <row r="858" spans="14:19" ht="11.25" customHeight="1" x14ac:dyDescent="0.35">
      <c r="N858" s="388" t="s">
        <v>5469</v>
      </c>
      <c r="O858" s="389" t="s">
        <v>5380</v>
      </c>
      <c r="P858" s="389" t="str">
        <f t="shared" si="42"/>
        <v>2014Y</v>
      </c>
      <c r="Q858" s="390" t="str">
        <f>[1]!SNLLabel(287,324680,,"&lt;&gt;361")</f>
        <v>AR: Individual Life</v>
      </c>
      <c r="R858" s="366"/>
      <c r="S858" s="391" t="s">
        <v>29</v>
      </c>
    </row>
    <row r="859" spans="14:19" ht="11.25" customHeight="1" x14ac:dyDescent="0.35">
      <c r="N859" s="388" t="s">
        <v>5469</v>
      </c>
      <c r="O859" s="389" t="s">
        <v>5380</v>
      </c>
      <c r="P859" s="389" t="str">
        <f t="shared" si="42"/>
        <v>2014Y</v>
      </c>
      <c r="Q859" s="390" t="str">
        <f>[1]!SNLLabel(287,324680,,"&lt;&gt;362")</f>
        <v>AR: Group Life</v>
      </c>
      <c r="R859" s="366"/>
      <c r="S859" s="391" t="s">
        <v>29</v>
      </c>
    </row>
    <row r="860" spans="14:19" ht="11.25" customHeight="1" x14ac:dyDescent="0.35">
      <c r="N860" s="388" t="s">
        <v>5469</v>
      </c>
      <c r="O860" s="389" t="s">
        <v>5380</v>
      </c>
      <c r="P860" s="389" t="str">
        <f t="shared" si="42"/>
        <v>2014Y</v>
      </c>
      <c r="Q860" s="390" t="str">
        <f>[1]!SNLLabel(287,324680,,"&lt;&gt;363")</f>
        <v>AR: Individual Annuities</v>
      </c>
      <c r="R860" s="366"/>
      <c r="S860" s="391" t="s">
        <v>29</v>
      </c>
    </row>
    <row r="861" spans="14:19" ht="11.25" customHeight="1" x14ac:dyDescent="0.35">
      <c r="N861" s="388" t="s">
        <v>5469</v>
      </c>
      <c r="O861" s="389" t="s">
        <v>5380</v>
      </c>
      <c r="P861" s="389" t="str">
        <f t="shared" si="42"/>
        <v>2014Y</v>
      </c>
      <c r="Q861" s="390" t="str">
        <f>[1]!SNLLabel(287,324680,,"&lt;&gt;364")</f>
        <v>AR: Group Annuities</v>
      </c>
      <c r="R861" s="366"/>
      <c r="S861" s="391" t="s">
        <v>29</v>
      </c>
    </row>
    <row r="862" spans="14:19" ht="11.25" customHeight="1" x14ac:dyDescent="0.35">
      <c r="N862" s="388" t="s">
        <v>5469</v>
      </c>
      <c r="O862" s="389" t="s">
        <v>5380</v>
      </c>
      <c r="P862" s="389" t="str">
        <f t="shared" si="42"/>
        <v>2014Y</v>
      </c>
      <c r="Q862" s="390" t="str">
        <f>[1]!SNLLabel(287,324680,,"&lt;&gt;365")</f>
        <v>AR: Accident and Health</v>
      </c>
      <c r="R862" s="366"/>
      <c r="S862" s="391" t="s">
        <v>29</v>
      </c>
    </row>
    <row r="863" spans="14:19" ht="11.25" customHeight="1" x14ac:dyDescent="0.35">
      <c r="N863" s="388" t="s">
        <v>5469</v>
      </c>
      <c r="O863" s="389" t="s">
        <v>5380</v>
      </c>
      <c r="P863" s="389" t="str">
        <f t="shared" si="42"/>
        <v>2014Y</v>
      </c>
      <c r="Q863" s="390" t="str">
        <f>[1]!SNLLabel(287,324680,,"&lt;&gt;366")</f>
        <v>AR: Fraternal</v>
      </c>
      <c r="R863" s="366"/>
      <c r="S863" s="391" t="s">
        <v>29</v>
      </c>
    </row>
    <row r="864" spans="14:19" ht="11.25" customHeight="1" x14ac:dyDescent="0.35">
      <c r="N864" s="388" t="s">
        <v>5469</v>
      </c>
      <c r="O864" s="389" t="s">
        <v>5380</v>
      </c>
      <c r="P864" s="389" t="str">
        <f t="shared" si="42"/>
        <v>2014Y</v>
      </c>
      <c r="Q864" s="390" t="str">
        <f>[1]!SNLLabel(287,324680,,"&lt;&gt;367")</f>
        <v>AR: Other Lines of Business</v>
      </c>
      <c r="R864" s="366"/>
      <c r="S864" s="391" t="s">
        <v>29</v>
      </c>
    </row>
    <row r="865" spans="14:19" ht="11.25" customHeight="1" x14ac:dyDescent="0.35">
      <c r="N865" s="388" t="s">
        <v>5469</v>
      </c>
      <c r="O865" s="389" t="s">
        <v>5380</v>
      </c>
      <c r="P865" s="389" t="str">
        <f t="shared" si="42"/>
        <v>2014Y</v>
      </c>
      <c r="Q865" s="390" t="str">
        <f>[1]!SNLLabel(287,324680,,"&lt;&gt;368")</f>
        <v>AR: YRT Mortality Risk Only</v>
      </c>
      <c r="R865" s="366"/>
      <c r="S865" s="391" t="s">
        <v>29</v>
      </c>
    </row>
    <row r="866" spans="14:19" ht="11.25" customHeight="1" x14ac:dyDescent="0.35">
      <c r="N866" s="388" t="s">
        <v>5469</v>
      </c>
      <c r="O866" s="389" t="s">
        <v>5380</v>
      </c>
      <c r="P866" s="389" t="str">
        <f t="shared" si="42"/>
        <v>2014Y</v>
      </c>
      <c r="Q866" s="390" t="str">
        <f>[1]!SNLLabel(287,324680,,"&lt;&gt;369")</f>
        <v>AR: Individual and Group Life</v>
      </c>
      <c r="R866" s="366"/>
      <c r="S866" s="391" t="s">
        <v>29</v>
      </c>
    </row>
    <row r="867" spans="14:19" ht="11.25" customHeight="1" x14ac:dyDescent="0.35">
      <c r="N867" s="367" t="s">
        <v>5469</v>
      </c>
      <c r="O867" s="368" t="s">
        <v>5380</v>
      </c>
      <c r="P867" s="368" t="str">
        <f t="shared" si="42"/>
        <v>2014Y</v>
      </c>
      <c r="Q867" s="369" t="str">
        <f>[1]!SNLLabel(287,324680,,"&lt;&gt;370")</f>
        <v>AR: Individual and Group Annuities</v>
      </c>
      <c r="R867" s="370"/>
      <c r="S867" s="371" t="s">
        <v>29</v>
      </c>
    </row>
    <row r="868" spans="14:19" ht="11.25" customHeight="1" x14ac:dyDescent="0.35">
      <c r="N868" s="384" t="s">
        <v>5469</v>
      </c>
      <c r="O868" s="385" t="s">
        <v>5380</v>
      </c>
      <c r="P868" s="385" t="str">
        <f t="shared" ref="P868:P878" si="43">LEFT(Period,4)-1&amp;"Y"</f>
        <v>2013Y</v>
      </c>
      <c r="Q868" s="386" t="str">
        <f>[1]!SNLLabel(287,324680,,"&lt;&gt;360")</f>
        <v>AR: Analysis of Operations All Lines</v>
      </c>
      <c r="R868" s="365"/>
      <c r="S868" s="387" t="s">
        <v>29</v>
      </c>
    </row>
    <row r="869" spans="14:19" ht="11.25" customHeight="1" x14ac:dyDescent="0.35">
      <c r="N869" s="388" t="s">
        <v>5469</v>
      </c>
      <c r="O869" s="389" t="s">
        <v>5380</v>
      </c>
      <c r="P869" s="389" t="str">
        <f t="shared" si="43"/>
        <v>2013Y</v>
      </c>
      <c r="Q869" s="390" t="str">
        <f>[1]!SNLLabel(287,324680,,"&lt;&gt;361")</f>
        <v>AR: Individual Life</v>
      </c>
      <c r="R869" s="366"/>
      <c r="S869" s="391" t="s">
        <v>29</v>
      </c>
    </row>
    <row r="870" spans="14:19" ht="11.25" customHeight="1" x14ac:dyDescent="0.35">
      <c r="N870" s="388" t="s">
        <v>5469</v>
      </c>
      <c r="O870" s="389" t="s">
        <v>5380</v>
      </c>
      <c r="P870" s="389" t="str">
        <f t="shared" si="43"/>
        <v>2013Y</v>
      </c>
      <c r="Q870" s="390" t="str">
        <f>[1]!SNLLabel(287,324680,,"&lt;&gt;362")</f>
        <v>AR: Group Life</v>
      </c>
      <c r="R870" s="366"/>
      <c r="S870" s="391" t="s">
        <v>29</v>
      </c>
    </row>
    <row r="871" spans="14:19" ht="11.25" customHeight="1" x14ac:dyDescent="0.35">
      <c r="N871" s="388" t="s">
        <v>5469</v>
      </c>
      <c r="O871" s="389" t="s">
        <v>5380</v>
      </c>
      <c r="P871" s="389" t="str">
        <f t="shared" si="43"/>
        <v>2013Y</v>
      </c>
      <c r="Q871" s="390" t="str">
        <f>[1]!SNLLabel(287,324680,,"&lt;&gt;363")</f>
        <v>AR: Individual Annuities</v>
      </c>
      <c r="R871" s="366"/>
      <c r="S871" s="391" t="s">
        <v>29</v>
      </c>
    </row>
    <row r="872" spans="14:19" ht="11.25" customHeight="1" x14ac:dyDescent="0.35">
      <c r="N872" s="388" t="s">
        <v>5469</v>
      </c>
      <c r="O872" s="389" t="s">
        <v>5380</v>
      </c>
      <c r="P872" s="389" t="str">
        <f t="shared" si="43"/>
        <v>2013Y</v>
      </c>
      <c r="Q872" s="390" t="str">
        <f>[1]!SNLLabel(287,324680,,"&lt;&gt;364")</f>
        <v>AR: Group Annuities</v>
      </c>
      <c r="R872" s="366"/>
      <c r="S872" s="391" t="s">
        <v>29</v>
      </c>
    </row>
    <row r="873" spans="14:19" ht="11.25" customHeight="1" x14ac:dyDescent="0.35">
      <c r="N873" s="388" t="s">
        <v>5469</v>
      </c>
      <c r="O873" s="389" t="s">
        <v>5380</v>
      </c>
      <c r="P873" s="389" t="str">
        <f t="shared" si="43"/>
        <v>2013Y</v>
      </c>
      <c r="Q873" s="390" t="str">
        <f>[1]!SNLLabel(287,324680,,"&lt;&gt;365")</f>
        <v>AR: Accident and Health</v>
      </c>
      <c r="R873" s="366"/>
      <c r="S873" s="391" t="s">
        <v>29</v>
      </c>
    </row>
    <row r="874" spans="14:19" ht="11.25" customHeight="1" x14ac:dyDescent="0.35">
      <c r="N874" s="388" t="s">
        <v>5469</v>
      </c>
      <c r="O874" s="389" t="s">
        <v>5380</v>
      </c>
      <c r="P874" s="389" t="str">
        <f t="shared" si="43"/>
        <v>2013Y</v>
      </c>
      <c r="Q874" s="390" t="str">
        <f>[1]!SNLLabel(287,324680,,"&lt;&gt;366")</f>
        <v>AR: Fraternal</v>
      </c>
      <c r="R874" s="366"/>
      <c r="S874" s="391" t="s">
        <v>29</v>
      </c>
    </row>
    <row r="875" spans="14:19" ht="11.25" customHeight="1" x14ac:dyDescent="0.35">
      <c r="N875" s="388" t="s">
        <v>5469</v>
      </c>
      <c r="O875" s="389" t="s">
        <v>5380</v>
      </c>
      <c r="P875" s="389" t="str">
        <f t="shared" si="43"/>
        <v>2013Y</v>
      </c>
      <c r="Q875" s="390" t="str">
        <f>[1]!SNLLabel(287,324680,,"&lt;&gt;367")</f>
        <v>AR: Other Lines of Business</v>
      </c>
      <c r="R875" s="366"/>
      <c r="S875" s="391" t="s">
        <v>29</v>
      </c>
    </row>
    <row r="876" spans="14:19" ht="11.25" customHeight="1" x14ac:dyDescent="0.35">
      <c r="N876" s="388" t="s">
        <v>5469</v>
      </c>
      <c r="O876" s="389" t="s">
        <v>5380</v>
      </c>
      <c r="P876" s="389" t="str">
        <f t="shared" si="43"/>
        <v>2013Y</v>
      </c>
      <c r="Q876" s="390" t="str">
        <f>[1]!SNLLabel(287,324680,,"&lt;&gt;368")</f>
        <v>AR: YRT Mortality Risk Only</v>
      </c>
      <c r="R876" s="366"/>
      <c r="S876" s="391" t="s">
        <v>29</v>
      </c>
    </row>
    <row r="877" spans="14:19" ht="11.25" customHeight="1" x14ac:dyDescent="0.35">
      <c r="N877" s="388" t="s">
        <v>5469</v>
      </c>
      <c r="O877" s="389" t="s">
        <v>5380</v>
      </c>
      <c r="P877" s="389" t="str">
        <f t="shared" si="43"/>
        <v>2013Y</v>
      </c>
      <c r="Q877" s="390" t="str">
        <f>[1]!SNLLabel(287,324680,,"&lt;&gt;369")</f>
        <v>AR: Individual and Group Life</v>
      </c>
      <c r="R877" s="366"/>
      <c r="S877" s="391" t="s">
        <v>29</v>
      </c>
    </row>
    <row r="878" spans="14:19" ht="11.25" customHeight="1" x14ac:dyDescent="0.35">
      <c r="N878" s="367" t="s">
        <v>5469</v>
      </c>
      <c r="O878" s="368" t="s">
        <v>5380</v>
      </c>
      <c r="P878" s="368" t="str">
        <f t="shared" si="43"/>
        <v>2013Y</v>
      </c>
      <c r="Q878" s="369" t="str">
        <f>[1]!SNLLabel(287,324680,,"&lt;&gt;370")</f>
        <v>AR: Individual and Group Annuities</v>
      </c>
      <c r="R878" s="370"/>
      <c r="S878" s="371" t="s">
        <v>29</v>
      </c>
    </row>
    <row r="879" spans="14:19" ht="11.25" customHeight="1" x14ac:dyDescent="0.35">
      <c r="N879" s="384" t="s">
        <v>5469</v>
      </c>
      <c r="O879" s="385" t="s">
        <v>5380</v>
      </c>
      <c r="P879" s="385" t="str">
        <f t="shared" ref="P879:P889" si="44">LEFT(Period,4)-2&amp;"Y"</f>
        <v>2012Y</v>
      </c>
      <c r="Q879" s="386" t="str">
        <f>[1]!SNLLabel(287,324680,,"&lt;&gt;360")</f>
        <v>AR: Analysis of Operations All Lines</v>
      </c>
      <c r="R879" s="365"/>
      <c r="S879" s="387" t="s">
        <v>29</v>
      </c>
    </row>
    <row r="880" spans="14:19" ht="11.25" customHeight="1" x14ac:dyDescent="0.35">
      <c r="N880" s="388" t="s">
        <v>5469</v>
      </c>
      <c r="O880" s="389" t="s">
        <v>5380</v>
      </c>
      <c r="P880" s="389" t="str">
        <f t="shared" si="44"/>
        <v>2012Y</v>
      </c>
      <c r="Q880" s="390" t="str">
        <f>[1]!SNLLabel(287,324680,,"&lt;&gt;361")</f>
        <v>AR: Individual Life</v>
      </c>
      <c r="R880" s="366"/>
      <c r="S880" s="391" t="s">
        <v>29</v>
      </c>
    </row>
    <row r="881" spans="14:19" ht="11.25" customHeight="1" x14ac:dyDescent="0.35">
      <c r="N881" s="388" t="s">
        <v>5469</v>
      </c>
      <c r="O881" s="389" t="s">
        <v>5380</v>
      </c>
      <c r="P881" s="389" t="str">
        <f t="shared" si="44"/>
        <v>2012Y</v>
      </c>
      <c r="Q881" s="390" t="str">
        <f>[1]!SNLLabel(287,324680,,"&lt;&gt;362")</f>
        <v>AR: Group Life</v>
      </c>
      <c r="R881" s="366"/>
      <c r="S881" s="391" t="s">
        <v>29</v>
      </c>
    </row>
    <row r="882" spans="14:19" ht="11.25" customHeight="1" x14ac:dyDescent="0.35">
      <c r="N882" s="388" t="s">
        <v>5469</v>
      </c>
      <c r="O882" s="389" t="s">
        <v>5380</v>
      </c>
      <c r="P882" s="389" t="str">
        <f t="shared" si="44"/>
        <v>2012Y</v>
      </c>
      <c r="Q882" s="390" t="str">
        <f>[1]!SNLLabel(287,324680,,"&lt;&gt;363")</f>
        <v>AR: Individual Annuities</v>
      </c>
      <c r="R882" s="366"/>
      <c r="S882" s="391" t="s">
        <v>29</v>
      </c>
    </row>
    <row r="883" spans="14:19" ht="11.25" customHeight="1" x14ac:dyDescent="0.35">
      <c r="N883" s="388" t="s">
        <v>5469</v>
      </c>
      <c r="O883" s="389" t="s">
        <v>5380</v>
      </c>
      <c r="P883" s="389" t="str">
        <f t="shared" si="44"/>
        <v>2012Y</v>
      </c>
      <c r="Q883" s="390" t="str">
        <f>[1]!SNLLabel(287,324680,,"&lt;&gt;364")</f>
        <v>AR: Group Annuities</v>
      </c>
      <c r="R883" s="366"/>
      <c r="S883" s="391" t="s">
        <v>29</v>
      </c>
    </row>
    <row r="884" spans="14:19" ht="11.25" customHeight="1" x14ac:dyDescent="0.35">
      <c r="N884" s="388" t="s">
        <v>5469</v>
      </c>
      <c r="O884" s="389" t="s">
        <v>5380</v>
      </c>
      <c r="P884" s="389" t="str">
        <f t="shared" si="44"/>
        <v>2012Y</v>
      </c>
      <c r="Q884" s="390" t="str">
        <f>[1]!SNLLabel(287,324680,,"&lt;&gt;365")</f>
        <v>AR: Accident and Health</v>
      </c>
      <c r="R884" s="366"/>
      <c r="S884" s="391" t="s">
        <v>29</v>
      </c>
    </row>
    <row r="885" spans="14:19" ht="11.25" customHeight="1" x14ac:dyDescent="0.35">
      <c r="N885" s="388" t="s">
        <v>5469</v>
      </c>
      <c r="O885" s="389" t="s">
        <v>5380</v>
      </c>
      <c r="P885" s="389" t="str">
        <f t="shared" si="44"/>
        <v>2012Y</v>
      </c>
      <c r="Q885" s="390" t="str">
        <f>[1]!SNLLabel(287,324680,,"&lt;&gt;366")</f>
        <v>AR: Fraternal</v>
      </c>
      <c r="R885" s="366"/>
      <c r="S885" s="391" t="s">
        <v>29</v>
      </c>
    </row>
    <row r="886" spans="14:19" ht="11.25" customHeight="1" x14ac:dyDescent="0.35">
      <c r="N886" s="388" t="s">
        <v>5469</v>
      </c>
      <c r="O886" s="389" t="s">
        <v>5380</v>
      </c>
      <c r="P886" s="389" t="str">
        <f t="shared" si="44"/>
        <v>2012Y</v>
      </c>
      <c r="Q886" s="390" t="str">
        <f>[1]!SNLLabel(287,324680,,"&lt;&gt;367")</f>
        <v>AR: Other Lines of Business</v>
      </c>
      <c r="R886" s="366"/>
      <c r="S886" s="391" t="s">
        <v>29</v>
      </c>
    </row>
    <row r="887" spans="14:19" ht="11.25" customHeight="1" x14ac:dyDescent="0.35">
      <c r="N887" s="388" t="s">
        <v>5469</v>
      </c>
      <c r="O887" s="389" t="s">
        <v>5380</v>
      </c>
      <c r="P887" s="389" t="str">
        <f t="shared" si="44"/>
        <v>2012Y</v>
      </c>
      <c r="Q887" s="390" t="str">
        <f>[1]!SNLLabel(287,324680,,"&lt;&gt;368")</f>
        <v>AR: YRT Mortality Risk Only</v>
      </c>
      <c r="R887" s="366"/>
      <c r="S887" s="391" t="s">
        <v>29</v>
      </c>
    </row>
    <row r="888" spans="14:19" ht="11.25" customHeight="1" x14ac:dyDescent="0.35">
      <c r="N888" s="388" t="s">
        <v>5469</v>
      </c>
      <c r="O888" s="389" t="s">
        <v>5380</v>
      </c>
      <c r="P888" s="389" t="str">
        <f t="shared" si="44"/>
        <v>2012Y</v>
      </c>
      <c r="Q888" s="390" t="str">
        <f>[1]!SNLLabel(287,324680,,"&lt;&gt;369")</f>
        <v>AR: Individual and Group Life</v>
      </c>
      <c r="R888" s="366"/>
      <c r="S888" s="391" t="s">
        <v>29</v>
      </c>
    </row>
    <row r="889" spans="14:19" ht="11.25" customHeight="1" x14ac:dyDescent="0.35">
      <c r="N889" s="367" t="s">
        <v>5469</v>
      </c>
      <c r="O889" s="368" t="s">
        <v>5380</v>
      </c>
      <c r="P889" s="368" t="str">
        <f t="shared" si="44"/>
        <v>2012Y</v>
      </c>
      <c r="Q889" s="369" t="str">
        <f>[1]!SNLLabel(287,324680,,"&lt;&gt;370")</f>
        <v>AR: Individual and Group Annuities</v>
      </c>
      <c r="R889" s="370"/>
      <c r="S889" s="371" t="s">
        <v>29</v>
      </c>
    </row>
    <row r="890" spans="14:19" ht="11.25" customHeight="1" x14ac:dyDescent="0.35">
      <c r="N890" s="384" t="s">
        <v>5469</v>
      </c>
      <c r="O890" s="385" t="s">
        <v>5380</v>
      </c>
      <c r="P890" s="385" t="str">
        <f t="shared" ref="P890:P900" si="45">LEFT(Period,4)-3&amp;"Y"</f>
        <v>2011Y</v>
      </c>
      <c r="Q890" s="386" t="str">
        <f>[1]!SNLLabel(287,324680,,"&lt;&gt;360")</f>
        <v>AR: Analysis of Operations All Lines</v>
      </c>
      <c r="R890" s="365"/>
      <c r="S890" s="387" t="s">
        <v>29</v>
      </c>
    </row>
    <row r="891" spans="14:19" ht="11.25" customHeight="1" x14ac:dyDescent="0.35">
      <c r="N891" s="388" t="s">
        <v>5469</v>
      </c>
      <c r="O891" s="389" t="s">
        <v>5380</v>
      </c>
      <c r="P891" s="389" t="str">
        <f t="shared" si="45"/>
        <v>2011Y</v>
      </c>
      <c r="Q891" s="390" t="str">
        <f>[1]!SNLLabel(287,324680,,"&lt;&gt;361")</f>
        <v>AR: Individual Life</v>
      </c>
      <c r="R891" s="366"/>
      <c r="S891" s="391" t="s">
        <v>29</v>
      </c>
    </row>
    <row r="892" spans="14:19" ht="11.25" customHeight="1" x14ac:dyDescent="0.35">
      <c r="N892" s="388" t="s">
        <v>5469</v>
      </c>
      <c r="O892" s="389" t="s">
        <v>5380</v>
      </c>
      <c r="P892" s="389" t="str">
        <f t="shared" si="45"/>
        <v>2011Y</v>
      </c>
      <c r="Q892" s="390" t="str">
        <f>[1]!SNLLabel(287,324680,,"&lt;&gt;362")</f>
        <v>AR: Group Life</v>
      </c>
      <c r="R892" s="366"/>
      <c r="S892" s="391" t="s">
        <v>29</v>
      </c>
    </row>
    <row r="893" spans="14:19" ht="11.25" customHeight="1" x14ac:dyDescent="0.35">
      <c r="N893" s="388" t="s">
        <v>5469</v>
      </c>
      <c r="O893" s="389" t="s">
        <v>5380</v>
      </c>
      <c r="P893" s="389" t="str">
        <f t="shared" si="45"/>
        <v>2011Y</v>
      </c>
      <c r="Q893" s="390" t="str">
        <f>[1]!SNLLabel(287,324680,,"&lt;&gt;363")</f>
        <v>AR: Individual Annuities</v>
      </c>
      <c r="R893" s="366"/>
      <c r="S893" s="391" t="s">
        <v>29</v>
      </c>
    </row>
    <row r="894" spans="14:19" ht="11.25" customHeight="1" x14ac:dyDescent="0.35">
      <c r="N894" s="388" t="s">
        <v>5469</v>
      </c>
      <c r="O894" s="389" t="s">
        <v>5380</v>
      </c>
      <c r="P894" s="389" t="str">
        <f t="shared" si="45"/>
        <v>2011Y</v>
      </c>
      <c r="Q894" s="390" t="str">
        <f>[1]!SNLLabel(287,324680,,"&lt;&gt;364")</f>
        <v>AR: Group Annuities</v>
      </c>
      <c r="R894" s="366"/>
      <c r="S894" s="391" t="s">
        <v>29</v>
      </c>
    </row>
    <row r="895" spans="14:19" ht="11.25" customHeight="1" x14ac:dyDescent="0.35">
      <c r="N895" s="388" t="s">
        <v>5469</v>
      </c>
      <c r="O895" s="389" t="s">
        <v>5380</v>
      </c>
      <c r="P895" s="389" t="str">
        <f t="shared" si="45"/>
        <v>2011Y</v>
      </c>
      <c r="Q895" s="390" t="str">
        <f>[1]!SNLLabel(287,324680,,"&lt;&gt;365")</f>
        <v>AR: Accident and Health</v>
      </c>
      <c r="R895" s="366"/>
      <c r="S895" s="391" t="s">
        <v>29</v>
      </c>
    </row>
    <row r="896" spans="14:19" ht="11.25" customHeight="1" x14ac:dyDescent="0.35">
      <c r="N896" s="388" t="s">
        <v>5469</v>
      </c>
      <c r="O896" s="389" t="s">
        <v>5380</v>
      </c>
      <c r="P896" s="389" t="str">
        <f t="shared" si="45"/>
        <v>2011Y</v>
      </c>
      <c r="Q896" s="390" t="str">
        <f>[1]!SNLLabel(287,324680,,"&lt;&gt;366")</f>
        <v>AR: Fraternal</v>
      </c>
      <c r="R896" s="366"/>
      <c r="S896" s="391" t="s">
        <v>29</v>
      </c>
    </row>
    <row r="897" spans="14:19" ht="11.25" customHeight="1" x14ac:dyDescent="0.35">
      <c r="N897" s="388" t="s">
        <v>5469</v>
      </c>
      <c r="O897" s="389" t="s">
        <v>5380</v>
      </c>
      <c r="P897" s="389" t="str">
        <f t="shared" si="45"/>
        <v>2011Y</v>
      </c>
      <c r="Q897" s="390" t="str">
        <f>[1]!SNLLabel(287,324680,,"&lt;&gt;367")</f>
        <v>AR: Other Lines of Business</v>
      </c>
      <c r="R897" s="366"/>
      <c r="S897" s="391" t="s">
        <v>29</v>
      </c>
    </row>
    <row r="898" spans="14:19" ht="11.25" customHeight="1" x14ac:dyDescent="0.35">
      <c r="N898" s="388" t="s">
        <v>5469</v>
      </c>
      <c r="O898" s="389" t="s">
        <v>5380</v>
      </c>
      <c r="P898" s="389" t="str">
        <f t="shared" si="45"/>
        <v>2011Y</v>
      </c>
      <c r="Q898" s="390" t="str">
        <f>[1]!SNLLabel(287,324680,,"&lt;&gt;368")</f>
        <v>AR: YRT Mortality Risk Only</v>
      </c>
      <c r="R898" s="366"/>
      <c r="S898" s="391" t="s">
        <v>29</v>
      </c>
    </row>
    <row r="899" spans="14:19" ht="11.25" customHeight="1" x14ac:dyDescent="0.35">
      <c r="N899" s="388" t="s">
        <v>5469</v>
      </c>
      <c r="O899" s="389" t="s">
        <v>5380</v>
      </c>
      <c r="P899" s="389" t="str">
        <f t="shared" si="45"/>
        <v>2011Y</v>
      </c>
      <c r="Q899" s="390" t="str">
        <f>[1]!SNLLabel(287,324680,,"&lt;&gt;369")</f>
        <v>AR: Individual and Group Life</v>
      </c>
      <c r="R899" s="366"/>
      <c r="S899" s="391" t="s">
        <v>29</v>
      </c>
    </row>
    <row r="900" spans="14:19" ht="11.25" customHeight="1" x14ac:dyDescent="0.35">
      <c r="N900" s="367" t="s">
        <v>5469</v>
      </c>
      <c r="O900" s="368" t="s">
        <v>5380</v>
      </c>
      <c r="P900" s="368" t="str">
        <f t="shared" si="45"/>
        <v>2011Y</v>
      </c>
      <c r="Q900" s="369" t="str">
        <f>[1]!SNLLabel(287,324680,,"&lt;&gt;370")</f>
        <v>AR: Individual and Group Annuities</v>
      </c>
      <c r="R900" s="370"/>
      <c r="S900" s="371" t="s">
        <v>29</v>
      </c>
    </row>
    <row r="901" spans="14:19" ht="11.25" customHeight="1" x14ac:dyDescent="0.35">
      <c r="N901" s="384" t="s">
        <v>5469</v>
      </c>
      <c r="O901" s="385" t="s">
        <v>5380</v>
      </c>
      <c r="P901" s="385" t="str">
        <f t="shared" ref="P901:P911" si="46">LEFT(Period,4)-4&amp;"Y"</f>
        <v>2010Y</v>
      </c>
      <c r="Q901" s="386" t="str">
        <f>[1]!SNLLabel(287,324680,,"&lt;&gt;360")</f>
        <v>AR: Analysis of Operations All Lines</v>
      </c>
      <c r="R901" s="365"/>
      <c r="S901" s="387" t="s">
        <v>29</v>
      </c>
    </row>
    <row r="902" spans="14:19" ht="11.25" customHeight="1" x14ac:dyDescent="0.35">
      <c r="N902" s="388" t="s">
        <v>5469</v>
      </c>
      <c r="O902" s="389" t="s">
        <v>5380</v>
      </c>
      <c r="P902" s="389" t="str">
        <f t="shared" si="46"/>
        <v>2010Y</v>
      </c>
      <c r="Q902" s="390" t="str">
        <f>[1]!SNLLabel(287,324680,,"&lt;&gt;361")</f>
        <v>AR: Individual Life</v>
      </c>
      <c r="R902" s="366"/>
      <c r="S902" s="391" t="s">
        <v>29</v>
      </c>
    </row>
    <row r="903" spans="14:19" ht="11.25" customHeight="1" x14ac:dyDescent="0.35">
      <c r="N903" s="388" t="s">
        <v>5469</v>
      </c>
      <c r="O903" s="389" t="s">
        <v>5380</v>
      </c>
      <c r="P903" s="389" t="str">
        <f t="shared" si="46"/>
        <v>2010Y</v>
      </c>
      <c r="Q903" s="390" t="str">
        <f>[1]!SNLLabel(287,324680,,"&lt;&gt;362")</f>
        <v>AR: Group Life</v>
      </c>
      <c r="R903" s="366"/>
      <c r="S903" s="391" t="s">
        <v>29</v>
      </c>
    </row>
    <row r="904" spans="14:19" ht="11.25" customHeight="1" x14ac:dyDescent="0.35">
      <c r="N904" s="388" t="s">
        <v>5469</v>
      </c>
      <c r="O904" s="389" t="s">
        <v>5380</v>
      </c>
      <c r="P904" s="389" t="str">
        <f t="shared" si="46"/>
        <v>2010Y</v>
      </c>
      <c r="Q904" s="390" t="str">
        <f>[1]!SNLLabel(287,324680,,"&lt;&gt;363")</f>
        <v>AR: Individual Annuities</v>
      </c>
      <c r="R904" s="366"/>
      <c r="S904" s="391" t="s">
        <v>29</v>
      </c>
    </row>
    <row r="905" spans="14:19" ht="11.25" customHeight="1" x14ac:dyDescent="0.35">
      <c r="N905" s="388" t="s">
        <v>5469</v>
      </c>
      <c r="O905" s="389" t="s">
        <v>5380</v>
      </c>
      <c r="P905" s="389" t="str">
        <f t="shared" si="46"/>
        <v>2010Y</v>
      </c>
      <c r="Q905" s="390" t="str">
        <f>[1]!SNLLabel(287,324680,,"&lt;&gt;364")</f>
        <v>AR: Group Annuities</v>
      </c>
      <c r="R905" s="366"/>
      <c r="S905" s="391" t="s">
        <v>29</v>
      </c>
    </row>
    <row r="906" spans="14:19" ht="11.25" customHeight="1" x14ac:dyDescent="0.35">
      <c r="N906" s="388" t="s">
        <v>5469</v>
      </c>
      <c r="O906" s="389" t="s">
        <v>5380</v>
      </c>
      <c r="P906" s="389" t="str">
        <f t="shared" si="46"/>
        <v>2010Y</v>
      </c>
      <c r="Q906" s="390" t="str">
        <f>[1]!SNLLabel(287,324680,,"&lt;&gt;365")</f>
        <v>AR: Accident and Health</v>
      </c>
      <c r="R906" s="366"/>
      <c r="S906" s="391" t="s">
        <v>29</v>
      </c>
    </row>
    <row r="907" spans="14:19" ht="11.25" customHeight="1" x14ac:dyDescent="0.35">
      <c r="N907" s="388" t="s">
        <v>5469</v>
      </c>
      <c r="O907" s="389" t="s">
        <v>5380</v>
      </c>
      <c r="P907" s="389" t="str">
        <f t="shared" si="46"/>
        <v>2010Y</v>
      </c>
      <c r="Q907" s="390" t="str">
        <f>[1]!SNLLabel(287,324680,,"&lt;&gt;366")</f>
        <v>AR: Fraternal</v>
      </c>
      <c r="R907" s="366"/>
      <c r="S907" s="391" t="s">
        <v>29</v>
      </c>
    </row>
    <row r="908" spans="14:19" ht="11.25" customHeight="1" x14ac:dyDescent="0.35">
      <c r="N908" s="388" t="s">
        <v>5469</v>
      </c>
      <c r="O908" s="389" t="s">
        <v>5380</v>
      </c>
      <c r="P908" s="389" t="str">
        <f t="shared" si="46"/>
        <v>2010Y</v>
      </c>
      <c r="Q908" s="390" t="str">
        <f>[1]!SNLLabel(287,324680,,"&lt;&gt;367")</f>
        <v>AR: Other Lines of Business</v>
      </c>
      <c r="R908" s="366"/>
      <c r="S908" s="391" t="s">
        <v>29</v>
      </c>
    </row>
    <row r="909" spans="14:19" ht="11.25" customHeight="1" x14ac:dyDescent="0.35">
      <c r="N909" s="388" t="s">
        <v>5469</v>
      </c>
      <c r="O909" s="389" t="s">
        <v>5380</v>
      </c>
      <c r="P909" s="389" t="str">
        <f t="shared" si="46"/>
        <v>2010Y</v>
      </c>
      <c r="Q909" s="390" t="str">
        <f>[1]!SNLLabel(287,324680,,"&lt;&gt;368")</f>
        <v>AR: YRT Mortality Risk Only</v>
      </c>
      <c r="R909" s="366"/>
      <c r="S909" s="391" t="s">
        <v>29</v>
      </c>
    </row>
    <row r="910" spans="14:19" ht="11.25" customHeight="1" x14ac:dyDescent="0.35">
      <c r="N910" s="388" t="s">
        <v>5469</v>
      </c>
      <c r="O910" s="389" t="s">
        <v>5380</v>
      </c>
      <c r="P910" s="389" t="str">
        <f t="shared" si="46"/>
        <v>2010Y</v>
      </c>
      <c r="Q910" s="390" t="str">
        <f>[1]!SNLLabel(287,324680,,"&lt;&gt;369")</f>
        <v>AR: Individual and Group Life</v>
      </c>
      <c r="R910" s="366"/>
      <c r="S910" s="391" t="s">
        <v>29</v>
      </c>
    </row>
    <row r="911" spans="14:19" ht="11.25" customHeight="1" x14ac:dyDescent="0.35">
      <c r="N911" s="367" t="s">
        <v>5469</v>
      </c>
      <c r="O911" s="368" t="s">
        <v>5380</v>
      </c>
      <c r="P911" s="368" t="str">
        <f t="shared" si="46"/>
        <v>2010Y</v>
      </c>
      <c r="Q911" s="369" t="str">
        <f>[1]!SNLLabel(287,324680,,"&lt;&gt;370")</f>
        <v>AR: Individual and Group Annuities</v>
      </c>
      <c r="R911" s="370"/>
      <c r="S911" s="371" t="s">
        <v>29</v>
      </c>
    </row>
    <row r="912" spans="14:19" ht="11.25" customHeight="1" x14ac:dyDescent="0.35">
      <c r="N912" s="377"/>
      <c r="O912" s="378"/>
      <c r="P912" s="378"/>
      <c r="Q912" s="379"/>
      <c r="R912" s="375"/>
      <c r="S912" s="380"/>
    </row>
    <row r="913" spans="14:19" ht="11.25" customHeight="1" x14ac:dyDescent="0.35">
      <c r="N913" s="384" t="s">
        <v>5478</v>
      </c>
      <c r="O913" s="385" t="s">
        <v>5388</v>
      </c>
      <c r="P913" s="385" t="str">
        <f t="shared" ref="P913:P923" si="47">Period</f>
        <v>2014Y</v>
      </c>
      <c r="Q913" s="386" t="str">
        <f>[1]!SNLLabel(287,324685,,"&lt;&gt;360")</f>
        <v>AR: Analysis of Operations All Lines</v>
      </c>
      <c r="R913" s="365"/>
      <c r="S913" s="387" t="s">
        <v>29</v>
      </c>
    </row>
    <row r="914" spans="14:19" ht="11.25" customHeight="1" x14ac:dyDescent="0.35">
      <c r="N914" s="388" t="s">
        <v>5478</v>
      </c>
      <c r="O914" s="389" t="s">
        <v>5388</v>
      </c>
      <c r="P914" s="389" t="str">
        <f t="shared" si="47"/>
        <v>2014Y</v>
      </c>
      <c r="Q914" s="390" t="str">
        <f>[1]!SNLLabel(287,324685,,"&lt;&gt;361")</f>
        <v>AR: Individual Life</v>
      </c>
      <c r="R914" s="366"/>
      <c r="S914" s="391" t="s">
        <v>29</v>
      </c>
    </row>
    <row r="915" spans="14:19" ht="11.25" customHeight="1" x14ac:dyDescent="0.35">
      <c r="N915" s="388" t="s">
        <v>5478</v>
      </c>
      <c r="O915" s="389" t="s">
        <v>5388</v>
      </c>
      <c r="P915" s="389" t="str">
        <f t="shared" si="47"/>
        <v>2014Y</v>
      </c>
      <c r="Q915" s="390" t="str">
        <f>[1]!SNLLabel(287,324685,,"&lt;&gt;362")</f>
        <v>AR: Group Life</v>
      </c>
      <c r="R915" s="366"/>
      <c r="S915" s="391" t="s">
        <v>29</v>
      </c>
    </row>
    <row r="916" spans="14:19" ht="11.25" customHeight="1" x14ac:dyDescent="0.35">
      <c r="N916" s="388" t="s">
        <v>5478</v>
      </c>
      <c r="O916" s="389" t="s">
        <v>5388</v>
      </c>
      <c r="P916" s="389" t="str">
        <f t="shared" si="47"/>
        <v>2014Y</v>
      </c>
      <c r="Q916" s="390" t="str">
        <f>[1]!SNLLabel(287,324685,,"&lt;&gt;363")</f>
        <v>AR: Individual Annuities</v>
      </c>
      <c r="R916" s="366"/>
      <c r="S916" s="391" t="s">
        <v>29</v>
      </c>
    </row>
    <row r="917" spans="14:19" ht="11.25" customHeight="1" x14ac:dyDescent="0.35">
      <c r="N917" s="388" t="s">
        <v>5478</v>
      </c>
      <c r="O917" s="389" t="s">
        <v>5388</v>
      </c>
      <c r="P917" s="389" t="str">
        <f t="shared" si="47"/>
        <v>2014Y</v>
      </c>
      <c r="Q917" s="390" t="str">
        <f>[1]!SNLLabel(287,324685,,"&lt;&gt;364")</f>
        <v>AR: Group Annuities</v>
      </c>
      <c r="R917" s="366"/>
      <c r="S917" s="391" t="s">
        <v>29</v>
      </c>
    </row>
    <row r="918" spans="14:19" ht="11.25" customHeight="1" x14ac:dyDescent="0.35">
      <c r="N918" s="388" t="s">
        <v>5478</v>
      </c>
      <c r="O918" s="389" t="s">
        <v>5388</v>
      </c>
      <c r="P918" s="389" t="str">
        <f t="shared" si="47"/>
        <v>2014Y</v>
      </c>
      <c r="Q918" s="390" t="str">
        <f>[1]!SNLLabel(287,324685,,"&lt;&gt;365")</f>
        <v>AR: Accident and Health</v>
      </c>
      <c r="R918" s="366"/>
      <c r="S918" s="391" t="s">
        <v>29</v>
      </c>
    </row>
    <row r="919" spans="14:19" ht="11.25" customHeight="1" x14ac:dyDescent="0.35">
      <c r="N919" s="388" t="s">
        <v>5478</v>
      </c>
      <c r="O919" s="389" t="s">
        <v>5388</v>
      </c>
      <c r="P919" s="389" t="str">
        <f t="shared" si="47"/>
        <v>2014Y</v>
      </c>
      <c r="Q919" s="390" t="str">
        <f>[1]!SNLLabel(287,324685,,"&lt;&gt;366")</f>
        <v>AR: Fraternal</v>
      </c>
      <c r="R919" s="366"/>
      <c r="S919" s="391" t="s">
        <v>29</v>
      </c>
    </row>
    <row r="920" spans="14:19" ht="11.25" customHeight="1" x14ac:dyDescent="0.35">
      <c r="N920" s="388" t="s">
        <v>5478</v>
      </c>
      <c r="O920" s="389" t="s">
        <v>5388</v>
      </c>
      <c r="P920" s="389" t="str">
        <f t="shared" si="47"/>
        <v>2014Y</v>
      </c>
      <c r="Q920" s="390" t="str">
        <f>[1]!SNLLabel(287,324685,,"&lt;&gt;367")</f>
        <v>AR: Other Lines of Business</v>
      </c>
      <c r="R920" s="366"/>
      <c r="S920" s="391" t="s">
        <v>29</v>
      </c>
    </row>
    <row r="921" spans="14:19" ht="11.25" customHeight="1" x14ac:dyDescent="0.35">
      <c r="N921" s="388" t="s">
        <v>5478</v>
      </c>
      <c r="O921" s="389" t="s">
        <v>5388</v>
      </c>
      <c r="P921" s="389" t="str">
        <f t="shared" si="47"/>
        <v>2014Y</v>
      </c>
      <c r="Q921" s="390" t="str">
        <f>[1]!SNLLabel(287,324685,,"&lt;&gt;368")</f>
        <v>AR: YRT Mortality Risk Only</v>
      </c>
      <c r="R921" s="366"/>
      <c r="S921" s="391" t="s">
        <v>29</v>
      </c>
    </row>
    <row r="922" spans="14:19" ht="11.25" customHeight="1" x14ac:dyDescent="0.35">
      <c r="N922" s="388" t="s">
        <v>5478</v>
      </c>
      <c r="O922" s="389" t="s">
        <v>5388</v>
      </c>
      <c r="P922" s="389" t="str">
        <f t="shared" si="47"/>
        <v>2014Y</v>
      </c>
      <c r="Q922" s="390" t="str">
        <f>[1]!SNLLabel(287,324685,,"&lt;&gt;369")</f>
        <v>AR: Individual and Group Life</v>
      </c>
      <c r="R922" s="366"/>
      <c r="S922" s="391" t="s">
        <v>29</v>
      </c>
    </row>
    <row r="923" spans="14:19" ht="11.25" customHeight="1" x14ac:dyDescent="0.35">
      <c r="N923" s="367" t="s">
        <v>5478</v>
      </c>
      <c r="O923" s="368" t="s">
        <v>5388</v>
      </c>
      <c r="P923" s="368" t="str">
        <f t="shared" si="47"/>
        <v>2014Y</v>
      </c>
      <c r="Q923" s="369" t="str">
        <f>[1]!SNLLabel(287,324685,,"&lt;&gt;370")</f>
        <v>AR: Individual and Group Annuities</v>
      </c>
      <c r="R923" s="370"/>
      <c r="S923" s="371" t="s">
        <v>29</v>
      </c>
    </row>
    <row r="924" spans="14:19" ht="11.25" customHeight="1" x14ac:dyDescent="0.35">
      <c r="N924" s="384" t="s">
        <v>5478</v>
      </c>
      <c r="O924" s="385" t="s">
        <v>5388</v>
      </c>
      <c r="P924" s="385" t="str">
        <f t="shared" ref="P924:P934" si="48">LEFT(Period,4)-1&amp;"Y"</f>
        <v>2013Y</v>
      </c>
      <c r="Q924" s="386" t="str">
        <f>[1]!SNLLabel(287,324685,,"&lt;&gt;360")</f>
        <v>AR: Analysis of Operations All Lines</v>
      </c>
      <c r="R924" s="365"/>
      <c r="S924" s="387" t="s">
        <v>29</v>
      </c>
    </row>
    <row r="925" spans="14:19" ht="11.25" customHeight="1" x14ac:dyDescent="0.35">
      <c r="N925" s="388" t="s">
        <v>5478</v>
      </c>
      <c r="O925" s="389" t="s">
        <v>5388</v>
      </c>
      <c r="P925" s="389" t="str">
        <f t="shared" si="48"/>
        <v>2013Y</v>
      </c>
      <c r="Q925" s="390" t="str">
        <f>[1]!SNLLabel(287,324685,,"&lt;&gt;361")</f>
        <v>AR: Individual Life</v>
      </c>
      <c r="R925" s="366"/>
      <c r="S925" s="391" t="s">
        <v>29</v>
      </c>
    </row>
    <row r="926" spans="14:19" ht="11.25" customHeight="1" x14ac:dyDescent="0.35">
      <c r="N926" s="388" t="s">
        <v>5478</v>
      </c>
      <c r="O926" s="389" t="s">
        <v>5388</v>
      </c>
      <c r="P926" s="389" t="str">
        <f t="shared" si="48"/>
        <v>2013Y</v>
      </c>
      <c r="Q926" s="390" t="str">
        <f>[1]!SNLLabel(287,324685,,"&lt;&gt;362")</f>
        <v>AR: Group Life</v>
      </c>
      <c r="R926" s="366"/>
      <c r="S926" s="391" t="s">
        <v>29</v>
      </c>
    </row>
    <row r="927" spans="14:19" ht="11.25" customHeight="1" x14ac:dyDescent="0.35">
      <c r="N927" s="388" t="s">
        <v>5478</v>
      </c>
      <c r="O927" s="389" t="s">
        <v>5388</v>
      </c>
      <c r="P927" s="389" t="str">
        <f t="shared" si="48"/>
        <v>2013Y</v>
      </c>
      <c r="Q927" s="390" t="str">
        <f>[1]!SNLLabel(287,324685,,"&lt;&gt;363")</f>
        <v>AR: Individual Annuities</v>
      </c>
      <c r="R927" s="366"/>
      <c r="S927" s="391" t="s">
        <v>29</v>
      </c>
    </row>
    <row r="928" spans="14:19" ht="11.25" customHeight="1" x14ac:dyDescent="0.35">
      <c r="N928" s="388" t="s">
        <v>5478</v>
      </c>
      <c r="O928" s="389" t="s">
        <v>5388</v>
      </c>
      <c r="P928" s="389" t="str">
        <f t="shared" si="48"/>
        <v>2013Y</v>
      </c>
      <c r="Q928" s="390" t="str">
        <f>[1]!SNLLabel(287,324685,,"&lt;&gt;364")</f>
        <v>AR: Group Annuities</v>
      </c>
      <c r="R928" s="366"/>
      <c r="S928" s="391" t="s">
        <v>29</v>
      </c>
    </row>
    <row r="929" spans="14:19" ht="11.25" customHeight="1" x14ac:dyDescent="0.35">
      <c r="N929" s="388" t="s">
        <v>5478</v>
      </c>
      <c r="O929" s="389" t="s">
        <v>5388</v>
      </c>
      <c r="P929" s="389" t="str">
        <f t="shared" si="48"/>
        <v>2013Y</v>
      </c>
      <c r="Q929" s="390" t="str">
        <f>[1]!SNLLabel(287,324685,,"&lt;&gt;365")</f>
        <v>AR: Accident and Health</v>
      </c>
      <c r="R929" s="366"/>
      <c r="S929" s="391" t="s">
        <v>29</v>
      </c>
    </row>
    <row r="930" spans="14:19" ht="11.25" customHeight="1" x14ac:dyDescent="0.35">
      <c r="N930" s="388" t="s">
        <v>5478</v>
      </c>
      <c r="O930" s="389" t="s">
        <v>5388</v>
      </c>
      <c r="P930" s="389" t="str">
        <f t="shared" si="48"/>
        <v>2013Y</v>
      </c>
      <c r="Q930" s="390" t="str">
        <f>[1]!SNLLabel(287,324685,,"&lt;&gt;366")</f>
        <v>AR: Fraternal</v>
      </c>
      <c r="R930" s="366"/>
      <c r="S930" s="391" t="s">
        <v>29</v>
      </c>
    </row>
    <row r="931" spans="14:19" ht="11.25" customHeight="1" x14ac:dyDescent="0.35">
      <c r="N931" s="388" t="s">
        <v>5478</v>
      </c>
      <c r="O931" s="389" t="s">
        <v>5388</v>
      </c>
      <c r="P931" s="389" t="str">
        <f t="shared" si="48"/>
        <v>2013Y</v>
      </c>
      <c r="Q931" s="390" t="str">
        <f>[1]!SNLLabel(287,324685,,"&lt;&gt;367")</f>
        <v>AR: Other Lines of Business</v>
      </c>
      <c r="R931" s="366"/>
      <c r="S931" s="391" t="s">
        <v>29</v>
      </c>
    </row>
    <row r="932" spans="14:19" ht="11.25" customHeight="1" x14ac:dyDescent="0.35">
      <c r="N932" s="388" t="s">
        <v>5478</v>
      </c>
      <c r="O932" s="389" t="s">
        <v>5388</v>
      </c>
      <c r="P932" s="389" t="str">
        <f t="shared" si="48"/>
        <v>2013Y</v>
      </c>
      <c r="Q932" s="390" t="str">
        <f>[1]!SNLLabel(287,324685,,"&lt;&gt;368")</f>
        <v>AR: YRT Mortality Risk Only</v>
      </c>
      <c r="R932" s="366"/>
      <c r="S932" s="391" t="s">
        <v>29</v>
      </c>
    </row>
    <row r="933" spans="14:19" ht="11.25" customHeight="1" x14ac:dyDescent="0.35">
      <c r="N933" s="388" t="s">
        <v>5478</v>
      </c>
      <c r="O933" s="389" t="s">
        <v>5388</v>
      </c>
      <c r="P933" s="389" t="str">
        <f t="shared" si="48"/>
        <v>2013Y</v>
      </c>
      <c r="Q933" s="390" t="str">
        <f>[1]!SNLLabel(287,324685,,"&lt;&gt;369")</f>
        <v>AR: Individual and Group Life</v>
      </c>
      <c r="R933" s="366"/>
      <c r="S933" s="391" t="s">
        <v>29</v>
      </c>
    </row>
    <row r="934" spans="14:19" ht="11.25" customHeight="1" x14ac:dyDescent="0.35">
      <c r="N934" s="367" t="s">
        <v>5478</v>
      </c>
      <c r="O934" s="368" t="s">
        <v>5388</v>
      </c>
      <c r="P934" s="368" t="str">
        <f t="shared" si="48"/>
        <v>2013Y</v>
      </c>
      <c r="Q934" s="369" t="str">
        <f>[1]!SNLLabel(287,324685,,"&lt;&gt;370")</f>
        <v>AR: Individual and Group Annuities</v>
      </c>
      <c r="R934" s="370"/>
      <c r="S934" s="371" t="s">
        <v>29</v>
      </c>
    </row>
    <row r="935" spans="14:19" ht="11.25" customHeight="1" x14ac:dyDescent="0.35">
      <c r="N935" s="384" t="s">
        <v>5478</v>
      </c>
      <c r="O935" s="385" t="s">
        <v>5388</v>
      </c>
      <c r="P935" s="385" t="str">
        <f t="shared" ref="P935:P945" si="49">LEFT(Period,4)-2&amp;"Y"</f>
        <v>2012Y</v>
      </c>
      <c r="Q935" s="386" t="str">
        <f>[1]!SNLLabel(287,324685,,"&lt;&gt;360")</f>
        <v>AR: Analysis of Operations All Lines</v>
      </c>
      <c r="R935" s="365"/>
      <c r="S935" s="387" t="s">
        <v>29</v>
      </c>
    </row>
    <row r="936" spans="14:19" ht="11.25" customHeight="1" x14ac:dyDescent="0.35">
      <c r="N936" s="388" t="s">
        <v>5478</v>
      </c>
      <c r="O936" s="389" t="s">
        <v>5388</v>
      </c>
      <c r="P936" s="389" t="str">
        <f t="shared" si="49"/>
        <v>2012Y</v>
      </c>
      <c r="Q936" s="390" t="str">
        <f>[1]!SNLLabel(287,324685,,"&lt;&gt;361")</f>
        <v>AR: Individual Life</v>
      </c>
      <c r="R936" s="366"/>
      <c r="S936" s="391" t="s">
        <v>29</v>
      </c>
    </row>
    <row r="937" spans="14:19" ht="11.25" customHeight="1" x14ac:dyDescent="0.35">
      <c r="N937" s="388" t="s">
        <v>5478</v>
      </c>
      <c r="O937" s="389" t="s">
        <v>5388</v>
      </c>
      <c r="P937" s="389" t="str">
        <f t="shared" si="49"/>
        <v>2012Y</v>
      </c>
      <c r="Q937" s="390" t="str">
        <f>[1]!SNLLabel(287,324685,,"&lt;&gt;362")</f>
        <v>AR: Group Life</v>
      </c>
      <c r="R937" s="366"/>
      <c r="S937" s="391" t="s">
        <v>29</v>
      </c>
    </row>
    <row r="938" spans="14:19" ht="11.25" customHeight="1" x14ac:dyDescent="0.35">
      <c r="N938" s="388" t="s">
        <v>5478</v>
      </c>
      <c r="O938" s="389" t="s">
        <v>5388</v>
      </c>
      <c r="P938" s="389" t="str">
        <f t="shared" si="49"/>
        <v>2012Y</v>
      </c>
      <c r="Q938" s="390" t="str">
        <f>[1]!SNLLabel(287,324685,,"&lt;&gt;363")</f>
        <v>AR: Individual Annuities</v>
      </c>
      <c r="R938" s="366"/>
      <c r="S938" s="391" t="s">
        <v>29</v>
      </c>
    </row>
    <row r="939" spans="14:19" ht="11.25" customHeight="1" x14ac:dyDescent="0.35">
      <c r="N939" s="388" t="s">
        <v>5478</v>
      </c>
      <c r="O939" s="389" t="s">
        <v>5388</v>
      </c>
      <c r="P939" s="389" t="str">
        <f t="shared" si="49"/>
        <v>2012Y</v>
      </c>
      <c r="Q939" s="390" t="str">
        <f>[1]!SNLLabel(287,324685,,"&lt;&gt;364")</f>
        <v>AR: Group Annuities</v>
      </c>
      <c r="R939" s="366"/>
      <c r="S939" s="391" t="s">
        <v>29</v>
      </c>
    </row>
    <row r="940" spans="14:19" ht="11.25" customHeight="1" x14ac:dyDescent="0.35">
      <c r="N940" s="388" t="s">
        <v>5478</v>
      </c>
      <c r="O940" s="389" t="s">
        <v>5388</v>
      </c>
      <c r="P940" s="389" t="str">
        <f t="shared" si="49"/>
        <v>2012Y</v>
      </c>
      <c r="Q940" s="390" t="str">
        <f>[1]!SNLLabel(287,324685,,"&lt;&gt;365")</f>
        <v>AR: Accident and Health</v>
      </c>
      <c r="R940" s="366"/>
      <c r="S940" s="391" t="s">
        <v>29</v>
      </c>
    </row>
    <row r="941" spans="14:19" ht="11.25" customHeight="1" x14ac:dyDescent="0.35">
      <c r="N941" s="388" t="s">
        <v>5478</v>
      </c>
      <c r="O941" s="389" t="s">
        <v>5388</v>
      </c>
      <c r="P941" s="389" t="str">
        <f t="shared" si="49"/>
        <v>2012Y</v>
      </c>
      <c r="Q941" s="390" t="str">
        <f>[1]!SNLLabel(287,324685,,"&lt;&gt;366")</f>
        <v>AR: Fraternal</v>
      </c>
      <c r="R941" s="366"/>
      <c r="S941" s="391" t="s">
        <v>29</v>
      </c>
    </row>
    <row r="942" spans="14:19" ht="11.25" customHeight="1" x14ac:dyDescent="0.35">
      <c r="N942" s="388" t="s">
        <v>5478</v>
      </c>
      <c r="O942" s="389" t="s">
        <v>5388</v>
      </c>
      <c r="P942" s="389" t="str">
        <f t="shared" si="49"/>
        <v>2012Y</v>
      </c>
      <c r="Q942" s="390" t="str">
        <f>[1]!SNLLabel(287,324685,,"&lt;&gt;367")</f>
        <v>AR: Other Lines of Business</v>
      </c>
      <c r="R942" s="366"/>
      <c r="S942" s="391" t="s">
        <v>29</v>
      </c>
    </row>
    <row r="943" spans="14:19" ht="11.25" customHeight="1" x14ac:dyDescent="0.35">
      <c r="N943" s="388" t="s">
        <v>5478</v>
      </c>
      <c r="O943" s="389" t="s">
        <v>5388</v>
      </c>
      <c r="P943" s="389" t="str">
        <f t="shared" si="49"/>
        <v>2012Y</v>
      </c>
      <c r="Q943" s="390" t="str">
        <f>[1]!SNLLabel(287,324685,,"&lt;&gt;368")</f>
        <v>AR: YRT Mortality Risk Only</v>
      </c>
      <c r="R943" s="366"/>
      <c r="S943" s="391" t="s">
        <v>29</v>
      </c>
    </row>
    <row r="944" spans="14:19" ht="11.25" customHeight="1" x14ac:dyDescent="0.35">
      <c r="N944" s="388" t="s">
        <v>5478</v>
      </c>
      <c r="O944" s="389" t="s">
        <v>5388</v>
      </c>
      <c r="P944" s="389" t="str">
        <f t="shared" si="49"/>
        <v>2012Y</v>
      </c>
      <c r="Q944" s="390" t="str">
        <f>[1]!SNLLabel(287,324685,,"&lt;&gt;369")</f>
        <v>AR: Individual and Group Life</v>
      </c>
      <c r="R944" s="366"/>
      <c r="S944" s="391" t="s">
        <v>29</v>
      </c>
    </row>
    <row r="945" spans="14:19" ht="11.25" customHeight="1" x14ac:dyDescent="0.35">
      <c r="N945" s="367" t="s">
        <v>5478</v>
      </c>
      <c r="O945" s="368" t="s">
        <v>5388</v>
      </c>
      <c r="P945" s="368" t="str">
        <f t="shared" si="49"/>
        <v>2012Y</v>
      </c>
      <c r="Q945" s="369" t="str">
        <f>[1]!SNLLabel(287,324685,,"&lt;&gt;370")</f>
        <v>AR: Individual and Group Annuities</v>
      </c>
      <c r="R945" s="370"/>
      <c r="S945" s="371" t="s">
        <v>29</v>
      </c>
    </row>
    <row r="946" spans="14:19" ht="11.25" customHeight="1" x14ac:dyDescent="0.35">
      <c r="N946" s="384" t="s">
        <v>5478</v>
      </c>
      <c r="O946" s="385" t="s">
        <v>5388</v>
      </c>
      <c r="P946" s="385" t="str">
        <f t="shared" ref="P946:P956" si="50">LEFT(Period,4)-3&amp;"Y"</f>
        <v>2011Y</v>
      </c>
      <c r="Q946" s="386" t="str">
        <f>[1]!SNLLabel(287,324685,,"&lt;&gt;360")</f>
        <v>AR: Analysis of Operations All Lines</v>
      </c>
      <c r="R946" s="365"/>
      <c r="S946" s="387" t="s">
        <v>29</v>
      </c>
    </row>
    <row r="947" spans="14:19" ht="11.25" customHeight="1" x14ac:dyDescent="0.35">
      <c r="N947" s="388" t="s">
        <v>5478</v>
      </c>
      <c r="O947" s="389" t="s">
        <v>5388</v>
      </c>
      <c r="P947" s="389" t="str">
        <f t="shared" si="50"/>
        <v>2011Y</v>
      </c>
      <c r="Q947" s="390" t="str">
        <f>[1]!SNLLabel(287,324685,,"&lt;&gt;361")</f>
        <v>AR: Individual Life</v>
      </c>
      <c r="R947" s="366"/>
      <c r="S947" s="391" t="s">
        <v>29</v>
      </c>
    </row>
    <row r="948" spans="14:19" ht="11.25" customHeight="1" x14ac:dyDescent="0.35">
      <c r="N948" s="388" t="s">
        <v>5478</v>
      </c>
      <c r="O948" s="389" t="s">
        <v>5388</v>
      </c>
      <c r="P948" s="389" t="str">
        <f t="shared" si="50"/>
        <v>2011Y</v>
      </c>
      <c r="Q948" s="390" t="str">
        <f>[1]!SNLLabel(287,324685,,"&lt;&gt;362")</f>
        <v>AR: Group Life</v>
      </c>
      <c r="R948" s="366"/>
      <c r="S948" s="391" t="s">
        <v>29</v>
      </c>
    </row>
    <row r="949" spans="14:19" ht="11.25" customHeight="1" x14ac:dyDescent="0.35">
      <c r="N949" s="388" t="s">
        <v>5478</v>
      </c>
      <c r="O949" s="389" t="s">
        <v>5388</v>
      </c>
      <c r="P949" s="389" t="str">
        <f t="shared" si="50"/>
        <v>2011Y</v>
      </c>
      <c r="Q949" s="390" t="str">
        <f>[1]!SNLLabel(287,324685,,"&lt;&gt;363")</f>
        <v>AR: Individual Annuities</v>
      </c>
      <c r="R949" s="366"/>
      <c r="S949" s="391" t="s">
        <v>29</v>
      </c>
    </row>
    <row r="950" spans="14:19" ht="11.25" customHeight="1" x14ac:dyDescent="0.35">
      <c r="N950" s="388" t="s">
        <v>5478</v>
      </c>
      <c r="O950" s="389" t="s">
        <v>5388</v>
      </c>
      <c r="P950" s="389" t="str">
        <f t="shared" si="50"/>
        <v>2011Y</v>
      </c>
      <c r="Q950" s="390" t="str">
        <f>[1]!SNLLabel(287,324685,,"&lt;&gt;364")</f>
        <v>AR: Group Annuities</v>
      </c>
      <c r="R950" s="366"/>
      <c r="S950" s="391" t="s">
        <v>29</v>
      </c>
    </row>
    <row r="951" spans="14:19" ht="11.25" customHeight="1" x14ac:dyDescent="0.35">
      <c r="N951" s="388" t="s">
        <v>5478</v>
      </c>
      <c r="O951" s="389" t="s">
        <v>5388</v>
      </c>
      <c r="P951" s="389" t="str">
        <f t="shared" si="50"/>
        <v>2011Y</v>
      </c>
      <c r="Q951" s="390" t="str">
        <f>[1]!SNLLabel(287,324685,,"&lt;&gt;365")</f>
        <v>AR: Accident and Health</v>
      </c>
      <c r="R951" s="366"/>
      <c r="S951" s="391" t="s">
        <v>29</v>
      </c>
    </row>
    <row r="952" spans="14:19" ht="11.25" customHeight="1" x14ac:dyDescent="0.35">
      <c r="N952" s="388" t="s">
        <v>5478</v>
      </c>
      <c r="O952" s="389" t="s">
        <v>5388</v>
      </c>
      <c r="P952" s="389" t="str">
        <f t="shared" si="50"/>
        <v>2011Y</v>
      </c>
      <c r="Q952" s="390" t="str">
        <f>[1]!SNLLabel(287,324685,,"&lt;&gt;366")</f>
        <v>AR: Fraternal</v>
      </c>
      <c r="R952" s="366"/>
      <c r="S952" s="391" t="s">
        <v>29</v>
      </c>
    </row>
    <row r="953" spans="14:19" ht="11.25" customHeight="1" x14ac:dyDescent="0.35">
      <c r="N953" s="388" t="s">
        <v>5478</v>
      </c>
      <c r="O953" s="389" t="s">
        <v>5388</v>
      </c>
      <c r="P953" s="389" t="str">
        <f t="shared" si="50"/>
        <v>2011Y</v>
      </c>
      <c r="Q953" s="390" t="str">
        <f>[1]!SNLLabel(287,324685,,"&lt;&gt;367")</f>
        <v>AR: Other Lines of Business</v>
      </c>
      <c r="R953" s="366"/>
      <c r="S953" s="391" t="s">
        <v>29</v>
      </c>
    </row>
    <row r="954" spans="14:19" ht="11.25" customHeight="1" x14ac:dyDescent="0.35">
      <c r="N954" s="388" t="s">
        <v>5478</v>
      </c>
      <c r="O954" s="389" t="s">
        <v>5388</v>
      </c>
      <c r="P954" s="389" t="str">
        <f t="shared" si="50"/>
        <v>2011Y</v>
      </c>
      <c r="Q954" s="390" t="str">
        <f>[1]!SNLLabel(287,324685,,"&lt;&gt;368")</f>
        <v>AR: YRT Mortality Risk Only</v>
      </c>
      <c r="R954" s="366"/>
      <c r="S954" s="391" t="s">
        <v>29</v>
      </c>
    </row>
    <row r="955" spans="14:19" ht="11.25" customHeight="1" x14ac:dyDescent="0.35">
      <c r="N955" s="388" t="s">
        <v>5478</v>
      </c>
      <c r="O955" s="389" t="s">
        <v>5388</v>
      </c>
      <c r="P955" s="389" t="str">
        <f t="shared" si="50"/>
        <v>2011Y</v>
      </c>
      <c r="Q955" s="390" t="str">
        <f>[1]!SNLLabel(287,324685,,"&lt;&gt;369")</f>
        <v>AR: Individual and Group Life</v>
      </c>
      <c r="R955" s="366"/>
      <c r="S955" s="391" t="s">
        <v>29</v>
      </c>
    </row>
    <row r="956" spans="14:19" ht="11.25" customHeight="1" x14ac:dyDescent="0.35">
      <c r="N956" s="367" t="s">
        <v>5478</v>
      </c>
      <c r="O956" s="368" t="s">
        <v>5388</v>
      </c>
      <c r="P956" s="368" t="str">
        <f t="shared" si="50"/>
        <v>2011Y</v>
      </c>
      <c r="Q956" s="369" t="str">
        <f>[1]!SNLLabel(287,324685,,"&lt;&gt;370")</f>
        <v>AR: Individual and Group Annuities</v>
      </c>
      <c r="R956" s="370"/>
      <c r="S956" s="371" t="s">
        <v>29</v>
      </c>
    </row>
    <row r="957" spans="14:19" ht="11.25" customHeight="1" x14ac:dyDescent="0.35">
      <c r="N957" s="384" t="s">
        <v>5478</v>
      </c>
      <c r="O957" s="385" t="s">
        <v>5388</v>
      </c>
      <c r="P957" s="385" t="str">
        <f t="shared" ref="P957:P967" si="51">LEFT(Period,4)-4&amp;"Y"</f>
        <v>2010Y</v>
      </c>
      <c r="Q957" s="386" t="str">
        <f>[1]!SNLLabel(287,324685,,"&lt;&gt;360")</f>
        <v>AR: Analysis of Operations All Lines</v>
      </c>
      <c r="R957" s="365"/>
      <c r="S957" s="387" t="s">
        <v>29</v>
      </c>
    </row>
    <row r="958" spans="14:19" ht="11.25" customHeight="1" x14ac:dyDescent="0.35">
      <c r="N958" s="388" t="s">
        <v>5478</v>
      </c>
      <c r="O958" s="389" t="s">
        <v>5388</v>
      </c>
      <c r="P958" s="389" t="str">
        <f t="shared" si="51"/>
        <v>2010Y</v>
      </c>
      <c r="Q958" s="390" t="str">
        <f>[1]!SNLLabel(287,324685,,"&lt;&gt;361")</f>
        <v>AR: Individual Life</v>
      </c>
      <c r="R958" s="366"/>
      <c r="S958" s="391" t="s">
        <v>29</v>
      </c>
    </row>
    <row r="959" spans="14:19" ht="11.25" customHeight="1" x14ac:dyDescent="0.35">
      <c r="N959" s="388" t="s">
        <v>5478</v>
      </c>
      <c r="O959" s="389" t="s">
        <v>5388</v>
      </c>
      <c r="P959" s="389" t="str">
        <f t="shared" si="51"/>
        <v>2010Y</v>
      </c>
      <c r="Q959" s="390" t="str">
        <f>[1]!SNLLabel(287,324685,,"&lt;&gt;362")</f>
        <v>AR: Group Life</v>
      </c>
      <c r="R959" s="366"/>
      <c r="S959" s="391" t="s">
        <v>29</v>
      </c>
    </row>
    <row r="960" spans="14:19" ht="11.25" customHeight="1" x14ac:dyDescent="0.35">
      <c r="N960" s="388" t="s">
        <v>5478</v>
      </c>
      <c r="O960" s="389" t="s">
        <v>5388</v>
      </c>
      <c r="P960" s="389" t="str">
        <f t="shared" si="51"/>
        <v>2010Y</v>
      </c>
      <c r="Q960" s="390" t="str">
        <f>[1]!SNLLabel(287,324685,,"&lt;&gt;363")</f>
        <v>AR: Individual Annuities</v>
      </c>
      <c r="R960" s="366"/>
      <c r="S960" s="391" t="s">
        <v>29</v>
      </c>
    </row>
    <row r="961" spans="14:19" ht="11.25" customHeight="1" x14ac:dyDescent="0.35">
      <c r="N961" s="388" t="s">
        <v>5478</v>
      </c>
      <c r="O961" s="389" t="s">
        <v>5388</v>
      </c>
      <c r="P961" s="389" t="str">
        <f t="shared" si="51"/>
        <v>2010Y</v>
      </c>
      <c r="Q961" s="390" t="str">
        <f>[1]!SNLLabel(287,324685,,"&lt;&gt;364")</f>
        <v>AR: Group Annuities</v>
      </c>
      <c r="R961" s="366"/>
      <c r="S961" s="391" t="s">
        <v>29</v>
      </c>
    </row>
    <row r="962" spans="14:19" ht="11.25" customHeight="1" x14ac:dyDescent="0.35">
      <c r="N962" s="388" t="s">
        <v>5478</v>
      </c>
      <c r="O962" s="389" t="s">
        <v>5388</v>
      </c>
      <c r="P962" s="389" t="str">
        <f t="shared" si="51"/>
        <v>2010Y</v>
      </c>
      <c r="Q962" s="390" t="str">
        <f>[1]!SNLLabel(287,324685,,"&lt;&gt;365")</f>
        <v>AR: Accident and Health</v>
      </c>
      <c r="R962" s="366"/>
      <c r="S962" s="391" t="s">
        <v>29</v>
      </c>
    </row>
    <row r="963" spans="14:19" ht="11.25" customHeight="1" x14ac:dyDescent="0.35">
      <c r="N963" s="388" t="s">
        <v>5478</v>
      </c>
      <c r="O963" s="389" t="s">
        <v>5388</v>
      </c>
      <c r="P963" s="389" t="str">
        <f t="shared" si="51"/>
        <v>2010Y</v>
      </c>
      <c r="Q963" s="390" t="str">
        <f>[1]!SNLLabel(287,324685,,"&lt;&gt;366")</f>
        <v>AR: Fraternal</v>
      </c>
      <c r="R963" s="366"/>
      <c r="S963" s="391" t="s">
        <v>29</v>
      </c>
    </row>
    <row r="964" spans="14:19" ht="11.25" customHeight="1" x14ac:dyDescent="0.35">
      <c r="N964" s="388" t="s">
        <v>5478</v>
      </c>
      <c r="O964" s="389" t="s">
        <v>5388</v>
      </c>
      <c r="P964" s="389" t="str">
        <f t="shared" si="51"/>
        <v>2010Y</v>
      </c>
      <c r="Q964" s="390" t="str">
        <f>[1]!SNLLabel(287,324685,,"&lt;&gt;367")</f>
        <v>AR: Other Lines of Business</v>
      </c>
      <c r="R964" s="366"/>
      <c r="S964" s="391" t="s">
        <v>29</v>
      </c>
    </row>
    <row r="965" spans="14:19" ht="11.25" customHeight="1" x14ac:dyDescent="0.35">
      <c r="N965" s="388" t="s">
        <v>5478</v>
      </c>
      <c r="O965" s="389" t="s">
        <v>5388</v>
      </c>
      <c r="P965" s="389" t="str">
        <f t="shared" si="51"/>
        <v>2010Y</v>
      </c>
      <c r="Q965" s="390" t="str">
        <f>[1]!SNLLabel(287,324685,,"&lt;&gt;368")</f>
        <v>AR: YRT Mortality Risk Only</v>
      </c>
      <c r="R965" s="366"/>
      <c r="S965" s="391" t="s">
        <v>29</v>
      </c>
    </row>
    <row r="966" spans="14:19" ht="11.25" customHeight="1" x14ac:dyDescent="0.35">
      <c r="N966" s="388" t="s">
        <v>5478</v>
      </c>
      <c r="O966" s="389" t="s">
        <v>5388</v>
      </c>
      <c r="P966" s="389" t="str">
        <f t="shared" si="51"/>
        <v>2010Y</v>
      </c>
      <c r="Q966" s="390" t="str">
        <f>[1]!SNLLabel(287,324685,,"&lt;&gt;369")</f>
        <v>AR: Individual and Group Life</v>
      </c>
      <c r="R966" s="366"/>
      <c r="S966" s="391" t="s">
        <v>29</v>
      </c>
    </row>
    <row r="967" spans="14:19" ht="11.25" customHeight="1" x14ac:dyDescent="0.35">
      <c r="N967" s="367" t="s">
        <v>5478</v>
      </c>
      <c r="O967" s="368" t="s">
        <v>5388</v>
      </c>
      <c r="P967" s="368" t="str">
        <f t="shared" si="51"/>
        <v>2010Y</v>
      </c>
      <c r="Q967" s="369" t="str">
        <f>[1]!SNLLabel(287,324685,,"&lt;&gt;370")</f>
        <v>AR: Individual and Group Annuities</v>
      </c>
      <c r="R967" s="370"/>
      <c r="S967" s="371" t="s">
        <v>29</v>
      </c>
    </row>
    <row r="968" spans="14:19" ht="11.25" customHeight="1" x14ac:dyDescent="0.35">
      <c r="N968" s="377"/>
      <c r="O968" s="378"/>
      <c r="P968" s="378"/>
      <c r="Q968" s="379"/>
      <c r="R968" s="375"/>
      <c r="S968" s="380"/>
    </row>
    <row r="969" spans="14:19" ht="11.25" customHeight="1" x14ac:dyDescent="0.35">
      <c r="N969" s="384" t="s">
        <v>5479</v>
      </c>
      <c r="O969" s="385" t="s">
        <v>5389</v>
      </c>
      <c r="P969" s="385" t="str">
        <f t="shared" ref="P969:P979" si="52">Period</f>
        <v>2014Y</v>
      </c>
      <c r="Q969" s="386" t="str">
        <f>[1]!SNLLabel(287,324683,,"&lt;&gt;360")</f>
        <v>AR: Analysis of Operations All Lines</v>
      </c>
      <c r="R969" s="365"/>
      <c r="S969" s="387" t="s">
        <v>29</v>
      </c>
    </row>
    <row r="970" spans="14:19" ht="11.25" customHeight="1" x14ac:dyDescent="0.35">
      <c r="N970" s="388" t="s">
        <v>5479</v>
      </c>
      <c r="O970" s="389" t="s">
        <v>5389</v>
      </c>
      <c r="P970" s="389" t="str">
        <f t="shared" si="52"/>
        <v>2014Y</v>
      </c>
      <c r="Q970" s="390" t="str">
        <f>[1]!SNLLabel(287,324683,,"&lt;&gt;361")</f>
        <v>AR: Individual Life</v>
      </c>
      <c r="R970" s="366"/>
      <c r="S970" s="391" t="s">
        <v>29</v>
      </c>
    </row>
    <row r="971" spans="14:19" ht="11.25" customHeight="1" x14ac:dyDescent="0.35">
      <c r="N971" s="388" t="s">
        <v>5479</v>
      </c>
      <c r="O971" s="389" t="s">
        <v>5389</v>
      </c>
      <c r="P971" s="389" t="str">
        <f t="shared" si="52"/>
        <v>2014Y</v>
      </c>
      <c r="Q971" s="390" t="str">
        <f>[1]!SNLLabel(287,324683,,"&lt;&gt;362")</f>
        <v>AR: Group Life</v>
      </c>
      <c r="R971" s="366"/>
      <c r="S971" s="391" t="s">
        <v>29</v>
      </c>
    </row>
    <row r="972" spans="14:19" ht="11.25" customHeight="1" x14ac:dyDescent="0.35">
      <c r="N972" s="388" t="s">
        <v>5479</v>
      </c>
      <c r="O972" s="389" t="s">
        <v>5389</v>
      </c>
      <c r="P972" s="389" t="str">
        <f t="shared" si="52"/>
        <v>2014Y</v>
      </c>
      <c r="Q972" s="390" t="str">
        <f>[1]!SNLLabel(287,324683,,"&lt;&gt;363")</f>
        <v>AR: Individual Annuities</v>
      </c>
      <c r="R972" s="366"/>
      <c r="S972" s="391" t="s">
        <v>29</v>
      </c>
    </row>
    <row r="973" spans="14:19" ht="11.25" customHeight="1" x14ac:dyDescent="0.35">
      <c r="N973" s="388" t="s">
        <v>5479</v>
      </c>
      <c r="O973" s="389" t="s">
        <v>5389</v>
      </c>
      <c r="P973" s="389" t="str">
        <f t="shared" si="52"/>
        <v>2014Y</v>
      </c>
      <c r="Q973" s="390" t="str">
        <f>[1]!SNLLabel(287,324683,,"&lt;&gt;364")</f>
        <v>AR: Group Annuities</v>
      </c>
      <c r="R973" s="366"/>
      <c r="S973" s="391" t="s">
        <v>29</v>
      </c>
    </row>
    <row r="974" spans="14:19" ht="11.25" customHeight="1" x14ac:dyDescent="0.35">
      <c r="N974" s="388" t="s">
        <v>5479</v>
      </c>
      <c r="O974" s="389" t="s">
        <v>5389</v>
      </c>
      <c r="P974" s="389" t="str">
        <f t="shared" si="52"/>
        <v>2014Y</v>
      </c>
      <c r="Q974" s="390" t="str">
        <f>[1]!SNLLabel(287,324683,,"&lt;&gt;365")</f>
        <v>AR: Accident and Health</v>
      </c>
      <c r="R974" s="366"/>
      <c r="S974" s="391" t="s">
        <v>29</v>
      </c>
    </row>
    <row r="975" spans="14:19" ht="11.25" customHeight="1" x14ac:dyDescent="0.35">
      <c r="N975" s="388" t="s">
        <v>5479</v>
      </c>
      <c r="O975" s="389" t="s">
        <v>5389</v>
      </c>
      <c r="P975" s="389" t="str">
        <f t="shared" si="52"/>
        <v>2014Y</v>
      </c>
      <c r="Q975" s="390" t="str">
        <f>[1]!SNLLabel(287,324683,,"&lt;&gt;366")</f>
        <v>AR: Fraternal</v>
      </c>
      <c r="R975" s="366"/>
      <c r="S975" s="391" t="s">
        <v>29</v>
      </c>
    </row>
    <row r="976" spans="14:19" ht="11.25" customHeight="1" x14ac:dyDescent="0.35">
      <c r="N976" s="388" t="s">
        <v>5479</v>
      </c>
      <c r="O976" s="389" t="s">
        <v>5389</v>
      </c>
      <c r="P976" s="389" t="str">
        <f t="shared" si="52"/>
        <v>2014Y</v>
      </c>
      <c r="Q976" s="390" t="str">
        <f>[1]!SNLLabel(287,324683,,"&lt;&gt;367")</f>
        <v>AR: Other Lines of Business</v>
      </c>
      <c r="R976" s="366"/>
      <c r="S976" s="391" t="s">
        <v>29</v>
      </c>
    </row>
    <row r="977" spans="14:19" ht="11.25" customHeight="1" x14ac:dyDescent="0.35">
      <c r="N977" s="388" t="s">
        <v>5479</v>
      </c>
      <c r="O977" s="389" t="s">
        <v>5389</v>
      </c>
      <c r="P977" s="389" t="str">
        <f t="shared" si="52"/>
        <v>2014Y</v>
      </c>
      <c r="Q977" s="390" t="str">
        <f>[1]!SNLLabel(287,324683,,"&lt;&gt;368")</f>
        <v>AR: YRT Mortality Risk Only</v>
      </c>
      <c r="R977" s="366"/>
      <c r="S977" s="391" t="s">
        <v>29</v>
      </c>
    </row>
    <row r="978" spans="14:19" ht="11.25" customHeight="1" x14ac:dyDescent="0.35">
      <c r="N978" s="388" t="s">
        <v>5479</v>
      </c>
      <c r="O978" s="389" t="s">
        <v>5389</v>
      </c>
      <c r="P978" s="389" t="str">
        <f t="shared" si="52"/>
        <v>2014Y</v>
      </c>
      <c r="Q978" s="390" t="str">
        <f>[1]!SNLLabel(287,324683,,"&lt;&gt;369")</f>
        <v>AR: Individual and Group Life</v>
      </c>
      <c r="R978" s="366"/>
      <c r="S978" s="391" t="s">
        <v>29</v>
      </c>
    </row>
    <row r="979" spans="14:19" ht="11.25" customHeight="1" x14ac:dyDescent="0.35">
      <c r="N979" s="367" t="s">
        <v>5479</v>
      </c>
      <c r="O979" s="368" t="s">
        <v>5389</v>
      </c>
      <c r="P979" s="368" t="str">
        <f t="shared" si="52"/>
        <v>2014Y</v>
      </c>
      <c r="Q979" s="369" t="str">
        <f>[1]!SNLLabel(287,324683,,"&lt;&gt;370")</f>
        <v>AR: Individual and Group Annuities</v>
      </c>
      <c r="R979" s="370"/>
      <c r="S979" s="371" t="s">
        <v>29</v>
      </c>
    </row>
    <row r="980" spans="14:19" ht="11.25" customHeight="1" x14ac:dyDescent="0.35">
      <c r="N980" s="384" t="s">
        <v>5479</v>
      </c>
      <c r="O980" s="385" t="s">
        <v>5389</v>
      </c>
      <c r="P980" s="385" t="str">
        <f t="shared" ref="P980:P990" si="53">LEFT(Period,4)-1&amp;"Y"</f>
        <v>2013Y</v>
      </c>
      <c r="Q980" s="386" t="str">
        <f>[1]!SNLLabel(287,324683,,"&lt;&gt;360")</f>
        <v>AR: Analysis of Operations All Lines</v>
      </c>
      <c r="R980" s="365"/>
      <c r="S980" s="387" t="s">
        <v>29</v>
      </c>
    </row>
    <row r="981" spans="14:19" ht="11.25" customHeight="1" x14ac:dyDescent="0.35">
      <c r="N981" s="388" t="s">
        <v>5479</v>
      </c>
      <c r="O981" s="389" t="s">
        <v>5389</v>
      </c>
      <c r="P981" s="389" t="str">
        <f t="shared" si="53"/>
        <v>2013Y</v>
      </c>
      <c r="Q981" s="390" t="str">
        <f>[1]!SNLLabel(287,324683,,"&lt;&gt;361")</f>
        <v>AR: Individual Life</v>
      </c>
      <c r="R981" s="366"/>
      <c r="S981" s="391" t="s">
        <v>29</v>
      </c>
    </row>
    <row r="982" spans="14:19" ht="11.25" customHeight="1" x14ac:dyDescent="0.35">
      <c r="N982" s="388" t="s">
        <v>5479</v>
      </c>
      <c r="O982" s="389" t="s">
        <v>5389</v>
      </c>
      <c r="P982" s="389" t="str">
        <f t="shared" si="53"/>
        <v>2013Y</v>
      </c>
      <c r="Q982" s="390" t="str">
        <f>[1]!SNLLabel(287,324683,,"&lt;&gt;362")</f>
        <v>AR: Group Life</v>
      </c>
      <c r="R982" s="366"/>
      <c r="S982" s="391" t="s">
        <v>29</v>
      </c>
    </row>
    <row r="983" spans="14:19" ht="11.25" customHeight="1" x14ac:dyDescent="0.35">
      <c r="N983" s="388" t="s">
        <v>5479</v>
      </c>
      <c r="O983" s="389" t="s">
        <v>5389</v>
      </c>
      <c r="P983" s="389" t="str">
        <f t="shared" si="53"/>
        <v>2013Y</v>
      </c>
      <c r="Q983" s="390" t="str">
        <f>[1]!SNLLabel(287,324683,,"&lt;&gt;363")</f>
        <v>AR: Individual Annuities</v>
      </c>
      <c r="R983" s="366"/>
      <c r="S983" s="391" t="s">
        <v>29</v>
      </c>
    </row>
    <row r="984" spans="14:19" ht="11.25" customHeight="1" x14ac:dyDescent="0.35">
      <c r="N984" s="388" t="s">
        <v>5479</v>
      </c>
      <c r="O984" s="389" t="s">
        <v>5389</v>
      </c>
      <c r="P984" s="389" t="str">
        <f t="shared" si="53"/>
        <v>2013Y</v>
      </c>
      <c r="Q984" s="390" t="str">
        <f>[1]!SNLLabel(287,324683,,"&lt;&gt;364")</f>
        <v>AR: Group Annuities</v>
      </c>
      <c r="R984" s="366"/>
      <c r="S984" s="391" t="s">
        <v>29</v>
      </c>
    </row>
    <row r="985" spans="14:19" ht="11.25" customHeight="1" x14ac:dyDescent="0.35">
      <c r="N985" s="388" t="s">
        <v>5479</v>
      </c>
      <c r="O985" s="389" t="s">
        <v>5389</v>
      </c>
      <c r="P985" s="389" t="str">
        <f t="shared" si="53"/>
        <v>2013Y</v>
      </c>
      <c r="Q985" s="390" t="str">
        <f>[1]!SNLLabel(287,324683,,"&lt;&gt;365")</f>
        <v>AR: Accident and Health</v>
      </c>
      <c r="R985" s="366"/>
      <c r="S985" s="391" t="s">
        <v>29</v>
      </c>
    </row>
    <row r="986" spans="14:19" ht="11.25" customHeight="1" x14ac:dyDescent="0.35">
      <c r="N986" s="388" t="s">
        <v>5479</v>
      </c>
      <c r="O986" s="389" t="s">
        <v>5389</v>
      </c>
      <c r="P986" s="389" t="str">
        <f t="shared" si="53"/>
        <v>2013Y</v>
      </c>
      <c r="Q986" s="390" t="str">
        <f>[1]!SNLLabel(287,324683,,"&lt;&gt;366")</f>
        <v>AR: Fraternal</v>
      </c>
      <c r="R986" s="366"/>
      <c r="S986" s="391" t="s">
        <v>29</v>
      </c>
    </row>
    <row r="987" spans="14:19" ht="11.25" customHeight="1" x14ac:dyDescent="0.35">
      <c r="N987" s="388" t="s">
        <v>5479</v>
      </c>
      <c r="O987" s="389" t="s">
        <v>5389</v>
      </c>
      <c r="P987" s="389" t="str">
        <f t="shared" si="53"/>
        <v>2013Y</v>
      </c>
      <c r="Q987" s="390" t="str">
        <f>[1]!SNLLabel(287,324683,,"&lt;&gt;367")</f>
        <v>AR: Other Lines of Business</v>
      </c>
      <c r="R987" s="366"/>
      <c r="S987" s="391" t="s">
        <v>29</v>
      </c>
    </row>
    <row r="988" spans="14:19" ht="11.25" customHeight="1" x14ac:dyDescent="0.35">
      <c r="N988" s="388" t="s">
        <v>5479</v>
      </c>
      <c r="O988" s="389" t="s">
        <v>5389</v>
      </c>
      <c r="P988" s="389" t="str">
        <f t="shared" si="53"/>
        <v>2013Y</v>
      </c>
      <c r="Q988" s="390" t="str">
        <f>[1]!SNLLabel(287,324683,,"&lt;&gt;368")</f>
        <v>AR: YRT Mortality Risk Only</v>
      </c>
      <c r="R988" s="366"/>
      <c r="S988" s="391" t="s">
        <v>29</v>
      </c>
    </row>
    <row r="989" spans="14:19" ht="11.25" customHeight="1" x14ac:dyDescent="0.35">
      <c r="N989" s="388" t="s">
        <v>5479</v>
      </c>
      <c r="O989" s="389" t="s">
        <v>5389</v>
      </c>
      <c r="P989" s="389" t="str">
        <f t="shared" si="53"/>
        <v>2013Y</v>
      </c>
      <c r="Q989" s="390" t="str">
        <f>[1]!SNLLabel(287,324683,,"&lt;&gt;369")</f>
        <v>AR: Individual and Group Life</v>
      </c>
      <c r="R989" s="366"/>
      <c r="S989" s="391" t="s">
        <v>29</v>
      </c>
    </row>
    <row r="990" spans="14:19" ht="11.25" customHeight="1" x14ac:dyDescent="0.35">
      <c r="N990" s="367" t="s">
        <v>5479</v>
      </c>
      <c r="O990" s="368" t="s">
        <v>5389</v>
      </c>
      <c r="P990" s="368" t="str">
        <f t="shared" si="53"/>
        <v>2013Y</v>
      </c>
      <c r="Q990" s="369" t="str">
        <f>[1]!SNLLabel(287,324683,,"&lt;&gt;370")</f>
        <v>AR: Individual and Group Annuities</v>
      </c>
      <c r="R990" s="370"/>
      <c r="S990" s="371" t="s">
        <v>29</v>
      </c>
    </row>
    <row r="991" spans="14:19" ht="11.25" customHeight="1" x14ac:dyDescent="0.35">
      <c r="N991" s="384" t="s">
        <v>5479</v>
      </c>
      <c r="O991" s="385" t="s">
        <v>5389</v>
      </c>
      <c r="P991" s="385" t="str">
        <f t="shared" ref="P991:P1001" si="54">LEFT(Period,4)-2&amp;"Y"</f>
        <v>2012Y</v>
      </c>
      <c r="Q991" s="386" t="str">
        <f>[1]!SNLLabel(287,324683,,"&lt;&gt;360")</f>
        <v>AR: Analysis of Operations All Lines</v>
      </c>
      <c r="R991" s="365"/>
      <c r="S991" s="387" t="s">
        <v>29</v>
      </c>
    </row>
    <row r="992" spans="14:19" ht="11.25" customHeight="1" x14ac:dyDescent="0.35">
      <c r="N992" s="388" t="s">
        <v>5479</v>
      </c>
      <c r="O992" s="389" t="s">
        <v>5389</v>
      </c>
      <c r="P992" s="389" t="str">
        <f t="shared" si="54"/>
        <v>2012Y</v>
      </c>
      <c r="Q992" s="390" t="str">
        <f>[1]!SNLLabel(287,324683,,"&lt;&gt;361")</f>
        <v>AR: Individual Life</v>
      </c>
      <c r="R992" s="366"/>
      <c r="S992" s="391" t="s">
        <v>29</v>
      </c>
    </row>
    <row r="993" spans="14:19" ht="11.25" customHeight="1" x14ac:dyDescent="0.35">
      <c r="N993" s="388" t="s">
        <v>5479</v>
      </c>
      <c r="O993" s="389" t="s">
        <v>5389</v>
      </c>
      <c r="P993" s="389" t="str">
        <f t="shared" si="54"/>
        <v>2012Y</v>
      </c>
      <c r="Q993" s="390" t="str">
        <f>[1]!SNLLabel(287,324683,,"&lt;&gt;362")</f>
        <v>AR: Group Life</v>
      </c>
      <c r="R993" s="366"/>
      <c r="S993" s="391" t="s">
        <v>29</v>
      </c>
    </row>
    <row r="994" spans="14:19" ht="11.25" customHeight="1" x14ac:dyDescent="0.35">
      <c r="N994" s="388" t="s">
        <v>5479</v>
      </c>
      <c r="O994" s="389" t="s">
        <v>5389</v>
      </c>
      <c r="P994" s="389" t="str">
        <f t="shared" si="54"/>
        <v>2012Y</v>
      </c>
      <c r="Q994" s="390" t="str">
        <f>[1]!SNLLabel(287,324683,,"&lt;&gt;363")</f>
        <v>AR: Individual Annuities</v>
      </c>
      <c r="R994" s="366"/>
      <c r="S994" s="391" t="s">
        <v>29</v>
      </c>
    </row>
    <row r="995" spans="14:19" ht="11.25" customHeight="1" x14ac:dyDescent="0.35">
      <c r="N995" s="388" t="s">
        <v>5479</v>
      </c>
      <c r="O995" s="389" t="s">
        <v>5389</v>
      </c>
      <c r="P995" s="389" t="str">
        <f t="shared" si="54"/>
        <v>2012Y</v>
      </c>
      <c r="Q995" s="390" t="str">
        <f>[1]!SNLLabel(287,324683,,"&lt;&gt;364")</f>
        <v>AR: Group Annuities</v>
      </c>
      <c r="R995" s="366"/>
      <c r="S995" s="391" t="s">
        <v>29</v>
      </c>
    </row>
    <row r="996" spans="14:19" ht="11.25" customHeight="1" x14ac:dyDescent="0.35">
      <c r="N996" s="388" t="s">
        <v>5479</v>
      </c>
      <c r="O996" s="389" t="s">
        <v>5389</v>
      </c>
      <c r="P996" s="389" t="str">
        <f t="shared" si="54"/>
        <v>2012Y</v>
      </c>
      <c r="Q996" s="390" t="str">
        <f>[1]!SNLLabel(287,324683,,"&lt;&gt;365")</f>
        <v>AR: Accident and Health</v>
      </c>
      <c r="R996" s="366"/>
      <c r="S996" s="391" t="s">
        <v>29</v>
      </c>
    </row>
    <row r="997" spans="14:19" ht="11.25" customHeight="1" x14ac:dyDescent="0.35">
      <c r="N997" s="388" t="s">
        <v>5479</v>
      </c>
      <c r="O997" s="389" t="s">
        <v>5389</v>
      </c>
      <c r="P997" s="389" t="str">
        <f t="shared" si="54"/>
        <v>2012Y</v>
      </c>
      <c r="Q997" s="390" t="str">
        <f>[1]!SNLLabel(287,324683,,"&lt;&gt;366")</f>
        <v>AR: Fraternal</v>
      </c>
      <c r="R997" s="366"/>
      <c r="S997" s="391" t="s">
        <v>29</v>
      </c>
    </row>
    <row r="998" spans="14:19" ht="11.25" customHeight="1" x14ac:dyDescent="0.35">
      <c r="N998" s="388" t="s">
        <v>5479</v>
      </c>
      <c r="O998" s="389" t="s">
        <v>5389</v>
      </c>
      <c r="P998" s="389" t="str">
        <f t="shared" si="54"/>
        <v>2012Y</v>
      </c>
      <c r="Q998" s="390" t="str">
        <f>[1]!SNLLabel(287,324683,,"&lt;&gt;367")</f>
        <v>AR: Other Lines of Business</v>
      </c>
      <c r="R998" s="366"/>
      <c r="S998" s="391" t="s">
        <v>29</v>
      </c>
    </row>
    <row r="999" spans="14:19" ht="11.25" customHeight="1" x14ac:dyDescent="0.35">
      <c r="N999" s="388" t="s">
        <v>5479</v>
      </c>
      <c r="O999" s="389" t="s">
        <v>5389</v>
      </c>
      <c r="P999" s="389" t="str">
        <f t="shared" si="54"/>
        <v>2012Y</v>
      </c>
      <c r="Q999" s="390" t="str">
        <f>[1]!SNLLabel(287,324683,,"&lt;&gt;368")</f>
        <v>AR: YRT Mortality Risk Only</v>
      </c>
      <c r="R999" s="366"/>
      <c r="S999" s="391" t="s">
        <v>29</v>
      </c>
    </row>
    <row r="1000" spans="14:19" ht="11.25" customHeight="1" x14ac:dyDescent="0.35">
      <c r="N1000" s="388" t="s">
        <v>5479</v>
      </c>
      <c r="O1000" s="389" t="s">
        <v>5389</v>
      </c>
      <c r="P1000" s="389" t="str">
        <f t="shared" si="54"/>
        <v>2012Y</v>
      </c>
      <c r="Q1000" s="390" t="str">
        <f>[1]!SNLLabel(287,324683,,"&lt;&gt;369")</f>
        <v>AR: Individual and Group Life</v>
      </c>
      <c r="R1000" s="366"/>
      <c r="S1000" s="391" t="s">
        <v>29</v>
      </c>
    </row>
    <row r="1001" spans="14:19" ht="11.25" customHeight="1" x14ac:dyDescent="0.35">
      <c r="N1001" s="367" t="s">
        <v>5479</v>
      </c>
      <c r="O1001" s="368" t="s">
        <v>5389</v>
      </c>
      <c r="P1001" s="368" t="str">
        <f t="shared" si="54"/>
        <v>2012Y</v>
      </c>
      <c r="Q1001" s="369" t="str">
        <f>[1]!SNLLabel(287,324683,,"&lt;&gt;370")</f>
        <v>AR: Individual and Group Annuities</v>
      </c>
      <c r="R1001" s="370"/>
      <c r="S1001" s="371" t="s">
        <v>29</v>
      </c>
    </row>
    <row r="1002" spans="14:19" ht="11.25" customHeight="1" x14ac:dyDescent="0.35">
      <c r="N1002" s="384" t="s">
        <v>5479</v>
      </c>
      <c r="O1002" s="385" t="s">
        <v>5389</v>
      </c>
      <c r="P1002" s="385" t="str">
        <f t="shared" ref="P1002:P1012" si="55">LEFT(Period,4)-3&amp;"Y"</f>
        <v>2011Y</v>
      </c>
      <c r="Q1002" s="386" t="str">
        <f>[1]!SNLLabel(287,324683,,"&lt;&gt;360")</f>
        <v>AR: Analysis of Operations All Lines</v>
      </c>
      <c r="R1002" s="365"/>
      <c r="S1002" s="387" t="s">
        <v>29</v>
      </c>
    </row>
    <row r="1003" spans="14:19" ht="11.25" customHeight="1" x14ac:dyDescent="0.35">
      <c r="N1003" s="388" t="s">
        <v>5479</v>
      </c>
      <c r="O1003" s="389" t="s">
        <v>5389</v>
      </c>
      <c r="P1003" s="389" t="str">
        <f t="shared" si="55"/>
        <v>2011Y</v>
      </c>
      <c r="Q1003" s="390" t="str">
        <f>[1]!SNLLabel(287,324683,,"&lt;&gt;361")</f>
        <v>AR: Individual Life</v>
      </c>
      <c r="R1003" s="366"/>
      <c r="S1003" s="391" t="s">
        <v>29</v>
      </c>
    </row>
    <row r="1004" spans="14:19" ht="11.25" customHeight="1" x14ac:dyDescent="0.35">
      <c r="N1004" s="388" t="s">
        <v>5479</v>
      </c>
      <c r="O1004" s="389" t="s">
        <v>5389</v>
      </c>
      <c r="P1004" s="389" t="str">
        <f t="shared" si="55"/>
        <v>2011Y</v>
      </c>
      <c r="Q1004" s="390" t="str">
        <f>[1]!SNLLabel(287,324683,,"&lt;&gt;362")</f>
        <v>AR: Group Life</v>
      </c>
      <c r="R1004" s="366"/>
      <c r="S1004" s="391" t="s">
        <v>29</v>
      </c>
    </row>
    <row r="1005" spans="14:19" ht="11.25" customHeight="1" x14ac:dyDescent="0.35">
      <c r="N1005" s="388" t="s">
        <v>5479</v>
      </c>
      <c r="O1005" s="389" t="s">
        <v>5389</v>
      </c>
      <c r="P1005" s="389" t="str">
        <f t="shared" si="55"/>
        <v>2011Y</v>
      </c>
      <c r="Q1005" s="390" t="str">
        <f>[1]!SNLLabel(287,324683,,"&lt;&gt;363")</f>
        <v>AR: Individual Annuities</v>
      </c>
      <c r="R1005" s="366"/>
      <c r="S1005" s="391" t="s">
        <v>29</v>
      </c>
    </row>
    <row r="1006" spans="14:19" ht="11.25" customHeight="1" x14ac:dyDescent="0.35">
      <c r="N1006" s="388" t="s">
        <v>5479</v>
      </c>
      <c r="O1006" s="389" t="s">
        <v>5389</v>
      </c>
      <c r="P1006" s="389" t="str">
        <f t="shared" si="55"/>
        <v>2011Y</v>
      </c>
      <c r="Q1006" s="390" t="str">
        <f>[1]!SNLLabel(287,324683,,"&lt;&gt;364")</f>
        <v>AR: Group Annuities</v>
      </c>
      <c r="R1006" s="366"/>
      <c r="S1006" s="391" t="s">
        <v>29</v>
      </c>
    </row>
    <row r="1007" spans="14:19" ht="11.25" customHeight="1" x14ac:dyDescent="0.35">
      <c r="N1007" s="388" t="s">
        <v>5479</v>
      </c>
      <c r="O1007" s="389" t="s">
        <v>5389</v>
      </c>
      <c r="P1007" s="389" t="str">
        <f t="shared" si="55"/>
        <v>2011Y</v>
      </c>
      <c r="Q1007" s="390" t="str">
        <f>[1]!SNLLabel(287,324683,,"&lt;&gt;365")</f>
        <v>AR: Accident and Health</v>
      </c>
      <c r="R1007" s="366"/>
      <c r="S1007" s="391" t="s">
        <v>29</v>
      </c>
    </row>
    <row r="1008" spans="14:19" ht="11.25" customHeight="1" x14ac:dyDescent="0.35">
      <c r="N1008" s="388" t="s">
        <v>5479</v>
      </c>
      <c r="O1008" s="389" t="s">
        <v>5389</v>
      </c>
      <c r="P1008" s="389" t="str">
        <f t="shared" si="55"/>
        <v>2011Y</v>
      </c>
      <c r="Q1008" s="390" t="str">
        <f>[1]!SNLLabel(287,324683,,"&lt;&gt;366")</f>
        <v>AR: Fraternal</v>
      </c>
      <c r="R1008" s="366"/>
      <c r="S1008" s="391" t="s">
        <v>29</v>
      </c>
    </row>
    <row r="1009" spans="14:19" ht="11.25" customHeight="1" x14ac:dyDescent="0.35">
      <c r="N1009" s="388" t="s">
        <v>5479</v>
      </c>
      <c r="O1009" s="389" t="s">
        <v>5389</v>
      </c>
      <c r="P1009" s="389" t="str">
        <f t="shared" si="55"/>
        <v>2011Y</v>
      </c>
      <c r="Q1009" s="390" t="str">
        <f>[1]!SNLLabel(287,324683,,"&lt;&gt;367")</f>
        <v>AR: Other Lines of Business</v>
      </c>
      <c r="R1009" s="366"/>
      <c r="S1009" s="391" t="s">
        <v>29</v>
      </c>
    </row>
    <row r="1010" spans="14:19" ht="11.25" customHeight="1" x14ac:dyDescent="0.35">
      <c r="N1010" s="388" t="s">
        <v>5479</v>
      </c>
      <c r="O1010" s="389" t="s">
        <v>5389</v>
      </c>
      <c r="P1010" s="389" t="str">
        <f t="shared" si="55"/>
        <v>2011Y</v>
      </c>
      <c r="Q1010" s="390" t="str">
        <f>[1]!SNLLabel(287,324683,,"&lt;&gt;368")</f>
        <v>AR: YRT Mortality Risk Only</v>
      </c>
      <c r="R1010" s="366"/>
      <c r="S1010" s="391" t="s">
        <v>29</v>
      </c>
    </row>
    <row r="1011" spans="14:19" ht="11.25" customHeight="1" x14ac:dyDescent="0.35">
      <c r="N1011" s="388" t="s">
        <v>5479</v>
      </c>
      <c r="O1011" s="389" t="s">
        <v>5389</v>
      </c>
      <c r="P1011" s="389" t="str">
        <f t="shared" si="55"/>
        <v>2011Y</v>
      </c>
      <c r="Q1011" s="390" t="str">
        <f>[1]!SNLLabel(287,324683,,"&lt;&gt;369")</f>
        <v>AR: Individual and Group Life</v>
      </c>
      <c r="R1011" s="366"/>
      <c r="S1011" s="391" t="s">
        <v>29</v>
      </c>
    </row>
    <row r="1012" spans="14:19" ht="11.25" customHeight="1" x14ac:dyDescent="0.35">
      <c r="N1012" s="367" t="s">
        <v>5479</v>
      </c>
      <c r="O1012" s="368" t="s">
        <v>5389</v>
      </c>
      <c r="P1012" s="368" t="str">
        <f t="shared" si="55"/>
        <v>2011Y</v>
      </c>
      <c r="Q1012" s="369" t="str">
        <f>[1]!SNLLabel(287,324683,,"&lt;&gt;370")</f>
        <v>AR: Individual and Group Annuities</v>
      </c>
      <c r="R1012" s="370"/>
      <c r="S1012" s="371" t="s">
        <v>29</v>
      </c>
    </row>
    <row r="1013" spans="14:19" ht="11.25" customHeight="1" x14ac:dyDescent="0.35">
      <c r="N1013" s="384" t="s">
        <v>5479</v>
      </c>
      <c r="O1013" s="385" t="s">
        <v>5389</v>
      </c>
      <c r="P1013" s="385" t="str">
        <f t="shared" ref="P1013:P1023" si="56">LEFT(Period,4)-4&amp;"Y"</f>
        <v>2010Y</v>
      </c>
      <c r="Q1013" s="386" t="str">
        <f>[1]!SNLLabel(287,324683,,"&lt;&gt;360")</f>
        <v>AR: Analysis of Operations All Lines</v>
      </c>
      <c r="R1013" s="365"/>
      <c r="S1013" s="387" t="s">
        <v>29</v>
      </c>
    </row>
    <row r="1014" spans="14:19" ht="11.25" customHeight="1" x14ac:dyDescent="0.35">
      <c r="N1014" s="388" t="s">
        <v>5479</v>
      </c>
      <c r="O1014" s="389" t="s">
        <v>5389</v>
      </c>
      <c r="P1014" s="389" t="str">
        <f t="shared" si="56"/>
        <v>2010Y</v>
      </c>
      <c r="Q1014" s="390" t="str">
        <f>[1]!SNLLabel(287,324683,,"&lt;&gt;361")</f>
        <v>AR: Individual Life</v>
      </c>
      <c r="R1014" s="366"/>
      <c r="S1014" s="391" t="s">
        <v>29</v>
      </c>
    </row>
    <row r="1015" spans="14:19" ht="11.25" customHeight="1" x14ac:dyDescent="0.35">
      <c r="N1015" s="388" t="s">
        <v>5479</v>
      </c>
      <c r="O1015" s="389" t="s">
        <v>5389</v>
      </c>
      <c r="P1015" s="389" t="str">
        <f t="shared" si="56"/>
        <v>2010Y</v>
      </c>
      <c r="Q1015" s="390" t="str">
        <f>[1]!SNLLabel(287,324683,,"&lt;&gt;362")</f>
        <v>AR: Group Life</v>
      </c>
      <c r="R1015" s="366"/>
      <c r="S1015" s="391" t="s">
        <v>29</v>
      </c>
    </row>
    <row r="1016" spans="14:19" ht="11.25" customHeight="1" x14ac:dyDescent="0.35">
      <c r="N1016" s="388" t="s">
        <v>5479</v>
      </c>
      <c r="O1016" s="389" t="s">
        <v>5389</v>
      </c>
      <c r="P1016" s="389" t="str">
        <f t="shared" si="56"/>
        <v>2010Y</v>
      </c>
      <c r="Q1016" s="390" t="str">
        <f>[1]!SNLLabel(287,324683,,"&lt;&gt;363")</f>
        <v>AR: Individual Annuities</v>
      </c>
      <c r="R1016" s="366"/>
      <c r="S1016" s="391" t="s">
        <v>29</v>
      </c>
    </row>
    <row r="1017" spans="14:19" ht="11.25" customHeight="1" x14ac:dyDescent="0.35">
      <c r="N1017" s="388" t="s">
        <v>5479</v>
      </c>
      <c r="O1017" s="389" t="s">
        <v>5389</v>
      </c>
      <c r="P1017" s="389" t="str">
        <f t="shared" si="56"/>
        <v>2010Y</v>
      </c>
      <c r="Q1017" s="390" t="str">
        <f>[1]!SNLLabel(287,324683,,"&lt;&gt;364")</f>
        <v>AR: Group Annuities</v>
      </c>
      <c r="R1017" s="366"/>
      <c r="S1017" s="391" t="s">
        <v>29</v>
      </c>
    </row>
    <row r="1018" spans="14:19" ht="11.25" customHeight="1" x14ac:dyDescent="0.35">
      <c r="N1018" s="388" t="s">
        <v>5479</v>
      </c>
      <c r="O1018" s="389" t="s">
        <v>5389</v>
      </c>
      <c r="P1018" s="389" t="str">
        <f t="shared" si="56"/>
        <v>2010Y</v>
      </c>
      <c r="Q1018" s="390" t="str">
        <f>[1]!SNLLabel(287,324683,,"&lt;&gt;365")</f>
        <v>AR: Accident and Health</v>
      </c>
      <c r="R1018" s="366"/>
      <c r="S1018" s="391" t="s">
        <v>29</v>
      </c>
    </row>
    <row r="1019" spans="14:19" ht="11.25" customHeight="1" x14ac:dyDescent="0.35">
      <c r="N1019" s="388" t="s">
        <v>5479</v>
      </c>
      <c r="O1019" s="389" t="s">
        <v>5389</v>
      </c>
      <c r="P1019" s="389" t="str">
        <f t="shared" si="56"/>
        <v>2010Y</v>
      </c>
      <c r="Q1019" s="390" t="str">
        <f>[1]!SNLLabel(287,324683,,"&lt;&gt;366")</f>
        <v>AR: Fraternal</v>
      </c>
      <c r="R1019" s="366"/>
      <c r="S1019" s="391" t="s">
        <v>29</v>
      </c>
    </row>
    <row r="1020" spans="14:19" ht="11.25" customHeight="1" x14ac:dyDescent="0.35">
      <c r="N1020" s="388" t="s">
        <v>5479</v>
      </c>
      <c r="O1020" s="389" t="s">
        <v>5389</v>
      </c>
      <c r="P1020" s="389" t="str">
        <f t="shared" si="56"/>
        <v>2010Y</v>
      </c>
      <c r="Q1020" s="390" t="str">
        <f>[1]!SNLLabel(287,324683,,"&lt;&gt;367")</f>
        <v>AR: Other Lines of Business</v>
      </c>
      <c r="R1020" s="366"/>
      <c r="S1020" s="391" t="s">
        <v>29</v>
      </c>
    </row>
    <row r="1021" spans="14:19" ht="11.25" customHeight="1" x14ac:dyDescent="0.35">
      <c r="N1021" s="388" t="s">
        <v>5479</v>
      </c>
      <c r="O1021" s="389" t="s">
        <v>5389</v>
      </c>
      <c r="P1021" s="389" t="str">
        <f t="shared" si="56"/>
        <v>2010Y</v>
      </c>
      <c r="Q1021" s="390" t="str">
        <f>[1]!SNLLabel(287,324683,,"&lt;&gt;368")</f>
        <v>AR: YRT Mortality Risk Only</v>
      </c>
      <c r="R1021" s="366"/>
      <c r="S1021" s="391" t="s">
        <v>29</v>
      </c>
    </row>
    <row r="1022" spans="14:19" ht="11.25" customHeight="1" x14ac:dyDescent="0.35">
      <c r="N1022" s="388" t="s">
        <v>5479</v>
      </c>
      <c r="O1022" s="389" t="s">
        <v>5389</v>
      </c>
      <c r="P1022" s="389" t="str">
        <f t="shared" si="56"/>
        <v>2010Y</v>
      </c>
      <c r="Q1022" s="390" t="str">
        <f>[1]!SNLLabel(287,324683,,"&lt;&gt;369")</f>
        <v>AR: Individual and Group Life</v>
      </c>
      <c r="R1022" s="366"/>
      <c r="S1022" s="391" t="s">
        <v>29</v>
      </c>
    </row>
    <row r="1023" spans="14:19" ht="11.25" customHeight="1" x14ac:dyDescent="0.35">
      <c r="N1023" s="367" t="s">
        <v>5479</v>
      </c>
      <c r="O1023" s="368" t="s">
        <v>5389</v>
      </c>
      <c r="P1023" s="368" t="str">
        <f t="shared" si="56"/>
        <v>2010Y</v>
      </c>
      <c r="Q1023" s="369" t="str">
        <f>[1]!SNLLabel(287,324683,,"&lt;&gt;370")</f>
        <v>AR: Individual and Group Annuities</v>
      </c>
      <c r="R1023" s="370"/>
      <c r="S1023" s="371" t="s">
        <v>29</v>
      </c>
    </row>
    <row r="1024" spans="14:19" ht="11.25" customHeight="1" x14ac:dyDescent="0.35">
      <c r="N1024" s="377"/>
      <c r="O1024" s="378"/>
      <c r="P1024" s="378"/>
      <c r="Q1024" s="379"/>
      <c r="R1024" s="375"/>
      <c r="S1024" s="380"/>
    </row>
    <row r="1025" spans="14:19" ht="11.25" customHeight="1" x14ac:dyDescent="0.35">
      <c r="N1025" s="384" t="s">
        <v>5480</v>
      </c>
      <c r="O1025" s="385" t="s">
        <v>5390</v>
      </c>
      <c r="P1025" s="385" t="str">
        <f t="shared" ref="P1025:P1035" si="57">Period</f>
        <v>2014Y</v>
      </c>
      <c r="Q1025" s="386" t="str">
        <f>[1]!SNLLabel(287,324684,,"&lt;&gt;360")</f>
        <v>AR: Analysis of Operations All Lines</v>
      </c>
      <c r="R1025" s="365"/>
      <c r="S1025" s="387" t="s">
        <v>29</v>
      </c>
    </row>
    <row r="1026" spans="14:19" ht="11.25" customHeight="1" x14ac:dyDescent="0.35">
      <c r="N1026" s="388" t="s">
        <v>5480</v>
      </c>
      <c r="O1026" s="389" t="s">
        <v>5390</v>
      </c>
      <c r="P1026" s="389" t="str">
        <f t="shared" si="57"/>
        <v>2014Y</v>
      </c>
      <c r="Q1026" s="390" t="str">
        <f>[1]!SNLLabel(287,324684,,"&lt;&gt;361")</f>
        <v>AR: Individual Life</v>
      </c>
      <c r="R1026" s="366"/>
      <c r="S1026" s="391" t="s">
        <v>29</v>
      </c>
    </row>
    <row r="1027" spans="14:19" ht="11.25" customHeight="1" x14ac:dyDescent="0.35">
      <c r="N1027" s="388" t="s">
        <v>5480</v>
      </c>
      <c r="O1027" s="389" t="s">
        <v>5390</v>
      </c>
      <c r="P1027" s="389" t="str">
        <f t="shared" si="57"/>
        <v>2014Y</v>
      </c>
      <c r="Q1027" s="390" t="str">
        <f>[1]!SNLLabel(287,324684,,"&lt;&gt;362")</f>
        <v>AR: Group Life</v>
      </c>
      <c r="R1027" s="366"/>
      <c r="S1027" s="391" t="s">
        <v>29</v>
      </c>
    </row>
    <row r="1028" spans="14:19" ht="11.25" customHeight="1" x14ac:dyDescent="0.35">
      <c r="N1028" s="388" t="s">
        <v>5480</v>
      </c>
      <c r="O1028" s="389" t="s">
        <v>5390</v>
      </c>
      <c r="P1028" s="389" t="str">
        <f t="shared" si="57"/>
        <v>2014Y</v>
      </c>
      <c r="Q1028" s="390" t="str">
        <f>[1]!SNLLabel(287,324684,,"&lt;&gt;363")</f>
        <v>AR: Individual Annuities</v>
      </c>
      <c r="R1028" s="366"/>
      <c r="S1028" s="391" t="s">
        <v>29</v>
      </c>
    </row>
    <row r="1029" spans="14:19" ht="11.25" customHeight="1" x14ac:dyDescent="0.35">
      <c r="N1029" s="388" t="s">
        <v>5480</v>
      </c>
      <c r="O1029" s="389" t="s">
        <v>5390</v>
      </c>
      <c r="P1029" s="389" t="str">
        <f t="shared" si="57"/>
        <v>2014Y</v>
      </c>
      <c r="Q1029" s="390" t="str">
        <f>[1]!SNLLabel(287,324684,,"&lt;&gt;364")</f>
        <v>AR: Group Annuities</v>
      </c>
      <c r="R1029" s="366"/>
      <c r="S1029" s="391" t="s">
        <v>29</v>
      </c>
    </row>
    <row r="1030" spans="14:19" ht="11.25" customHeight="1" x14ac:dyDescent="0.35">
      <c r="N1030" s="388" t="s">
        <v>5480</v>
      </c>
      <c r="O1030" s="389" t="s">
        <v>5390</v>
      </c>
      <c r="P1030" s="389" t="str">
        <f t="shared" si="57"/>
        <v>2014Y</v>
      </c>
      <c r="Q1030" s="390" t="str">
        <f>[1]!SNLLabel(287,324684,,"&lt;&gt;365")</f>
        <v>AR: Accident and Health</v>
      </c>
      <c r="R1030" s="366"/>
      <c r="S1030" s="391" t="s">
        <v>29</v>
      </c>
    </row>
    <row r="1031" spans="14:19" ht="11.25" customHeight="1" x14ac:dyDescent="0.35">
      <c r="N1031" s="388" t="s">
        <v>5480</v>
      </c>
      <c r="O1031" s="389" t="s">
        <v>5390</v>
      </c>
      <c r="P1031" s="389" t="str">
        <f t="shared" si="57"/>
        <v>2014Y</v>
      </c>
      <c r="Q1031" s="390" t="str">
        <f>[1]!SNLLabel(287,324684,,"&lt;&gt;366")</f>
        <v>AR: Fraternal</v>
      </c>
      <c r="R1031" s="366"/>
      <c r="S1031" s="391" t="s">
        <v>29</v>
      </c>
    </row>
    <row r="1032" spans="14:19" ht="11.25" customHeight="1" x14ac:dyDescent="0.35">
      <c r="N1032" s="388" t="s">
        <v>5480</v>
      </c>
      <c r="O1032" s="389" t="s">
        <v>5390</v>
      </c>
      <c r="P1032" s="389" t="str">
        <f t="shared" si="57"/>
        <v>2014Y</v>
      </c>
      <c r="Q1032" s="390" t="str">
        <f>[1]!SNLLabel(287,324684,,"&lt;&gt;367")</f>
        <v>AR: Other Lines of Business</v>
      </c>
      <c r="R1032" s="366"/>
      <c r="S1032" s="391" t="s">
        <v>29</v>
      </c>
    </row>
    <row r="1033" spans="14:19" ht="11.25" customHeight="1" x14ac:dyDescent="0.35">
      <c r="N1033" s="388" t="s">
        <v>5480</v>
      </c>
      <c r="O1033" s="389" t="s">
        <v>5390</v>
      </c>
      <c r="P1033" s="389" t="str">
        <f t="shared" si="57"/>
        <v>2014Y</v>
      </c>
      <c r="Q1033" s="390" t="str">
        <f>[1]!SNLLabel(287,324684,,"&lt;&gt;368")</f>
        <v>AR: YRT Mortality Risk Only</v>
      </c>
      <c r="R1033" s="366"/>
      <c r="S1033" s="391" t="s">
        <v>29</v>
      </c>
    </row>
    <row r="1034" spans="14:19" ht="11.25" customHeight="1" x14ac:dyDescent="0.35">
      <c r="N1034" s="388" t="s">
        <v>5480</v>
      </c>
      <c r="O1034" s="389" t="s">
        <v>5390</v>
      </c>
      <c r="P1034" s="389" t="str">
        <f t="shared" si="57"/>
        <v>2014Y</v>
      </c>
      <c r="Q1034" s="390" t="str">
        <f>[1]!SNLLabel(287,324684,,"&lt;&gt;369")</f>
        <v>AR: Individual and Group Life</v>
      </c>
      <c r="R1034" s="366"/>
      <c r="S1034" s="391" t="s">
        <v>29</v>
      </c>
    </row>
    <row r="1035" spans="14:19" ht="11.25" customHeight="1" x14ac:dyDescent="0.35">
      <c r="N1035" s="367" t="s">
        <v>5480</v>
      </c>
      <c r="O1035" s="368" t="s">
        <v>5390</v>
      </c>
      <c r="P1035" s="368" t="str">
        <f t="shared" si="57"/>
        <v>2014Y</v>
      </c>
      <c r="Q1035" s="369" t="str">
        <f>[1]!SNLLabel(287,324684,,"&lt;&gt;370")</f>
        <v>AR: Individual and Group Annuities</v>
      </c>
      <c r="R1035" s="370"/>
      <c r="S1035" s="371" t="s">
        <v>29</v>
      </c>
    </row>
    <row r="1036" spans="14:19" ht="11.25" customHeight="1" x14ac:dyDescent="0.35">
      <c r="N1036" s="384" t="s">
        <v>5480</v>
      </c>
      <c r="O1036" s="385" t="s">
        <v>5390</v>
      </c>
      <c r="P1036" s="385" t="str">
        <f t="shared" ref="P1036:P1046" si="58">LEFT(Period,4)-1&amp;"Y"</f>
        <v>2013Y</v>
      </c>
      <c r="Q1036" s="386" t="str">
        <f>[1]!SNLLabel(287,324684,,"&lt;&gt;360")</f>
        <v>AR: Analysis of Operations All Lines</v>
      </c>
      <c r="R1036" s="365"/>
      <c r="S1036" s="387" t="s">
        <v>29</v>
      </c>
    </row>
    <row r="1037" spans="14:19" ht="11.25" customHeight="1" x14ac:dyDescent="0.35">
      <c r="N1037" s="388" t="s">
        <v>5480</v>
      </c>
      <c r="O1037" s="389" t="s">
        <v>5390</v>
      </c>
      <c r="P1037" s="389" t="str">
        <f t="shared" si="58"/>
        <v>2013Y</v>
      </c>
      <c r="Q1037" s="390" t="str">
        <f>[1]!SNLLabel(287,324684,,"&lt;&gt;361")</f>
        <v>AR: Individual Life</v>
      </c>
      <c r="R1037" s="366"/>
      <c r="S1037" s="391" t="s">
        <v>29</v>
      </c>
    </row>
    <row r="1038" spans="14:19" ht="11.25" customHeight="1" x14ac:dyDescent="0.35">
      <c r="N1038" s="388" t="s">
        <v>5480</v>
      </c>
      <c r="O1038" s="389" t="s">
        <v>5390</v>
      </c>
      <c r="P1038" s="389" t="str">
        <f t="shared" si="58"/>
        <v>2013Y</v>
      </c>
      <c r="Q1038" s="390" t="str">
        <f>[1]!SNLLabel(287,324684,,"&lt;&gt;362")</f>
        <v>AR: Group Life</v>
      </c>
      <c r="R1038" s="366"/>
      <c r="S1038" s="391" t="s">
        <v>29</v>
      </c>
    </row>
    <row r="1039" spans="14:19" ht="11.25" customHeight="1" x14ac:dyDescent="0.35">
      <c r="N1039" s="388" t="s">
        <v>5480</v>
      </c>
      <c r="O1039" s="389" t="s">
        <v>5390</v>
      </c>
      <c r="P1039" s="389" t="str">
        <f t="shared" si="58"/>
        <v>2013Y</v>
      </c>
      <c r="Q1039" s="390" t="str">
        <f>[1]!SNLLabel(287,324684,,"&lt;&gt;363")</f>
        <v>AR: Individual Annuities</v>
      </c>
      <c r="R1039" s="366"/>
      <c r="S1039" s="391" t="s">
        <v>29</v>
      </c>
    </row>
    <row r="1040" spans="14:19" ht="11.25" customHeight="1" x14ac:dyDescent="0.35">
      <c r="N1040" s="388" t="s">
        <v>5480</v>
      </c>
      <c r="O1040" s="389" t="s">
        <v>5390</v>
      </c>
      <c r="P1040" s="389" t="str">
        <f t="shared" si="58"/>
        <v>2013Y</v>
      </c>
      <c r="Q1040" s="390" t="str">
        <f>[1]!SNLLabel(287,324684,,"&lt;&gt;364")</f>
        <v>AR: Group Annuities</v>
      </c>
      <c r="R1040" s="366"/>
      <c r="S1040" s="391" t="s">
        <v>29</v>
      </c>
    </row>
    <row r="1041" spans="14:19" ht="11.25" customHeight="1" x14ac:dyDescent="0.35">
      <c r="N1041" s="388" t="s">
        <v>5480</v>
      </c>
      <c r="O1041" s="389" t="s">
        <v>5390</v>
      </c>
      <c r="P1041" s="389" t="str">
        <f t="shared" si="58"/>
        <v>2013Y</v>
      </c>
      <c r="Q1041" s="390" t="str">
        <f>[1]!SNLLabel(287,324684,,"&lt;&gt;365")</f>
        <v>AR: Accident and Health</v>
      </c>
      <c r="R1041" s="366"/>
      <c r="S1041" s="391" t="s">
        <v>29</v>
      </c>
    </row>
    <row r="1042" spans="14:19" ht="11.25" customHeight="1" x14ac:dyDescent="0.35">
      <c r="N1042" s="388" t="s">
        <v>5480</v>
      </c>
      <c r="O1042" s="389" t="s">
        <v>5390</v>
      </c>
      <c r="P1042" s="389" t="str">
        <f t="shared" si="58"/>
        <v>2013Y</v>
      </c>
      <c r="Q1042" s="390" t="str">
        <f>[1]!SNLLabel(287,324684,,"&lt;&gt;366")</f>
        <v>AR: Fraternal</v>
      </c>
      <c r="R1042" s="366"/>
      <c r="S1042" s="391" t="s">
        <v>29</v>
      </c>
    </row>
    <row r="1043" spans="14:19" ht="11.25" customHeight="1" x14ac:dyDescent="0.35">
      <c r="N1043" s="388" t="s">
        <v>5480</v>
      </c>
      <c r="O1043" s="389" t="s">
        <v>5390</v>
      </c>
      <c r="P1043" s="389" t="str">
        <f t="shared" si="58"/>
        <v>2013Y</v>
      </c>
      <c r="Q1043" s="390" t="str">
        <f>[1]!SNLLabel(287,324684,,"&lt;&gt;367")</f>
        <v>AR: Other Lines of Business</v>
      </c>
      <c r="R1043" s="366"/>
      <c r="S1043" s="391" t="s">
        <v>29</v>
      </c>
    </row>
    <row r="1044" spans="14:19" ht="11.25" customHeight="1" x14ac:dyDescent="0.35">
      <c r="N1044" s="388" t="s">
        <v>5480</v>
      </c>
      <c r="O1044" s="389" t="s">
        <v>5390</v>
      </c>
      <c r="P1044" s="389" t="str">
        <f t="shared" si="58"/>
        <v>2013Y</v>
      </c>
      <c r="Q1044" s="390" t="str">
        <f>[1]!SNLLabel(287,324684,,"&lt;&gt;368")</f>
        <v>AR: YRT Mortality Risk Only</v>
      </c>
      <c r="R1044" s="366"/>
      <c r="S1044" s="391" t="s">
        <v>29</v>
      </c>
    </row>
    <row r="1045" spans="14:19" ht="11.25" customHeight="1" x14ac:dyDescent="0.35">
      <c r="N1045" s="388" t="s">
        <v>5480</v>
      </c>
      <c r="O1045" s="389" t="s">
        <v>5390</v>
      </c>
      <c r="P1045" s="389" t="str">
        <f t="shared" si="58"/>
        <v>2013Y</v>
      </c>
      <c r="Q1045" s="390" t="str">
        <f>[1]!SNLLabel(287,324684,,"&lt;&gt;369")</f>
        <v>AR: Individual and Group Life</v>
      </c>
      <c r="R1045" s="366"/>
      <c r="S1045" s="391" t="s">
        <v>29</v>
      </c>
    </row>
    <row r="1046" spans="14:19" ht="11.25" customHeight="1" x14ac:dyDescent="0.35">
      <c r="N1046" s="367" t="s">
        <v>5480</v>
      </c>
      <c r="O1046" s="368" t="s">
        <v>5390</v>
      </c>
      <c r="P1046" s="368" t="str">
        <f t="shared" si="58"/>
        <v>2013Y</v>
      </c>
      <c r="Q1046" s="369" t="str">
        <f>[1]!SNLLabel(287,324684,,"&lt;&gt;370")</f>
        <v>AR: Individual and Group Annuities</v>
      </c>
      <c r="R1046" s="370"/>
      <c r="S1046" s="371" t="s">
        <v>29</v>
      </c>
    </row>
    <row r="1047" spans="14:19" ht="11.25" customHeight="1" x14ac:dyDescent="0.35">
      <c r="N1047" s="384" t="s">
        <v>5480</v>
      </c>
      <c r="O1047" s="385" t="s">
        <v>5390</v>
      </c>
      <c r="P1047" s="385" t="str">
        <f t="shared" ref="P1047:P1057" si="59">LEFT(Period,4)-2&amp;"Y"</f>
        <v>2012Y</v>
      </c>
      <c r="Q1047" s="386" t="str">
        <f>[1]!SNLLabel(287,324684,,"&lt;&gt;360")</f>
        <v>AR: Analysis of Operations All Lines</v>
      </c>
      <c r="R1047" s="365"/>
      <c r="S1047" s="387" t="s">
        <v>29</v>
      </c>
    </row>
    <row r="1048" spans="14:19" ht="11.25" customHeight="1" x14ac:dyDescent="0.35">
      <c r="N1048" s="388" t="s">
        <v>5480</v>
      </c>
      <c r="O1048" s="389" t="s">
        <v>5390</v>
      </c>
      <c r="P1048" s="389" t="str">
        <f t="shared" si="59"/>
        <v>2012Y</v>
      </c>
      <c r="Q1048" s="390" t="str">
        <f>[1]!SNLLabel(287,324684,,"&lt;&gt;361")</f>
        <v>AR: Individual Life</v>
      </c>
      <c r="R1048" s="366"/>
      <c r="S1048" s="391" t="s">
        <v>29</v>
      </c>
    </row>
    <row r="1049" spans="14:19" ht="11.25" customHeight="1" x14ac:dyDescent="0.35">
      <c r="N1049" s="388" t="s">
        <v>5480</v>
      </c>
      <c r="O1049" s="389" t="s">
        <v>5390</v>
      </c>
      <c r="P1049" s="389" t="str">
        <f t="shared" si="59"/>
        <v>2012Y</v>
      </c>
      <c r="Q1049" s="390" t="str">
        <f>[1]!SNLLabel(287,324684,,"&lt;&gt;362")</f>
        <v>AR: Group Life</v>
      </c>
      <c r="R1049" s="366"/>
      <c r="S1049" s="391" t="s">
        <v>29</v>
      </c>
    </row>
    <row r="1050" spans="14:19" ht="11.25" customHeight="1" x14ac:dyDescent="0.35">
      <c r="N1050" s="388" t="s">
        <v>5480</v>
      </c>
      <c r="O1050" s="389" t="s">
        <v>5390</v>
      </c>
      <c r="P1050" s="389" t="str">
        <f t="shared" si="59"/>
        <v>2012Y</v>
      </c>
      <c r="Q1050" s="390" t="str">
        <f>[1]!SNLLabel(287,324684,,"&lt;&gt;363")</f>
        <v>AR: Individual Annuities</v>
      </c>
      <c r="R1050" s="366"/>
      <c r="S1050" s="391" t="s">
        <v>29</v>
      </c>
    </row>
    <row r="1051" spans="14:19" ht="11.25" customHeight="1" x14ac:dyDescent="0.35">
      <c r="N1051" s="388" t="s">
        <v>5480</v>
      </c>
      <c r="O1051" s="389" t="s">
        <v>5390</v>
      </c>
      <c r="P1051" s="389" t="str">
        <f t="shared" si="59"/>
        <v>2012Y</v>
      </c>
      <c r="Q1051" s="390" t="str">
        <f>[1]!SNLLabel(287,324684,,"&lt;&gt;364")</f>
        <v>AR: Group Annuities</v>
      </c>
      <c r="R1051" s="366"/>
      <c r="S1051" s="391" t="s">
        <v>29</v>
      </c>
    </row>
    <row r="1052" spans="14:19" ht="11.25" customHeight="1" x14ac:dyDescent="0.35">
      <c r="N1052" s="388" t="s">
        <v>5480</v>
      </c>
      <c r="O1052" s="389" t="s">
        <v>5390</v>
      </c>
      <c r="P1052" s="389" t="str">
        <f t="shared" si="59"/>
        <v>2012Y</v>
      </c>
      <c r="Q1052" s="390" t="str">
        <f>[1]!SNLLabel(287,324684,,"&lt;&gt;365")</f>
        <v>AR: Accident and Health</v>
      </c>
      <c r="R1052" s="366"/>
      <c r="S1052" s="391" t="s">
        <v>29</v>
      </c>
    </row>
    <row r="1053" spans="14:19" ht="11.25" customHeight="1" x14ac:dyDescent="0.35">
      <c r="N1053" s="388" t="s">
        <v>5480</v>
      </c>
      <c r="O1053" s="389" t="s">
        <v>5390</v>
      </c>
      <c r="P1053" s="389" t="str">
        <f t="shared" si="59"/>
        <v>2012Y</v>
      </c>
      <c r="Q1053" s="390" t="str">
        <f>[1]!SNLLabel(287,324684,,"&lt;&gt;366")</f>
        <v>AR: Fraternal</v>
      </c>
      <c r="R1053" s="366"/>
      <c r="S1053" s="391" t="s">
        <v>29</v>
      </c>
    </row>
    <row r="1054" spans="14:19" ht="11.25" customHeight="1" x14ac:dyDescent="0.35">
      <c r="N1054" s="388" t="s">
        <v>5480</v>
      </c>
      <c r="O1054" s="389" t="s">
        <v>5390</v>
      </c>
      <c r="P1054" s="389" t="str">
        <f t="shared" si="59"/>
        <v>2012Y</v>
      </c>
      <c r="Q1054" s="390" t="str">
        <f>[1]!SNLLabel(287,324684,,"&lt;&gt;367")</f>
        <v>AR: Other Lines of Business</v>
      </c>
      <c r="R1054" s="366"/>
      <c r="S1054" s="391" t="s">
        <v>29</v>
      </c>
    </row>
    <row r="1055" spans="14:19" ht="11.25" customHeight="1" x14ac:dyDescent="0.35">
      <c r="N1055" s="388" t="s">
        <v>5480</v>
      </c>
      <c r="O1055" s="389" t="s">
        <v>5390</v>
      </c>
      <c r="P1055" s="389" t="str">
        <f t="shared" si="59"/>
        <v>2012Y</v>
      </c>
      <c r="Q1055" s="390" t="str">
        <f>[1]!SNLLabel(287,324684,,"&lt;&gt;368")</f>
        <v>AR: YRT Mortality Risk Only</v>
      </c>
      <c r="R1055" s="366"/>
      <c r="S1055" s="391" t="s">
        <v>29</v>
      </c>
    </row>
    <row r="1056" spans="14:19" ht="11.25" customHeight="1" x14ac:dyDescent="0.35">
      <c r="N1056" s="388" t="s">
        <v>5480</v>
      </c>
      <c r="O1056" s="389" t="s">
        <v>5390</v>
      </c>
      <c r="P1056" s="389" t="str">
        <f t="shared" si="59"/>
        <v>2012Y</v>
      </c>
      <c r="Q1056" s="390" t="str">
        <f>[1]!SNLLabel(287,324684,,"&lt;&gt;369")</f>
        <v>AR: Individual and Group Life</v>
      </c>
      <c r="R1056" s="366"/>
      <c r="S1056" s="391" t="s">
        <v>29</v>
      </c>
    </row>
    <row r="1057" spans="14:19" ht="11.25" customHeight="1" x14ac:dyDescent="0.35">
      <c r="N1057" s="367" t="s">
        <v>5480</v>
      </c>
      <c r="O1057" s="368" t="s">
        <v>5390</v>
      </c>
      <c r="P1057" s="368" t="str">
        <f t="shared" si="59"/>
        <v>2012Y</v>
      </c>
      <c r="Q1057" s="369" t="str">
        <f>[1]!SNLLabel(287,324684,,"&lt;&gt;370")</f>
        <v>AR: Individual and Group Annuities</v>
      </c>
      <c r="R1057" s="370"/>
      <c r="S1057" s="371" t="s">
        <v>29</v>
      </c>
    </row>
    <row r="1058" spans="14:19" ht="11.25" customHeight="1" x14ac:dyDescent="0.35">
      <c r="N1058" s="384" t="s">
        <v>5480</v>
      </c>
      <c r="O1058" s="385" t="s">
        <v>5390</v>
      </c>
      <c r="P1058" s="385" t="str">
        <f t="shared" ref="P1058:P1068" si="60">LEFT(Period,4)-3&amp;"Y"</f>
        <v>2011Y</v>
      </c>
      <c r="Q1058" s="386" t="str">
        <f>[1]!SNLLabel(287,324684,,"&lt;&gt;360")</f>
        <v>AR: Analysis of Operations All Lines</v>
      </c>
      <c r="R1058" s="365"/>
      <c r="S1058" s="387" t="s">
        <v>29</v>
      </c>
    </row>
    <row r="1059" spans="14:19" ht="11.25" customHeight="1" x14ac:dyDescent="0.35">
      <c r="N1059" s="388" t="s">
        <v>5480</v>
      </c>
      <c r="O1059" s="389" t="s">
        <v>5390</v>
      </c>
      <c r="P1059" s="389" t="str">
        <f t="shared" si="60"/>
        <v>2011Y</v>
      </c>
      <c r="Q1059" s="390" t="str">
        <f>[1]!SNLLabel(287,324684,,"&lt;&gt;361")</f>
        <v>AR: Individual Life</v>
      </c>
      <c r="R1059" s="366"/>
      <c r="S1059" s="391" t="s">
        <v>29</v>
      </c>
    </row>
    <row r="1060" spans="14:19" ht="11.25" customHeight="1" x14ac:dyDescent="0.35">
      <c r="N1060" s="388" t="s">
        <v>5480</v>
      </c>
      <c r="O1060" s="389" t="s">
        <v>5390</v>
      </c>
      <c r="P1060" s="389" t="str">
        <f t="shared" si="60"/>
        <v>2011Y</v>
      </c>
      <c r="Q1060" s="390" t="str">
        <f>[1]!SNLLabel(287,324684,,"&lt;&gt;362")</f>
        <v>AR: Group Life</v>
      </c>
      <c r="R1060" s="366"/>
      <c r="S1060" s="391" t="s">
        <v>29</v>
      </c>
    </row>
    <row r="1061" spans="14:19" ht="11.25" customHeight="1" x14ac:dyDescent="0.35">
      <c r="N1061" s="388" t="s">
        <v>5480</v>
      </c>
      <c r="O1061" s="389" t="s">
        <v>5390</v>
      </c>
      <c r="P1061" s="389" t="str">
        <f t="shared" si="60"/>
        <v>2011Y</v>
      </c>
      <c r="Q1061" s="390" t="str">
        <f>[1]!SNLLabel(287,324684,,"&lt;&gt;363")</f>
        <v>AR: Individual Annuities</v>
      </c>
      <c r="R1061" s="366"/>
      <c r="S1061" s="391" t="s">
        <v>29</v>
      </c>
    </row>
    <row r="1062" spans="14:19" ht="11.25" customHeight="1" x14ac:dyDescent="0.35">
      <c r="N1062" s="388" t="s">
        <v>5480</v>
      </c>
      <c r="O1062" s="389" t="s">
        <v>5390</v>
      </c>
      <c r="P1062" s="389" t="str">
        <f t="shared" si="60"/>
        <v>2011Y</v>
      </c>
      <c r="Q1062" s="390" t="str">
        <f>[1]!SNLLabel(287,324684,,"&lt;&gt;364")</f>
        <v>AR: Group Annuities</v>
      </c>
      <c r="R1062" s="366"/>
      <c r="S1062" s="391" t="s">
        <v>29</v>
      </c>
    </row>
    <row r="1063" spans="14:19" ht="11.25" customHeight="1" x14ac:dyDescent="0.35">
      <c r="N1063" s="388" t="s">
        <v>5480</v>
      </c>
      <c r="O1063" s="389" t="s">
        <v>5390</v>
      </c>
      <c r="P1063" s="389" t="str">
        <f t="shared" si="60"/>
        <v>2011Y</v>
      </c>
      <c r="Q1063" s="390" t="str">
        <f>[1]!SNLLabel(287,324684,,"&lt;&gt;365")</f>
        <v>AR: Accident and Health</v>
      </c>
      <c r="R1063" s="366"/>
      <c r="S1063" s="391" t="s">
        <v>29</v>
      </c>
    </row>
    <row r="1064" spans="14:19" ht="11.25" customHeight="1" x14ac:dyDescent="0.35">
      <c r="N1064" s="388" t="s">
        <v>5480</v>
      </c>
      <c r="O1064" s="389" t="s">
        <v>5390</v>
      </c>
      <c r="P1064" s="389" t="str">
        <f t="shared" si="60"/>
        <v>2011Y</v>
      </c>
      <c r="Q1064" s="390" t="str">
        <f>[1]!SNLLabel(287,324684,,"&lt;&gt;366")</f>
        <v>AR: Fraternal</v>
      </c>
      <c r="R1064" s="366"/>
      <c r="S1064" s="391" t="s">
        <v>29</v>
      </c>
    </row>
    <row r="1065" spans="14:19" ht="11.25" customHeight="1" x14ac:dyDescent="0.35">
      <c r="N1065" s="388" t="s">
        <v>5480</v>
      </c>
      <c r="O1065" s="389" t="s">
        <v>5390</v>
      </c>
      <c r="P1065" s="389" t="str">
        <f t="shared" si="60"/>
        <v>2011Y</v>
      </c>
      <c r="Q1065" s="390" t="str">
        <f>[1]!SNLLabel(287,324684,,"&lt;&gt;367")</f>
        <v>AR: Other Lines of Business</v>
      </c>
      <c r="R1065" s="366"/>
      <c r="S1065" s="391" t="s">
        <v>29</v>
      </c>
    </row>
    <row r="1066" spans="14:19" ht="11.25" customHeight="1" x14ac:dyDescent="0.35">
      <c r="N1066" s="388" t="s">
        <v>5480</v>
      </c>
      <c r="O1066" s="389" t="s">
        <v>5390</v>
      </c>
      <c r="P1066" s="389" t="str">
        <f t="shared" si="60"/>
        <v>2011Y</v>
      </c>
      <c r="Q1066" s="390" t="str">
        <f>[1]!SNLLabel(287,324684,,"&lt;&gt;368")</f>
        <v>AR: YRT Mortality Risk Only</v>
      </c>
      <c r="R1066" s="366"/>
      <c r="S1066" s="391" t="s">
        <v>29</v>
      </c>
    </row>
    <row r="1067" spans="14:19" ht="11.25" customHeight="1" x14ac:dyDescent="0.35">
      <c r="N1067" s="388" t="s">
        <v>5480</v>
      </c>
      <c r="O1067" s="389" t="s">
        <v>5390</v>
      </c>
      <c r="P1067" s="389" t="str">
        <f t="shared" si="60"/>
        <v>2011Y</v>
      </c>
      <c r="Q1067" s="390" t="str">
        <f>[1]!SNLLabel(287,324684,,"&lt;&gt;369")</f>
        <v>AR: Individual and Group Life</v>
      </c>
      <c r="R1067" s="366"/>
      <c r="S1067" s="391" t="s">
        <v>29</v>
      </c>
    </row>
    <row r="1068" spans="14:19" ht="11.25" customHeight="1" x14ac:dyDescent="0.35">
      <c r="N1068" s="367" t="s">
        <v>5480</v>
      </c>
      <c r="O1068" s="368" t="s">
        <v>5390</v>
      </c>
      <c r="P1068" s="368" t="str">
        <f t="shared" si="60"/>
        <v>2011Y</v>
      </c>
      <c r="Q1068" s="369" t="str">
        <f>[1]!SNLLabel(287,324684,,"&lt;&gt;370")</f>
        <v>AR: Individual and Group Annuities</v>
      </c>
      <c r="R1068" s="370"/>
      <c r="S1068" s="371" t="s">
        <v>29</v>
      </c>
    </row>
    <row r="1069" spans="14:19" ht="11.25" customHeight="1" x14ac:dyDescent="0.35">
      <c r="N1069" s="384" t="s">
        <v>5480</v>
      </c>
      <c r="O1069" s="385" t="s">
        <v>5390</v>
      </c>
      <c r="P1069" s="385" t="str">
        <f t="shared" ref="P1069:P1079" si="61">LEFT(Period,4)-4&amp;"Y"</f>
        <v>2010Y</v>
      </c>
      <c r="Q1069" s="386" t="str">
        <f>[1]!SNLLabel(287,324684,,"&lt;&gt;360")</f>
        <v>AR: Analysis of Operations All Lines</v>
      </c>
      <c r="R1069" s="365"/>
      <c r="S1069" s="387" t="s">
        <v>29</v>
      </c>
    </row>
    <row r="1070" spans="14:19" ht="11.25" customHeight="1" x14ac:dyDescent="0.35">
      <c r="N1070" s="388" t="s">
        <v>5480</v>
      </c>
      <c r="O1070" s="389" t="s">
        <v>5390</v>
      </c>
      <c r="P1070" s="389" t="str">
        <f t="shared" si="61"/>
        <v>2010Y</v>
      </c>
      <c r="Q1070" s="390" t="str">
        <f>[1]!SNLLabel(287,324684,,"&lt;&gt;361")</f>
        <v>AR: Individual Life</v>
      </c>
      <c r="R1070" s="366"/>
      <c r="S1070" s="391" t="s">
        <v>29</v>
      </c>
    </row>
    <row r="1071" spans="14:19" ht="11.25" customHeight="1" x14ac:dyDescent="0.35">
      <c r="N1071" s="388" t="s">
        <v>5480</v>
      </c>
      <c r="O1071" s="389" t="s">
        <v>5390</v>
      </c>
      <c r="P1071" s="389" t="str">
        <f t="shared" si="61"/>
        <v>2010Y</v>
      </c>
      <c r="Q1071" s="390" t="str">
        <f>[1]!SNLLabel(287,324684,,"&lt;&gt;362")</f>
        <v>AR: Group Life</v>
      </c>
      <c r="R1071" s="366"/>
      <c r="S1071" s="391" t="s">
        <v>29</v>
      </c>
    </row>
    <row r="1072" spans="14:19" ht="11.25" customHeight="1" x14ac:dyDescent="0.35">
      <c r="N1072" s="388" t="s">
        <v>5480</v>
      </c>
      <c r="O1072" s="389" t="s">
        <v>5390</v>
      </c>
      <c r="P1072" s="389" t="str">
        <f t="shared" si="61"/>
        <v>2010Y</v>
      </c>
      <c r="Q1072" s="390" t="str">
        <f>[1]!SNLLabel(287,324684,,"&lt;&gt;363")</f>
        <v>AR: Individual Annuities</v>
      </c>
      <c r="R1072" s="366"/>
      <c r="S1072" s="391" t="s">
        <v>29</v>
      </c>
    </row>
    <row r="1073" spans="14:19" ht="11.25" customHeight="1" x14ac:dyDescent="0.35">
      <c r="N1073" s="388" t="s">
        <v>5480</v>
      </c>
      <c r="O1073" s="389" t="s">
        <v>5390</v>
      </c>
      <c r="P1073" s="389" t="str">
        <f t="shared" si="61"/>
        <v>2010Y</v>
      </c>
      <c r="Q1073" s="390" t="str">
        <f>[1]!SNLLabel(287,324684,,"&lt;&gt;364")</f>
        <v>AR: Group Annuities</v>
      </c>
      <c r="R1073" s="366"/>
      <c r="S1073" s="391" t="s">
        <v>29</v>
      </c>
    </row>
    <row r="1074" spans="14:19" ht="11.25" customHeight="1" x14ac:dyDescent="0.35">
      <c r="N1074" s="388" t="s">
        <v>5480</v>
      </c>
      <c r="O1074" s="389" t="s">
        <v>5390</v>
      </c>
      <c r="P1074" s="389" t="str">
        <f t="shared" si="61"/>
        <v>2010Y</v>
      </c>
      <c r="Q1074" s="390" t="str">
        <f>[1]!SNLLabel(287,324684,,"&lt;&gt;365")</f>
        <v>AR: Accident and Health</v>
      </c>
      <c r="R1074" s="366"/>
      <c r="S1074" s="391" t="s">
        <v>29</v>
      </c>
    </row>
    <row r="1075" spans="14:19" ht="11.25" customHeight="1" x14ac:dyDescent="0.35">
      <c r="N1075" s="388" t="s">
        <v>5480</v>
      </c>
      <c r="O1075" s="389" t="s">
        <v>5390</v>
      </c>
      <c r="P1075" s="389" t="str">
        <f t="shared" si="61"/>
        <v>2010Y</v>
      </c>
      <c r="Q1075" s="390" t="str">
        <f>[1]!SNLLabel(287,324684,,"&lt;&gt;366")</f>
        <v>AR: Fraternal</v>
      </c>
      <c r="R1075" s="366"/>
      <c r="S1075" s="391" t="s">
        <v>29</v>
      </c>
    </row>
    <row r="1076" spans="14:19" ht="11.25" customHeight="1" x14ac:dyDescent="0.35">
      <c r="N1076" s="388" t="s">
        <v>5480</v>
      </c>
      <c r="O1076" s="389" t="s">
        <v>5390</v>
      </c>
      <c r="P1076" s="389" t="str">
        <f t="shared" si="61"/>
        <v>2010Y</v>
      </c>
      <c r="Q1076" s="390" t="str">
        <f>[1]!SNLLabel(287,324684,,"&lt;&gt;367")</f>
        <v>AR: Other Lines of Business</v>
      </c>
      <c r="R1076" s="366"/>
      <c r="S1076" s="391" t="s">
        <v>29</v>
      </c>
    </row>
    <row r="1077" spans="14:19" ht="11.25" customHeight="1" x14ac:dyDescent="0.35">
      <c r="N1077" s="388" t="s">
        <v>5480</v>
      </c>
      <c r="O1077" s="389" t="s">
        <v>5390</v>
      </c>
      <c r="P1077" s="389" t="str">
        <f t="shared" si="61"/>
        <v>2010Y</v>
      </c>
      <c r="Q1077" s="390" t="str">
        <f>[1]!SNLLabel(287,324684,,"&lt;&gt;368")</f>
        <v>AR: YRT Mortality Risk Only</v>
      </c>
      <c r="R1077" s="366"/>
      <c r="S1077" s="391" t="s">
        <v>29</v>
      </c>
    </row>
    <row r="1078" spans="14:19" ht="11.25" customHeight="1" x14ac:dyDescent="0.35">
      <c r="N1078" s="388" t="s">
        <v>5480</v>
      </c>
      <c r="O1078" s="389" t="s">
        <v>5390</v>
      </c>
      <c r="P1078" s="389" t="str">
        <f t="shared" si="61"/>
        <v>2010Y</v>
      </c>
      <c r="Q1078" s="390" t="str">
        <f>[1]!SNLLabel(287,324684,,"&lt;&gt;369")</f>
        <v>AR: Individual and Group Life</v>
      </c>
      <c r="R1078" s="366"/>
      <c r="S1078" s="391" t="s">
        <v>29</v>
      </c>
    </row>
    <row r="1079" spans="14:19" ht="11.25" customHeight="1" x14ac:dyDescent="0.35">
      <c r="N1079" s="367" t="s">
        <v>5480</v>
      </c>
      <c r="O1079" s="368" t="s">
        <v>5390</v>
      </c>
      <c r="P1079" s="368" t="str">
        <f t="shared" si="61"/>
        <v>2010Y</v>
      </c>
      <c r="Q1079" s="369" t="str">
        <f>[1]!SNLLabel(287,324684,,"&lt;&gt;370")</f>
        <v>AR: Individual and Group Annuities</v>
      </c>
      <c r="R1079" s="370"/>
      <c r="S1079" s="371" t="s">
        <v>29</v>
      </c>
    </row>
  </sheetData>
  <mergeCells count="2">
    <mergeCell ref="B5:H5"/>
    <mergeCell ref="I1:J1"/>
  </mergeCells>
  <hyperlinks>
    <hyperlink ref="I1" location="Instructions!A1" display="Instructions" xr:uid="{00000000-0004-0000-0600-000000000000}"/>
    <hyperlink ref="I1:J1" location="Instructions!A1" tooltip="Go back to Instructions tab." display="Instructions" xr:uid="{00000000-0004-0000-0600-000001000000}"/>
  </hyperlinks>
  <pageMargins left="0.5" right="0.5" top="0.5" bottom="0.5" header="0.5" footer="0.5"/>
  <pageSetup scale="80" orientation="portrait" horizontalDpi="90" verticalDpi="90" r:id="rId1"/>
  <headerFooter alignWithMargins="0"/>
  <rowBreaks count="1" manualBreakCount="1">
    <brk id="110"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B1:J114"/>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5357</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[1]!snltable(287,$D$6:$H$6,$C$10:$C$113,$D$7:$H$7,"NA","Options:Curr=USD,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2010Y</v>
      </c>
      <c r="E9" s="251" t="str">
        <f t="shared" ref="E9:G9" si="1">E7</f>
        <v>2011Y</v>
      </c>
      <c r="F9" s="251" t="str">
        <f t="shared" si="1"/>
        <v>2012Y</v>
      </c>
      <c r="G9" s="251" t="str">
        <f t="shared" si="1"/>
        <v>2013Y</v>
      </c>
      <c r="H9" s="251" t="str">
        <f>H7</f>
        <v>2014Y</v>
      </c>
    </row>
    <row r="10" spans="2:10" ht="11.25" customHeight="1" x14ac:dyDescent="0.4">
      <c r="B10" s="246" t="s">
        <v>4945</v>
      </c>
      <c r="C10" s="308">
        <v>202219</v>
      </c>
      <c r="D10" s="309">
        <v>40543</v>
      </c>
      <c r="E10" s="309">
        <v>40908</v>
      </c>
      <c r="F10" s="309">
        <v>41274</v>
      </c>
      <c r="G10" s="309">
        <v>41639</v>
      </c>
      <c r="H10" s="309">
        <v>42004</v>
      </c>
      <c r="I10" s="310"/>
    </row>
    <row r="11" spans="2:10" ht="11.25" customHeight="1" x14ac:dyDescent="0.35">
      <c r="B11" s="244" t="s">
        <v>4946</v>
      </c>
      <c r="C11" s="247"/>
      <c r="D11" s="248"/>
      <c r="E11" s="248"/>
      <c r="F11" s="248"/>
      <c r="G11" s="248"/>
      <c r="H11" s="248"/>
    </row>
    <row r="12" spans="2:10" ht="11.25" customHeight="1" x14ac:dyDescent="0.35">
      <c r="B12" s="244" t="s">
        <v>4962</v>
      </c>
      <c r="C12" s="245">
        <v>123241</v>
      </c>
      <c r="D12" s="279">
        <v>164137870.45031202</v>
      </c>
      <c r="E12" s="279">
        <v>167322080.87812001</v>
      </c>
      <c r="F12" s="279">
        <v>166522937.91613001</v>
      </c>
      <c r="G12" s="279">
        <v>167085527.53747001</v>
      </c>
      <c r="H12" s="279">
        <v>171733049.15720999</v>
      </c>
    </row>
    <row r="13" spans="2:10" ht="11.25" customHeight="1" x14ac:dyDescent="0.35">
      <c r="B13" s="244" t="s">
        <v>5225</v>
      </c>
      <c r="C13" s="245">
        <v>123242</v>
      </c>
      <c r="D13" s="279">
        <v>-16015455.677000001</v>
      </c>
      <c r="E13" s="279">
        <v>-8534931.6070000008</v>
      </c>
      <c r="F13" s="279">
        <v>-9447731.0309999995</v>
      </c>
      <c r="G13" s="279">
        <v>-12026145.003</v>
      </c>
      <c r="H13" s="279">
        <v>-1306441.395</v>
      </c>
    </row>
    <row r="14" spans="2:10" ht="11.25" customHeight="1" x14ac:dyDescent="0.35">
      <c r="B14" s="244" t="s">
        <v>5224</v>
      </c>
      <c r="C14" s="245">
        <v>123243</v>
      </c>
      <c r="D14" s="279">
        <v>-16072269.160621099</v>
      </c>
      <c r="E14" s="279">
        <v>16968617.2831822</v>
      </c>
      <c r="F14" s="279">
        <v>444104.30769464001</v>
      </c>
      <c r="G14" s="279">
        <v>-4043933.0153166899</v>
      </c>
      <c r="H14" s="279">
        <v>18979268.046347</v>
      </c>
    </row>
    <row r="15" spans="2:10" ht="11.25" customHeight="1" x14ac:dyDescent="0.35">
      <c r="B15" s="244" t="s">
        <v>4946</v>
      </c>
      <c r="C15" s="247"/>
      <c r="D15" s="248"/>
      <c r="E15" s="248"/>
      <c r="F15" s="248"/>
      <c r="G15" s="248"/>
      <c r="H15" s="248"/>
    </row>
    <row r="16" spans="2:10" ht="11.25" customHeight="1" x14ac:dyDescent="0.35">
      <c r="B16" s="246" t="s">
        <v>5223</v>
      </c>
      <c r="C16" s="247"/>
      <c r="D16" s="248"/>
      <c r="E16" s="248"/>
      <c r="F16" s="248"/>
      <c r="G16" s="248"/>
      <c r="H16" s="248"/>
    </row>
    <row r="17" spans="2:8" ht="11.25" customHeight="1" x14ac:dyDescent="0.35">
      <c r="B17" s="244" t="s">
        <v>5052</v>
      </c>
      <c r="C17" s="245">
        <v>123244</v>
      </c>
      <c r="D17" s="279">
        <v>3196195125.4608703</v>
      </c>
      <c r="E17" s="279">
        <v>3360535194.0314598</v>
      </c>
      <c r="F17" s="279">
        <v>3403292657.0011301</v>
      </c>
      <c r="G17" s="279">
        <v>3482338468.0696602</v>
      </c>
      <c r="H17" s="279">
        <v>3631569036.5766702</v>
      </c>
    </row>
    <row r="18" spans="2:8" ht="11.25" customHeight="1" x14ac:dyDescent="0.35">
      <c r="B18" s="244" t="s">
        <v>5222</v>
      </c>
      <c r="C18" s="245">
        <v>124436</v>
      </c>
      <c r="D18" s="279">
        <v>108481173.92920101</v>
      </c>
      <c r="E18" s="279">
        <v>118039218.606066</v>
      </c>
      <c r="F18" s="279">
        <v>128580627.950756</v>
      </c>
      <c r="G18" s="279">
        <v>144347273.40793899</v>
      </c>
      <c r="H18" s="279">
        <v>155215057.23957503</v>
      </c>
    </row>
    <row r="19" spans="2:8" ht="11.25" customHeight="1" x14ac:dyDescent="0.35">
      <c r="B19" s="244" t="s">
        <v>4946</v>
      </c>
      <c r="C19" s="247"/>
      <c r="D19" s="248"/>
      <c r="E19" s="248"/>
      <c r="F19" s="248"/>
      <c r="G19" s="248"/>
      <c r="H19" s="248"/>
    </row>
    <row r="20" spans="2:8" ht="11.25" customHeight="1" x14ac:dyDescent="0.35">
      <c r="B20" s="244" t="s">
        <v>5004</v>
      </c>
      <c r="C20" s="245">
        <v>123245</v>
      </c>
      <c r="D20" s="278">
        <v>77.753604100000004</v>
      </c>
      <c r="E20" s="278">
        <v>77.395828199999997</v>
      </c>
      <c r="F20" s="278">
        <v>76.902858300000005</v>
      </c>
      <c r="G20" s="278">
        <v>76.874059900000006</v>
      </c>
      <c r="H20" s="278">
        <v>76.217066700000004</v>
      </c>
    </row>
    <row r="21" spans="2:8" ht="11.25" customHeight="1" x14ac:dyDescent="0.35">
      <c r="B21" s="244" t="s">
        <v>5005</v>
      </c>
      <c r="C21" s="245">
        <v>123246</v>
      </c>
      <c r="D21" s="278">
        <v>0.26212930000000001</v>
      </c>
      <c r="E21" s="278">
        <v>0.2174595</v>
      </c>
      <c r="F21" s="278">
        <v>0.2063141</v>
      </c>
      <c r="G21" s="278">
        <v>0.21776519999999999</v>
      </c>
      <c r="H21" s="278">
        <v>0.2461515</v>
      </c>
    </row>
    <row r="22" spans="2:8" ht="11.25" customHeight="1" x14ac:dyDescent="0.35">
      <c r="B22" s="244" t="s">
        <v>5006</v>
      </c>
      <c r="C22" s="245">
        <v>123247</v>
      </c>
      <c r="D22" s="278">
        <v>0.93982770000000004</v>
      </c>
      <c r="E22" s="278">
        <v>0.8816792</v>
      </c>
      <c r="F22" s="278">
        <v>0.85236970000000001</v>
      </c>
      <c r="G22" s="278">
        <v>0.94568070000000004</v>
      </c>
      <c r="H22" s="278">
        <v>0.99229429999999996</v>
      </c>
    </row>
    <row r="23" spans="2:8" ht="11.25" customHeight="1" x14ac:dyDescent="0.35">
      <c r="B23" s="244" t="s">
        <v>5221</v>
      </c>
      <c r="C23" s="245">
        <v>123248</v>
      </c>
      <c r="D23" s="278">
        <v>9.8453847999999997</v>
      </c>
      <c r="E23" s="278">
        <v>9.8699127000000004</v>
      </c>
      <c r="F23" s="278">
        <v>10.1457792</v>
      </c>
      <c r="G23" s="278">
        <v>10.5048146</v>
      </c>
      <c r="H23" s="278">
        <v>10.6586376</v>
      </c>
    </row>
    <row r="24" spans="2:8" ht="11.25" customHeight="1" x14ac:dyDescent="0.35">
      <c r="B24" s="244" t="s">
        <v>5220</v>
      </c>
      <c r="C24" s="245">
        <v>123249</v>
      </c>
      <c r="D24" s="278">
        <v>0.63658360000000003</v>
      </c>
      <c r="E24" s="278">
        <v>0.63480700000000001</v>
      </c>
      <c r="F24" s="278">
        <v>0.65317899999999995</v>
      </c>
      <c r="G24" s="278">
        <v>0.66999310000000001</v>
      </c>
      <c r="H24" s="278">
        <v>0.62998069999999995</v>
      </c>
    </row>
    <row r="25" spans="2:8" ht="11.25" customHeight="1" x14ac:dyDescent="0.35">
      <c r="B25" s="244" t="s">
        <v>5219</v>
      </c>
      <c r="C25" s="245">
        <v>123250</v>
      </c>
      <c r="D25" s="278">
        <v>3.9955938999999998</v>
      </c>
      <c r="E25" s="278">
        <v>3.8820171000000001</v>
      </c>
      <c r="F25" s="278">
        <v>3.8911254</v>
      </c>
      <c r="G25" s="278">
        <v>3.8459729999999999</v>
      </c>
      <c r="H25" s="278">
        <v>3.7416239999999998</v>
      </c>
    </row>
    <row r="26" spans="2:8" ht="11.25" customHeight="1" x14ac:dyDescent="0.35">
      <c r="B26" s="244" t="s">
        <v>5218</v>
      </c>
      <c r="C26" s="245">
        <v>123251</v>
      </c>
      <c r="D26" s="278">
        <v>2.9864278</v>
      </c>
      <c r="E26" s="278">
        <v>2.8562848000000001</v>
      </c>
      <c r="F26" s="278">
        <v>3.1675648999999999</v>
      </c>
      <c r="G26" s="278">
        <v>2.7056333000000001</v>
      </c>
      <c r="H26" s="278">
        <v>2.7561008999999999</v>
      </c>
    </row>
    <row r="27" spans="2:8" ht="11.25" customHeight="1" x14ac:dyDescent="0.35">
      <c r="B27" s="244" t="s">
        <v>5217</v>
      </c>
      <c r="C27" s="245">
        <v>123252</v>
      </c>
      <c r="D27" s="278">
        <v>3.4282240000000002</v>
      </c>
      <c r="E27" s="278">
        <v>4.1481276999999999</v>
      </c>
      <c r="F27" s="278">
        <v>4.1792891000000001</v>
      </c>
      <c r="G27" s="278">
        <v>4.2360974000000002</v>
      </c>
      <c r="H27" s="278">
        <v>4.7577138999999997</v>
      </c>
    </row>
    <row r="28" spans="2:8" ht="11.25" customHeight="1" x14ac:dyDescent="0.35">
      <c r="B28" s="244" t="s">
        <v>4946</v>
      </c>
      <c r="C28" s="247"/>
      <c r="D28" s="248"/>
      <c r="E28" s="248"/>
      <c r="F28" s="248"/>
      <c r="G28" s="248"/>
      <c r="H28" s="248"/>
    </row>
    <row r="29" spans="2:8" ht="11.25" customHeight="1" x14ac:dyDescent="0.35">
      <c r="B29" s="246" t="s">
        <v>5216</v>
      </c>
      <c r="C29" s="247"/>
      <c r="D29" s="248"/>
      <c r="E29" s="248"/>
      <c r="F29" s="248"/>
      <c r="G29" s="248"/>
      <c r="H29" s="248"/>
    </row>
    <row r="30" spans="2:8" ht="11.25" customHeight="1" x14ac:dyDescent="0.35">
      <c r="B30" s="244" t="s">
        <v>5003</v>
      </c>
      <c r="C30" s="245">
        <v>123253</v>
      </c>
      <c r="D30" s="278">
        <v>5.2372886000000003</v>
      </c>
      <c r="E30" s="278">
        <v>5.1038268000000002</v>
      </c>
      <c r="F30" s="278">
        <v>4.9239259999999998</v>
      </c>
      <c r="G30" s="278">
        <v>4.8531652000000003</v>
      </c>
      <c r="H30" s="278">
        <v>4.8280934000000002</v>
      </c>
    </row>
    <row r="31" spans="2:8" ht="11.25" customHeight="1" x14ac:dyDescent="0.35">
      <c r="B31" s="244" t="s">
        <v>4946</v>
      </c>
      <c r="C31" s="247"/>
      <c r="D31" s="278"/>
      <c r="E31" s="278"/>
      <c r="F31" s="278"/>
      <c r="G31" s="278"/>
      <c r="H31" s="278"/>
    </row>
    <row r="32" spans="2:8" ht="11.25" customHeight="1" x14ac:dyDescent="0.35">
      <c r="B32" s="244" t="s">
        <v>5008</v>
      </c>
      <c r="C32" s="245">
        <v>123254</v>
      </c>
      <c r="D32" s="278">
        <v>5.6374874000000004</v>
      </c>
      <c r="E32" s="278">
        <v>5.4114956000000003</v>
      </c>
      <c r="F32" s="278">
        <v>5.1967903</v>
      </c>
      <c r="G32" s="278">
        <v>5.0015185000000004</v>
      </c>
      <c r="H32" s="278">
        <v>4.8960768000000003</v>
      </c>
    </row>
    <row r="33" spans="2:8" ht="11.25" customHeight="1" x14ac:dyDescent="0.35">
      <c r="B33" s="244" t="s">
        <v>5215</v>
      </c>
      <c r="C33" s="245">
        <v>123255</v>
      </c>
      <c r="D33" s="278">
        <v>5.4397022000000002</v>
      </c>
      <c r="E33" s="278">
        <v>6.2815205000000001</v>
      </c>
      <c r="F33" s="278">
        <v>6.2371927999999999</v>
      </c>
      <c r="G33" s="278">
        <v>6.5364614000000003</v>
      </c>
      <c r="H33" s="278">
        <v>6.1747703999999999</v>
      </c>
    </row>
    <row r="34" spans="2:8" ht="11.25" customHeight="1" x14ac:dyDescent="0.35">
      <c r="B34" s="244" t="s">
        <v>5214</v>
      </c>
      <c r="C34" s="245">
        <v>123256</v>
      </c>
      <c r="D34" s="278">
        <v>2.3715291000000001</v>
      </c>
      <c r="E34" s="278">
        <v>2.6402546999999998</v>
      </c>
      <c r="F34" s="278">
        <v>2.9101938999999999</v>
      </c>
      <c r="G34" s="278">
        <v>2.8952391</v>
      </c>
      <c r="H34" s="278">
        <v>2.9025810999999999</v>
      </c>
    </row>
    <row r="35" spans="2:8" ht="11.25" customHeight="1" x14ac:dyDescent="0.35">
      <c r="B35" s="244" t="s">
        <v>5213</v>
      </c>
      <c r="C35" s="245">
        <v>123257</v>
      </c>
      <c r="D35" s="278">
        <v>6.0429849000000004</v>
      </c>
      <c r="E35" s="278">
        <v>5.9795090999999996</v>
      </c>
      <c r="F35" s="278">
        <v>5.9372655999999999</v>
      </c>
      <c r="G35" s="278">
        <v>5.6350254</v>
      </c>
      <c r="H35" s="278">
        <v>5.389087</v>
      </c>
    </row>
    <row r="36" spans="2:8" ht="11.25" customHeight="1" x14ac:dyDescent="0.35">
      <c r="B36" s="244" t="s">
        <v>5212</v>
      </c>
      <c r="C36" s="245">
        <v>123258</v>
      </c>
      <c r="D36" s="278">
        <v>15.0358251</v>
      </c>
      <c r="E36" s="278">
        <v>14.935576599999999</v>
      </c>
      <c r="F36" s="278">
        <v>14.674882</v>
      </c>
      <c r="G36" s="278">
        <v>14.417976400000001</v>
      </c>
      <c r="H36" s="278">
        <v>14.3925172</v>
      </c>
    </row>
    <row r="37" spans="2:8" ht="11.25" customHeight="1" x14ac:dyDescent="0.35">
      <c r="B37" s="244" t="s">
        <v>5211</v>
      </c>
      <c r="C37" s="245">
        <v>123259</v>
      </c>
      <c r="D37" s="278">
        <v>6.4302897000000003</v>
      </c>
      <c r="E37" s="278">
        <v>6.2644028</v>
      </c>
      <c r="F37" s="278">
        <v>6.0838789999999996</v>
      </c>
      <c r="G37" s="278">
        <v>6.0179568999999997</v>
      </c>
      <c r="H37" s="278">
        <v>6.0071503000000002</v>
      </c>
    </row>
    <row r="38" spans="2:8" ht="11.25" customHeight="1" x14ac:dyDescent="0.35">
      <c r="B38" s="244" t="s">
        <v>5210</v>
      </c>
      <c r="C38" s="245">
        <v>123260</v>
      </c>
      <c r="D38" s="278">
        <v>0.3092531</v>
      </c>
      <c r="E38" s="278">
        <v>0.27202920000000003</v>
      </c>
      <c r="F38" s="278">
        <v>0.38037189999999999</v>
      </c>
      <c r="G38" s="278">
        <v>0.46507730000000003</v>
      </c>
      <c r="H38" s="278">
        <v>0.4881086</v>
      </c>
    </row>
    <row r="39" spans="2:8" ht="11.25" customHeight="1" x14ac:dyDescent="0.35">
      <c r="B39" s="244" t="s">
        <v>5209</v>
      </c>
      <c r="C39" s="245">
        <v>123261</v>
      </c>
      <c r="D39" s="278">
        <v>5.8330738000000002</v>
      </c>
      <c r="E39" s="278">
        <v>5.6808161000000004</v>
      </c>
      <c r="F39" s="278">
        <v>5.5566272999999997</v>
      </c>
      <c r="G39" s="278">
        <v>7.4778725000000001</v>
      </c>
      <c r="H39" s="278">
        <v>8.2639645000000002</v>
      </c>
    </row>
    <row r="40" spans="2:8" ht="11.25" customHeight="1" x14ac:dyDescent="0.35">
      <c r="B40" s="244" t="s">
        <v>4946</v>
      </c>
      <c r="C40" s="247"/>
      <c r="D40" s="248"/>
      <c r="E40" s="248"/>
      <c r="F40" s="248"/>
      <c r="G40" s="248"/>
      <c r="H40" s="248"/>
    </row>
    <row r="41" spans="2:8" ht="11.25" customHeight="1" x14ac:dyDescent="0.35">
      <c r="B41" s="246" t="s">
        <v>5208</v>
      </c>
      <c r="C41" s="247"/>
      <c r="D41" s="248"/>
      <c r="E41" s="248"/>
      <c r="F41" s="248"/>
      <c r="G41" s="248"/>
      <c r="H41" s="248"/>
    </row>
    <row r="42" spans="2:8" ht="11.25" customHeight="1" x14ac:dyDescent="0.35">
      <c r="B42" s="244" t="s">
        <v>5481</v>
      </c>
      <c r="C42" s="245">
        <v>123262</v>
      </c>
      <c r="D42" s="279">
        <v>2511161361.4729705</v>
      </c>
      <c r="E42" s="279">
        <v>2612317643.4907999</v>
      </c>
      <c r="F42" s="279">
        <v>2630587221.71666</v>
      </c>
      <c r="G42" s="279">
        <v>2675352180.68432</v>
      </c>
      <c r="H42" s="279">
        <v>2761095373.4368601</v>
      </c>
    </row>
    <row r="43" spans="2:8" ht="11.25" customHeight="1" x14ac:dyDescent="0.35">
      <c r="B43" s="244" t="s">
        <v>4946</v>
      </c>
      <c r="C43" s="247"/>
      <c r="D43" s="248"/>
      <c r="E43" s="248"/>
      <c r="F43" s="248"/>
      <c r="G43" s="248"/>
      <c r="H43" s="248"/>
    </row>
    <row r="44" spans="2:8" ht="11.25" customHeight="1" x14ac:dyDescent="0.35">
      <c r="B44" s="244" t="s">
        <v>5207</v>
      </c>
      <c r="C44" s="245">
        <v>123263</v>
      </c>
      <c r="D44" s="278">
        <v>8.3085836999999998</v>
      </c>
      <c r="E44" s="278">
        <v>8.9800409999999999</v>
      </c>
      <c r="F44" s="278">
        <v>8.4071187999999992</v>
      </c>
      <c r="G44" s="278">
        <v>7.910914</v>
      </c>
      <c r="H44" s="278">
        <v>7.8627934000000002</v>
      </c>
    </row>
    <row r="45" spans="2:8" ht="11.25" customHeight="1" x14ac:dyDescent="0.35">
      <c r="B45" s="244" t="s">
        <v>5206</v>
      </c>
      <c r="C45" s="245">
        <v>123264</v>
      </c>
      <c r="D45" s="278">
        <v>2.9649399000000001</v>
      </c>
      <c r="E45" s="278">
        <v>3.7847414000000001</v>
      </c>
      <c r="F45" s="278">
        <v>3.2330019000000001</v>
      </c>
      <c r="G45" s="278">
        <v>3.1017380999999999</v>
      </c>
      <c r="H45" s="278">
        <v>2.8585155000000002</v>
      </c>
    </row>
    <row r="46" spans="2:8" ht="11.25" customHeight="1" x14ac:dyDescent="0.35">
      <c r="B46" s="244" t="s">
        <v>5205</v>
      </c>
      <c r="C46" s="245">
        <v>123265</v>
      </c>
      <c r="D46" s="278">
        <v>0.724549</v>
      </c>
      <c r="E46" s="278">
        <v>0.71118159999999997</v>
      </c>
      <c r="F46" s="278">
        <v>0.72919920000000005</v>
      </c>
      <c r="G46" s="278">
        <v>0.74732659999999995</v>
      </c>
      <c r="H46" s="278">
        <v>0.73339399999999999</v>
      </c>
    </row>
    <row r="47" spans="2:8" ht="11.25" customHeight="1" x14ac:dyDescent="0.35">
      <c r="B47" s="244" t="s">
        <v>5204</v>
      </c>
      <c r="C47" s="245">
        <v>123266</v>
      </c>
      <c r="D47" s="278">
        <v>0.80212989999999995</v>
      </c>
      <c r="E47" s="278">
        <v>0.81562509999999999</v>
      </c>
      <c r="F47" s="278">
        <v>0.81581599999999999</v>
      </c>
      <c r="G47" s="278">
        <v>0.9028043</v>
      </c>
      <c r="H47" s="278">
        <v>0.9076959</v>
      </c>
    </row>
    <row r="48" spans="2:8" ht="11.25" customHeight="1" x14ac:dyDescent="0.35">
      <c r="B48" s="244" t="s">
        <v>5203</v>
      </c>
      <c r="C48" s="245">
        <v>123267</v>
      </c>
      <c r="D48" s="278">
        <v>11.933194800000001</v>
      </c>
      <c r="E48" s="278">
        <v>11.2376776</v>
      </c>
      <c r="F48" s="278">
        <v>11.4950197</v>
      </c>
      <c r="G48" s="278">
        <v>11.249062</v>
      </c>
      <c r="H48" s="278">
        <v>11.0631991</v>
      </c>
    </row>
    <row r="49" spans="2:8" ht="11.25" customHeight="1" x14ac:dyDescent="0.35">
      <c r="B49" s="244" t="s">
        <v>5202</v>
      </c>
      <c r="C49" s="245">
        <v>123268</v>
      </c>
      <c r="D49" s="278" t="s">
        <v>29</v>
      </c>
      <c r="E49" s="278" t="s">
        <v>29</v>
      </c>
      <c r="F49" s="278" t="s">
        <v>29</v>
      </c>
      <c r="G49" s="278" t="s">
        <v>29</v>
      </c>
      <c r="H49" s="278" t="s">
        <v>29</v>
      </c>
    </row>
    <row r="50" spans="2:8" ht="11.25" customHeight="1" x14ac:dyDescent="0.35">
      <c r="B50" s="244" t="s">
        <v>5201</v>
      </c>
      <c r="C50" s="245">
        <v>123269</v>
      </c>
      <c r="D50" s="278">
        <v>72.224738000000002</v>
      </c>
      <c r="E50" s="278">
        <v>72.289899000000005</v>
      </c>
      <c r="F50" s="278">
        <v>73.334209400000006</v>
      </c>
      <c r="G50" s="278">
        <v>73.958428499999997</v>
      </c>
      <c r="H50" s="278">
        <v>74.5669209</v>
      </c>
    </row>
    <row r="51" spans="2:8" ht="11.25" customHeight="1" x14ac:dyDescent="0.35">
      <c r="B51" s="244" t="s">
        <v>5200</v>
      </c>
      <c r="C51" s="245">
        <v>267838</v>
      </c>
      <c r="D51" s="278">
        <v>1.8180932999999999</v>
      </c>
      <c r="E51" s="278">
        <v>1.4396815000000001</v>
      </c>
      <c r="F51" s="278">
        <v>1.1124695</v>
      </c>
      <c r="G51" s="278">
        <v>0.88212369999999996</v>
      </c>
      <c r="H51" s="278">
        <v>0.8156118</v>
      </c>
    </row>
    <row r="52" spans="2:8" ht="11.25" customHeight="1" x14ac:dyDescent="0.35">
      <c r="B52" s="244" t="s">
        <v>5199</v>
      </c>
      <c r="C52" s="245">
        <v>123270</v>
      </c>
      <c r="D52" s="278">
        <v>0.49455929999999998</v>
      </c>
      <c r="E52" s="278" t="s">
        <v>29</v>
      </c>
      <c r="F52" s="278" t="s">
        <v>29</v>
      </c>
      <c r="G52" s="278" t="s">
        <v>29</v>
      </c>
      <c r="H52" s="278" t="s">
        <v>29</v>
      </c>
    </row>
    <row r="53" spans="2:8" ht="11.25" customHeight="1" x14ac:dyDescent="0.35">
      <c r="B53" s="244" t="s">
        <v>5198</v>
      </c>
      <c r="C53" s="245">
        <v>123271</v>
      </c>
      <c r="D53" s="278">
        <v>0.72921190000000002</v>
      </c>
      <c r="E53" s="278">
        <v>0.74115279999999994</v>
      </c>
      <c r="F53" s="278">
        <v>0.87316550000000004</v>
      </c>
      <c r="G53" s="278">
        <v>1.2476027999999999</v>
      </c>
      <c r="H53" s="278">
        <v>1.1918694999999999</v>
      </c>
    </row>
    <row r="54" spans="2:8" ht="11.25" customHeight="1" x14ac:dyDescent="0.35">
      <c r="B54" s="244" t="s">
        <v>5197</v>
      </c>
      <c r="C54" s="245">
        <v>267839</v>
      </c>
      <c r="D54" s="278" t="s">
        <v>29</v>
      </c>
      <c r="E54" s="278" t="s">
        <v>29</v>
      </c>
      <c r="F54" s="278" t="s">
        <v>29</v>
      </c>
      <c r="G54" s="278" t="s">
        <v>29</v>
      </c>
      <c r="H54" s="278" t="s">
        <v>29</v>
      </c>
    </row>
    <row r="55" spans="2:8" ht="11.25" customHeight="1" x14ac:dyDescent="0.35">
      <c r="B55" s="244" t="s">
        <v>5196</v>
      </c>
      <c r="C55" s="245">
        <v>318658</v>
      </c>
      <c r="D55" s="278" t="s">
        <v>29</v>
      </c>
      <c r="E55" s="278" t="s">
        <v>29</v>
      </c>
      <c r="F55" s="278" t="s">
        <v>29</v>
      </c>
      <c r="G55" s="278" t="s">
        <v>29</v>
      </c>
      <c r="H55" s="278" t="s">
        <v>29</v>
      </c>
    </row>
    <row r="56" spans="2:8" ht="11.25" customHeight="1" x14ac:dyDescent="0.35">
      <c r="B56" s="244" t="s">
        <v>4946</v>
      </c>
      <c r="C56" s="247"/>
      <c r="D56" s="278"/>
      <c r="E56" s="278"/>
      <c r="F56" s="278"/>
      <c r="G56" s="278"/>
      <c r="H56" s="278"/>
    </row>
    <row r="57" spans="2:8" ht="11.25" customHeight="1" x14ac:dyDescent="0.35">
      <c r="B57" s="244" t="s">
        <v>5195</v>
      </c>
      <c r="C57" s="245">
        <v>123272</v>
      </c>
      <c r="D57" s="278">
        <v>25.673092100000002</v>
      </c>
      <c r="E57" s="278">
        <v>25.942529199999999</v>
      </c>
      <c r="F57" s="278">
        <v>27.591172499999999</v>
      </c>
      <c r="G57" s="278">
        <v>27.1960841</v>
      </c>
      <c r="H57" s="278">
        <v>28.141917100000001</v>
      </c>
    </row>
    <row r="58" spans="2:8" ht="11.25" customHeight="1" x14ac:dyDescent="0.35">
      <c r="B58" s="244" t="s">
        <v>5194</v>
      </c>
      <c r="C58" s="245">
        <v>123273</v>
      </c>
      <c r="D58" s="278">
        <v>210.38810409999999</v>
      </c>
      <c r="E58" s="278">
        <v>218.35058900000001</v>
      </c>
      <c r="F58" s="278">
        <v>222.199883</v>
      </c>
      <c r="G58" s="278">
        <v>219.16577000000001</v>
      </c>
      <c r="H58" s="278">
        <v>219.51810900000001</v>
      </c>
    </row>
    <row r="59" spans="2:8" ht="11.25" customHeight="1" x14ac:dyDescent="0.35">
      <c r="B59" s="244" t="s">
        <v>4946</v>
      </c>
      <c r="C59" s="247"/>
      <c r="D59" s="248"/>
      <c r="E59" s="248"/>
      <c r="F59" s="248"/>
      <c r="G59" s="248"/>
      <c r="H59" s="248"/>
    </row>
    <row r="60" spans="2:8" ht="11.25" customHeight="1" x14ac:dyDescent="0.35">
      <c r="B60" s="246" t="s">
        <v>5193</v>
      </c>
      <c r="C60" s="247"/>
      <c r="D60" s="248"/>
      <c r="E60" s="248"/>
      <c r="F60" s="248"/>
      <c r="G60" s="248"/>
      <c r="H60" s="248"/>
    </row>
    <row r="61" spans="2:8" ht="11.25" customHeight="1" x14ac:dyDescent="0.35">
      <c r="B61" s="244" t="s">
        <v>5192</v>
      </c>
      <c r="C61" s="245">
        <v>123274</v>
      </c>
      <c r="D61" s="278">
        <v>1.0000557000000001</v>
      </c>
      <c r="E61" s="278">
        <v>1.0000815999999999</v>
      </c>
      <c r="F61" s="278">
        <v>1.0000481000000001</v>
      </c>
      <c r="G61" s="278">
        <v>1.0001637999999999</v>
      </c>
      <c r="H61" s="278">
        <v>1.0000640000000001</v>
      </c>
    </row>
    <row r="62" spans="2:8" ht="11.25" customHeight="1" x14ac:dyDescent="0.35">
      <c r="B62" s="244" t="s">
        <v>5191</v>
      </c>
      <c r="C62" s="245">
        <v>123275</v>
      </c>
      <c r="D62" s="278">
        <v>1.2229728</v>
      </c>
      <c r="E62" s="278">
        <v>1.1748532</v>
      </c>
      <c r="F62" s="278">
        <v>1.2065561</v>
      </c>
      <c r="G62" s="278">
        <v>1.2158717000000001</v>
      </c>
      <c r="H62" s="278">
        <v>1.2468208000000001</v>
      </c>
    </row>
    <row r="63" spans="2:8" ht="11.25" customHeight="1" x14ac:dyDescent="0.35">
      <c r="B63" s="244" t="s">
        <v>5190</v>
      </c>
      <c r="C63" s="245">
        <v>123276</v>
      </c>
      <c r="D63" s="278">
        <v>1.0360746000000001</v>
      </c>
      <c r="E63" s="278">
        <v>1.0176486</v>
      </c>
      <c r="F63" s="278">
        <v>1.0177262</v>
      </c>
      <c r="G63" s="278">
        <v>1.0180438999999999</v>
      </c>
      <c r="H63" s="278">
        <v>1.0314943999999999</v>
      </c>
    </row>
    <row r="64" spans="2:8" ht="11.25" customHeight="1" x14ac:dyDescent="0.35">
      <c r="B64" s="244" t="s">
        <v>5189</v>
      </c>
      <c r="C64" s="245">
        <v>123277</v>
      </c>
      <c r="D64" s="278">
        <v>1.0333220999999999</v>
      </c>
      <c r="E64" s="278">
        <v>1.0275801</v>
      </c>
      <c r="F64" s="278">
        <v>1.0254843</v>
      </c>
      <c r="G64" s="278">
        <v>1.0210695999999999</v>
      </c>
      <c r="H64" s="278">
        <v>1.0203259</v>
      </c>
    </row>
    <row r="65" spans="2:8" ht="11.25" customHeight="1" x14ac:dyDescent="0.35">
      <c r="B65" s="244" t="s">
        <v>5188</v>
      </c>
      <c r="C65" s="245">
        <v>123278</v>
      </c>
      <c r="D65" s="278">
        <v>1.0207116000000001</v>
      </c>
      <c r="E65" s="278">
        <v>1.0241471</v>
      </c>
      <c r="F65" s="278">
        <v>1.0221188000000001</v>
      </c>
      <c r="G65" s="278">
        <v>1.0215204</v>
      </c>
      <c r="H65" s="278">
        <v>1.0184542000000001</v>
      </c>
    </row>
    <row r="66" spans="2:8" ht="11.25" customHeight="1" x14ac:dyDescent="0.35">
      <c r="B66" s="244" t="s">
        <v>5187</v>
      </c>
      <c r="C66" s="245">
        <v>123279</v>
      </c>
      <c r="D66" s="278" t="s">
        <v>29</v>
      </c>
      <c r="E66" s="278" t="s">
        <v>29</v>
      </c>
      <c r="F66" s="278" t="s">
        <v>29</v>
      </c>
      <c r="G66" s="278" t="s">
        <v>29</v>
      </c>
      <c r="H66" s="278" t="s">
        <v>29</v>
      </c>
    </row>
    <row r="67" spans="2:8" ht="11.25" customHeight="1" x14ac:dyDescent="0.35">
      <c r="B67" s="244" t="s">
        <v>5186</v>
      </c>
      <c r="C67" s="245">
        <v>123280</v>
      </c>
      <c r="D67" s="278">
        <v>1.5870814</v>
      </c>
      <c r="E67" s="278">
        <v>1.5883389999999999</v>
      </c>
      <c r="F67" s="278">
        <v>1.6010521</v>
      </c>
      <c r="G67" s="278">
        <v>1.5924381000000001</v>
      </c>
      <c r="H67" s="278">
        <v>1.5757569</v>
      </c>
    </row>
    <row r="68" spans="2:8" ht="11.25" customHeight="1" x14ac:dyDescent="0.35">
      <c r="B68" s="244" t="s">
        <v>5185</v>
      </c>
      <c r="C68" s="245">
        <v>123281</v>
      </c>
      <c r="D68" s="278">
        <v>1.4307426000000001</v>
      </c>
      <c r="E68" s="278" t="s">
        <v>29</v>
      </c>
      <c r="F68" s="278" t="s">
        <v>29</v>
      </c>
      <c r="G68" s="278" t="s">
        <v>29</v>
      </c>
      <c r="H68" s="278" t="s">
        <v>29</v>
      </c>
    </row>
    <row r="69" spans="2:8" ht="11.25" customHeight="1" x14ac:dyDescent="0.35">
      <c r="B69" s="244" t="s">
        <v>5184</v>
      </c>
      <c r="C69" s="245">
        <v>123282</v>
      </c>
      <c r="D69" s="278">
        <v>1.5738525000000001</v>
      </c>
      <c r="E69" s="278">
        <v>1.5043179</v>
      </c>
      <c r="F69" s="278">
        <v>1.4801073</v>
      </c>
      <c r="G69" s="278">
        <v>1.3684554</v>
      </c>
      <c r="H69" s="278">
        <v>1.3944439</v>
      </c>
    </row>
    <row r="70" spans="2:8" ht="11.25" customHeight="1" x14ac:dyDescent="0.35">
      <c r="B70" s="244" t="s">
        <v>5183</v>
      </c>
      <c r="C70" s="245">
        <v>123283</v>
      </c>
      <c r="D70" s="278">
        <v>1.4532803000000001</v>
      </c>
      <c r="E70" s="278">
        <v>1.4530103000000001</v>
      </c>
      <c r="F70" s="278">
        <v>1.4673242</v>
      </c>
      <c r="G70" s="278">
        <v>1.4620473</v>
      </c>
      <c r="H70" s="278">
        <v>1.4533242</v>
      </c>
    </row>
    <row r="71" spans="2:8" ht="11.25" customHeight="1" x14ac:dyDescent="0.35">
      <c r="B71" s="244" t="s">
        <v>4946</v>
      </c>
      <c r="C71" s="247"/>
      <c r="D71" s="278"/>
      <c r="E71" s="278"/>
      <c r="F71" s="278"/>
      <c r="G71" s="278"/>
      <c r="H71" s="278"/>
    </row>
    <row r="72" spans="2:8" ht="11.25" customHeight="1" x14ac:dyDescent="0.35">
      <c r="B72" s="244" t="s">
        <v>5009</v>
      </c>
      <c r="C72" s="245">
        <v>123284</v>
      </c>
      <c r="D72" s="278">
        <v>6.9497100999999999</v>
      </c>
      <c r="E72" s="278">
        <v>6.6181302000000004</v>
      </c>
      <c r="F72" s="278">
        <v>6.3088541999999999</v>
      </c>
      <c r="G72" s="278">
        <v>5.8495011999999997</v>
      </c>
      <c r="H72" s="278">
        <v>5.9195966000000002</v>
      </c>
    </row>
    <row r="73" spans="2:8" ht="11.25" customHeight="1" x14ac:dyDescent="0.35">
      <c r="B73" s="244" t="s">
        <v>5182</v>
      </c>
      <c r="C73" s="245">
        <v>123285</v>
      </c>
      <c r="D73" s="278">
        <v>56.952093300000001</v>
      </c>
      <c r="E73" s="278">
        <v>55.702842799999999</v>
      </c>
      <c r="F73" s="278">
        <v>50.807071100000002</v>
      </c>
      <c r="G73" s="278">
        <v>47.1395233</v>
      </c>
      <c r="H73" s="278">
        <v>46.175199999999997</v>
      </c>
    </row>
    <row r="74" spans="2:8" ht="11.25" customHeight="1" x14ac:dyDescent="0.35">
      <c r="B74" s="244" t="s">
        <v>4946</v>
      </c>
      <c r="C74" s="247"/>
      <c r="D74" s="278"/>
      <c r="E74" s="278"/>
      <c r="F74" s="278"/>
      <c r="G74" s="278"/>
      <c r="H74" s="278"/>
    </row>
    <row r="75" spans="2:8" ht="11.25" customHeight="1" x14ac:dyDescent="0.35">
      <c r="B75" s="246" t="s">
        <v>5181</v>
      </c>
      <c r="C75" s="247"/>
      <c r="D75" s="278"/>
      <c r="E75" s="278"/>
      <c r="F75" s="278"/>
      <c r="G75" s="278"/>
      <c r="H75" s="278"/>
    </row>
    <row r="76" spans="2:8" ht="11.25" customHeight="1" x14ac:dyDescent="0.35">
      <c r="B76" s="244" t="s">
        <v>5180</v>
      </c>
      <c r="C76" s="245">
        <v>123286</v>
      </c>
      <c r="D76" s="278">
        <v>9.6453547000000004</v>
      </c>
      <c r="E76" s="278">
        <v>9.1892329000000004</v>
      </c>
      <c r="F76" s="278">
        <v>10.390784</v>
      </c>
      <c r="G76" s="278">
        <v>8.5545629999999999</v>
      </c>
      <c r="H76" s="278">
        <v>8.8231529000000002</v>
      </c>
    </row>
    <row r="77" spans="2:8" ht="11.25" customHeight="1" x14ac:dyDescent="0.35">
      <c r="B77" s="244" t="s">
        <v>5179</v>
      </c>
      <c r="C77" s="245">
        <v>123288</v>
      </c>
      <c r="D77" s="278">
        <v>27.996214599999998</v>
      </c>
      <c r="E77" s="278">
        <v>26.961850699999999</v>
      </c>
      <c r="F77" s="278">
        <v>26.255087499999998</v>
      </c>
      <c r="G77" s="278">
        <v>25.272786799999999</v>
      </c>
      <c r="H77" s="278">
        <v>24.209953899999999</v>
      </c>
    </row>
    <row r="78" spans="2:8" ht="11.25" customHeight="1" x14ac:dyDescent="0.35">
      <c r="B78" s="244" t="s">
        <v>5178</v>
      </c>
      <c r="C78" s="245">
        <v>123289</v>
      </c>
      <c r="D78" s="278">
        <v>28.339296600000001</v>
      </c>
      <c r="E78" s="278">
        <v>29.103128000000002</v>
      </c>
      <c r="F78" s="278">
        <v>28.909156800000002</v>
      </c>
      <c r="G78" s="278">
        <v>30.4717992</v>
      </c>
      <c r="H78" s="278">
        <v>30.5632685</v>
      </c>
    </row>
    <row r="79" spans="2:8" ht="11.25" customHeight="1" x14ac:dyDescent="0.35">
      <c r="B79" s="244" t="s">
        <v>5177</v>
      </c>
      <c r="C79" s="245">
        <v>123290</v>
      </c>
      <c r="D79" s="278">
        <v>13.6409295</v>
      </c>
      <c r="E79" s="278">
        <v>14.2978971</v>
      </c>
      <c r="F79" s="278">
        <v>14.2220909</v>
      </c>
      <c r="G79" s="278">
        <v>15.053444799999999</v>
      </c>
      <c r="H79" s="278">
        <v>15.4658748</v>
      </c>
    </row>
    <row r="80" spans="2:8" ht="11.25" customHeight="1" x14ac:dyDescent="0.35">
      <c r="B80" s="244" t="s">
        <v>5176</v>
      </c>
      <c r="C80" s="245">
        <v>123291</v>
      </c>
      <c r="D80" s="278">
        <v>20.3782046</v>
      </c>
      <c r="E80" s="278">
        <v>20.447891299999998</v>
      </c>
      <c r="F80" s="278">
        <v>20.222880799999999</v>
      </c>
      <c r="G80" s="278">
        <v>20.647406100000001</v>
      </c>
      <c r="H80" s="278">
        <v>20.9377499</v>
      </c>
    </row>
    <row r="81" spans="2:8" ht="11.25" customHeight="1" x14ac:dyDescent="0.35">
      <c r="B81" s="244" t="s">
        <v>4946</v>
      </c>
      <c r="C81" s="247"/>
      <c r="D81" s="248"/>
      <c r="E81" s="248"/>
      <c r="F81" s="248"/>
      <c r="G81" s="248"/>
      <c r="H81" s="248"/>
    </row>
    <row r="82" spans="2:8" ht="11.25" customHeight="1" x14ac:dyDescent="0.35">
      <c r="B82" s="246" t="s">
        <v>5175</v>
      </c>
      <c r="C82" s="247"/>
      <c r="D82" s="248"/>
      <c r="E82" s="248"/>
      <c r="F82" s="248"/>
      <c r="G82" s="248"/>
      <c r="H82" s="248"/>
    </row>
    <row r="83" spans="2:8" ht="11.25" customHeight="1" x14ac:dyDescent="0.35">
      <c r="B83" s="244" t="s">
        <v>5482</v>
      </c>
      <c r="C83" s="245">
        <v>123292</v>
      </c>
      <c r="D83" s="279">
        <v>9119667.9340000004</v>
      </c>
      <c r="E83" s="279">
        <v>8083066.5650000004</v>
      </c>
      <c r="F83" s="279">
        <v>7782725.5389999999</v>
      </c>
      <c r="G83" s="279">
        <v>8260513.716</v>
      </c>
      <c r="H83" s="279">
        <v>9140760.2609999999</v>
      </c>
    </row>
    <row r="84" spans="2:8" ht="11.25" customHeight="1" x14ac:dyDescent="0.35">
      <c r="B84" s="244" t="s">
        <v>4946</v>
      </c>
      <c r="C84" s="247"/>
      <c r="D84" s="248"/>
      <c r="E84" s="248"/>
      <c r="F84" s="248"/>
      <c r="G84" s="248"/>
      <c r="H84" s="248"/>
    </row>
    <row r="85" spans="2:8" ht="11.25" customHeight="1" x14ac:dyDescent="0.35">
      <c r="B85" s="244" t="s">
        <v>5174</v>
      </c>
      <c r="C85" s="245">
        <v>123293</v>
      </c>
      <c r="D85" s="278" t="s">
        <v>29</v>
      </c>
      <c r="E85" s="278" t="s">
        <v>29</v>
      </c>
      <c r="F85" s="278" t="s">
        <v>29</v>
      </c>
      <c r="G85" s="278" t="s">
        <v>29</v>
      </c>
      <c r="H85" s="278" t="s">
        <v>29</v>
      </c>
    </row>
    <row r="86" spans="2:8" ht="11.25" customHeight="1" x14ac:dyDescent="0.35">
      <c r="B86" s="244" t="s">
        <v>5173</v>
      </c>
      <c r="C86" s="245">
        <v>123294</v>
      </c>
      <c r="D86" s="278" t="s">
        <v>29</v>
      </c>
      <c r="E86" s="278" t="s">
        <v>29</v>
      </c>
      <c r="F86" s="278" t="s">
        <v>29</v>
      </c>
      <c r="G86" s="278" t="s">
        <v>29</v>
      </c>
      <c r="H86" s="278" t="s">
        <v>29</v>
      </c>
    </row>
    <row r="87" spans="2:8" ht="11.25" customHeight="1" x14ac:dyDescent="0.35">
      <c r="B87" s="244" t="s">
        <v>5172</v>
      </c>
      <c r="C87" s="245">
        <v>123295</v>
      </c>
      <c r="D87" s="278">
        <v>88.497268099999999</v>
      </c>
      <c r="E87" s="278">
        <v>87.353934300000006</v>
      </c>
      <c r="F87" s="278">
        <v>86.909424900000005</v>
      </c>
      <c r="G87" s="278">
        <v>88.111371399999996</v>
      </c>
      <c r="H87" s="278">
        <v>93.736237299999999</v>
      </c>
    </row>
    <row r="88" spans="2:8" ht="11.25" customHeight="1" x14ac:dyDescent="0.35">
      <c r="B88" s="244" t="s">
        <v>5171</v>
      </c>
      <c r="C88" s="245">
        <v>123296</v>
      </c>
      <c r="D88" s="278">
        <v>11.118717500000001</v>
      </c>
      <c r="E88" s="278">
        <v>12.646066299999999</v>
      </c>
      <c r="F88" s="278">
        <v>13.090575299999999</v>
      </c>
      <c r="G88" s="278">
        <v>11.8886289</v>
      </c>
      <c r="H88" s="278">
        <v>6.2637628000000003</v>
      </c>
    </row>
    <row r="89" spans="2:8" ht="11.25" customHeight="1" x14ac:dyDescent="0.35">
      <c r="B89" s="244" t="s">
        <v>4946</v>
      </c>
      <c r="C89" s="247"/>
      <c r="D89" s="248"/>
      <c r="E89" s="248"/>
      <c r="F89" s="248"/>
      <c r="G89" s="248"/>
      <c r="H89" s="248"/>
    </row>
    <row r="90" spans="2:8" ht="11.25" customHeight="1" x14ac:dyDescent="0.35">
      <c r="B90" s="246" t="s">
        <v>5170</v>
      </c>
      <c r="C90" s="247"/>
      <c r="D90" s="248"/>
      <c r="E90" s="248"/>
      <c r="F90" s="248"/>
      <c r="G90" s="248"/>
      <c r="H90" s="248"/>
    </row>
    <row r="91" spans="2:8" ht="11.25" customHeight="1" x14ac:dyDescent="0.35">
      <c r="B91" s="244" t="s">
        <v>5483</v>
      </c>
      <c r="C91" s="245">
        <v>123297</v>
      </c>
      <c r="D91" s="279">
        <v>69834540.977871001</v>
      </c>
      <c r="E91" s="279">
        <v>71505720.391455993</v>
      </c>
      <c r="F91" s="279">
        <v>71491776.119127706</v>
      </c>
      <c r="G91" s="279">
        <v>73978444.613658994</v>
      </c>
      <c r="H91" s="279">
        <v>78547406.507675007</v>
      </c>
    </row>
    <row r="92" spans="2:8" ht="11.25" customHeight="1" x14ac:dyDescent="0.35">
      <c r="B92" s="244" t="s">
        <v>4946</v>
      </c>
      <c r="C92" s="247"/>
      <c r="D92" s="248"/>
      <c r="E92" s="248"/>
      <c r="F92" s="248"/>
      <c r="G92" s="248"/>
      <c r="H92" s="248"/>
    </row>
    <row r="93" spans="2:8" ht="11.25" customHeight="1" x14ac:dyDescent="0.35">
      <c r="B93" s="244" t="s">
        <v>5169</v>
      </c>
      <c r="C93" s="245">
        <v>123298</v>
      </c>
      <c r="D93" s="278" t="s">
        <v>29</v>
      </c>
      <c r="E93" s="278" t="s">
        <v>29</v>
      </c>
      <c r="F93" s="278" t="s">
        <v>29</v>
      </c>
      <c r="G93" s="278" t="s">
        <v>29</v>
      </c>
      <c r="H93" s="278" t="s">
        <v>29</v>
      </c>
    </row>
    <row r="94" spans="2:8" ht="11.25" customHeight="1" x14ac:dyDescent="0.35">
      <c r="B94" s="244" t="s">
        <v>5168</v>
      </c>
      <c r="C94" s="245">
        <v>123300</v>
      </c>
      <c r="D94" s="278" t="s">
        <v>29</v>
      </c>
      <c r="E94" s="278" t="s">
        <v>29</v>
      </c>
      <c r="F94" s="278" t="s">
        <v>29</v>
      </c>
      <c r="G94" s="278" t="s">
        <v>29</v>
      </c>
      <c r="H94" s="278" t="s">
        <v>29</v>
      </c>
    </row>
    <row r="95" spans="2:8" ht="11.25" customHeight="1" x14ac:dyDescent="0.35">
      <c r="B95" s="244" t="s">
        <v>5167</v>
      </c>
      <c r="C95" s="245">
        <v>123299</v>
      </c>
      <c r="D95" s="278">
        <v>41.607411900000002</v>
      </c>
      <c r="E95" s="278">
        <v>40.0277885</v>
      </c>
      <c r="F95" s="278">
        <v>39.004669999999997</v>
      </c>
      <c r="G95" s="278">
        <v>42.720042100000001</v>
      </c>
      <c r="H95" s="278">
        <v>43.969553599999998</v>
      </c>
    </row>
    <row r="96" spans="2:8" ht="11.25" customHeight="1" x14ac:dyDescent="0.35">
      <c r="B96" s="244" t="s">
        <v>5166</v>
      </c>
      <c r="C96" s="245">
        <v>123301</v>
      </c>
      <c r="D96" s="278">
        <v>58.381638299999999</v>
      </c>
      <c r="E96" s="278">
        <v>59.964050299999997</v>
      </c>
      <c r="F96" s="278">
        <v>60.912166300000003</v>
      </c>
      <c r="G96" s="278">
        <v>57.274242999999998</v>
      </c>
      <c r="H96" s="278">
        <v>56.025990899999996</v>
      </c>
    </row>
    <row r="97" spans="2:8" ht="11.25" customHeight="1" x14ac:dyDescent="0.35">
      <c r="B97" s="244" t="s">
        <v>4946</v>
      </c>
      <c r="C97" s="247"/>
      <c r="D97" s="248"/>
      <c r="E97" s="248"/>
      <c r="F97" s="248"/>
      <c r="G97" s="248"/>
      <c r="H97" s="248"/>
    </row>
    <row r="98" spans="2:8" ht="11.25" customHeight="1" x14ac:dyDescent="0.35">
      <c r="B98" s="246" t="s">
        <v>5165</v>
      </c>
      <c r="C98" s="247"/>
      <c r="D98" s="248"/>
      <c r="E98" s="248"/>
      <c r="F98" s="248"/>
      <c r="G98" s="248"/>
      <c r="H98" s="248"/>
    </row>
    <row r="99" spans="2:8" ht="11.25" customHeight="1" x14ac:dyDescent="0.35">
      <c r="B99" s="244" t="s">
        <v>5484</v>
      </c>
      <c r="C99" s="245">
        <v>123302</v>
      </c>
      <c r="D99" s="279">
        <v>308452632.56300002</v>
      </c>
      <c r="E99" s="279">
        <v>323759974.02200001</v>
      </c>
      <c r="F99" s="279">
        <v>335958635.81200004</v>
      </c>
      <c r="G99" s="279">
        <v>353479413.29699999</v>
      </c>
      <c r="H99" s="279">
        <v>373264757.21500003</v>
      </c>
    </row>
    <row r="100" spans="2:8" ht="11.25" customHeight="1" x14ac:dyDescent="0.35">
      <c r="B100" s="244" t="s">
        <v>4946</v>
      </c>
      <c r="C100" s="247"/>
      <c r="D100" s="248"/>
      <c r="E100" s="248"/>
      <c r="F100" s="248"/>
      <c r="G100" s="248"/>
      <c r="H100" s="248"/>
    </row>
    <row r="101" spans="2:8" ht="11.25" customHeight="1" x14ac:dyDescent="0.35">
      <c r="B101" s="244" t="s">
        <v>5164</v>
      </c>
      <c r="C101" s="245">
        <v>123303</v>
      </c>
      <c r="D101" s="278">
        <v>99.524238199999999</v>
      </c>
      <c r="E101" s="278">
        <v>99.455043700000004</v>
      </c>
      <c r="F101" s="278">
        <v>99.588740400000006</v>
      </c>
      <c r="G101" s="278">
        <v>99.490101300000006</v>
      </c>
      <c r="H101" s="278">
        <v>99.436715500000005</v>
      </c>
    </row>
    <row r="102" spans="2:8" ht="11.25" customHeight="1" x14ac:dyDescent="0.35">
      <c r="B102" s="244" t="s">
        <v>5163</v>
      </c>
      <c r="C102" s="245">
        <v>123304</v>
      </c>
      <c r="D102" s="278">
        <v>0.26661400000000002</v>
      </c>
      <c r="E102" s="278">
        <v>0.37648809999999999</v>
      </c>
      <c r="F102" s="278">
        <v>0.31412610000000002</v>
      </c>
      <c r="G102" s="278">
        <v>0.43222460000000001</v>
      </c>
      <c r="H102" s="278">
        <v>0.4257261</v>
      </c>
    </row>
    <row r="103" spans="2:8" ht="11.25" customHeight="1" x14ac:dyDescent="0.35">
      <c r="B103" s="244" t="s">
        <v>5162</v>
      </c>
      <c r="C103" s="245">
        <v>123305</v>
      </c>
      <c r="D103" s="278">
        <v>9.3379400000000001E-2</v>
      </c>
      <c r="E103" s="278">
        <v>8.8862200000000002E-2</v>
      </c>
      <c r="F103" s="278">
        <v>4.7275600000000001E-2</v>
      </c>
      <c r="G103" s="278">
        <v>4.2959799999999999E-2</v>
      </c>
      <c r="H103" s="278">
        <v>6.1469799999999998E-2</v>
      </c>
    </row>
    <row r="104" spans="2:8" ht="11.25" customHeight="1" x14ac:dyDescent="0.35">
      <c r="B104" s="244" t="s">
        <v>5161</v>
      </c>
      <c r="C104" s="245">
        <v>123306</v>
      </c>
      <c r="D104" s="278">
        <v>0.11589960000000001</v>
      </c>
      <c r="E104" s="278">
        <v>7.8491000000000005E-2</v>
      </c>
      <c r="F104" s="278">
        <v>4.9787499999999998E-2</v>
      </c>
      <c r="G104" s="278">
        <v>3.4843100000000002E-2</v>
      </c>
      <c r="H104" s="278">
        <v>7.6115199999999994E-2</v>
      </c>
    </row>
    <row r="105" spans="2:8" ht="11.25" customHeight="1" x14ac:dyDescent="0.35">
      <c r="B105" s="244" t="s">
        <v>4946</v>
      </c>
      <c r="C105" s="247"/>
      <c r="D105" s="278"/>
      <c r="E105" s="278"/>
      <c r="F105" s="278"/>
      <c r="G105" s="278"/>
      <c r="H105" s="278"/>
    </row>
    <row r="106" spans="2:8" ht="11.25" customHeight="1" x14ac:dyDescent="0.35">
      <c r="B106" s="244" t="s">
        <v>5160</v>
      </c>
      <c r="C106" s="245">
        <v>123307</v>
      </c>
      <c r="D106" s="278">
        <v>0.1166645</v>
      </c>
      <c r="E106" s="278">
        <v>8.1876500000000005E-2</v>
      </c>
      <c r="F106" s="278">
        <v>5.1206799999999997E-2</v>
      </c>
      <c r="G106" s="278">
        <v>3.7099300000000002E-2</v>
      </c>
      <c r="H106" s="278">
        <v>8.0264500000000003E-2</v>
      </c>
    </row>
    <row r="107" spans="2:8" ht="11.25" customHeight="1" x14ac:dyDescent="0.35">
      <c r="B107" s="244" t="s">
        <v>4946</v>
      </c>
      <c r="C107" s="247"/>
      <c r="D107" s="248"/>
      <c r="E107" s="248"/>
      <c r="F107" s="248"/>
      <c r="G107" s="248"/>
      <c r="H107" s="248"/>
    </row>
    <row r="108" spans="2:8" ht="11.25" customHeight="1" x14ac:dyDescent="0.35">
      <c r="B108" s="246" t="s">
        <v>5159</v>
      </c>
      <c r="C108" s="247"/>
      <c r="D108" s="248"/>
      <c r="E108" s="248"/>
      <c r="F108" s="248"/>
      <c r="G108" s="248"/>
      <c r="H108" s="248"/>
    </row>
    <row r="109" spans="2:8" ht="11.25" customHeight="1" x14ac:dyDescent="0.35">
      <c r="B109" s="244" t="s">
        <v>5485</v>
      </c>
      <c r="C109" s="245">
        <v>123308</v>
      </c>
      <c r="D109" s="279">
        <v>19684715.100000001</v>
      </c>
      <c r="E109" s="279">
        <v>20612088.476</v>
      </c>
      <c r="F109" s="279">
        <v>21414200.653000001</v>
      </c>
      <c r="G109" s="279">
        <v>22393439.581</v>
      </c>
      <c r="H109" s="279">
        <v>21928878.631000001</v>
      </c>
    </row>
    <row r="110" spans="2:8" ht="11.25" customHeight="1" x14ac:dyDescent="0.35">
      <c r="B110" s="244" t="s">
        <v>4946</v>
      </c>
      <c r="C110" s="245"/>
      <c r="D110" s="248"/>
      <c r="E110" s="248"/>
      <c r="F110" s="248"/>
      <c r="G110" s="248"/>
      <c r="H110" s="248"/>
    </row>
    <row r="111" spans="2:8" ht="11.25" customHeight="1" x14ac:dyDescent="0.35">
      <c r="B111" s="244" t="s">
        <v>5158</v>
      </c>
      <c r="C111" s="245">
        <v>123309</v>
      </c>
      <c r="D111" s="278">
        <v>28.9279607</v>
      </c>
      <c r="E111" s="278">
        <v>27.3308921</v>
      </c>
      <c r="F111" s="278">
        <v>25.522145099999999</v>
      </c>
      <c r="G111" s="278">
        <v>24.2870615</v>
      </c>
      <c r="H111" s="278">
        <v>25.0515133</v>
      </c>
    </row>
    <row r="112" spans="2:8" ht="11.25" customHeight="1" x14ac:dyDescent="0.35">
      <c r="B112" s="244" t="s">
        <v>5157</v>
      </c>
      <c r="C112" s="245">
        <v>123310</v>
      </c>
      <c r="D112" s="278">
        <v>69.152620099999993</v>
      </c>
      <c r="E112" s="278">
        <v>70.870154900000003</v>
      </c>
      <c r="F112" s="278">
        <v>71.908807100000004</v>
      </c>
      <c r="G112" s="278">
        <v>71.449119800000005</v>
      </c>
      <c r="H112" s="278">
        <v>72.927051300000002</v>
      </c>
    </row>
    <row r="113" spans="2:8" ht="11.25" customHeight="1" thickBot="1" x14ac:dyDescent="0.4">
      <c r="B113" s="249" t="s">
        <v>5156</v>
      </c>
      <c r="C113" s="250">
        <v>123311</v>
      </c>
      <c r="D113" s="281">
        <v>1.7282392</v>
      </c>
      <c r="E113" s="281">
        <v>1.6027583999999999</v>
      </c>
      <c r="F113" s="281">
        <v>2.5529529000000002</v>
      </c>
      <c r="G113" s="281">
        <v>4.2532854999999996</v>
      </c>
      <c r="H113" s="281">
        <v>1.9984059999999999</v>
      </c>
    </row>
    <row r="114" spans="2:8" ht="11.25" customHeight="1" x14ac:dyDescent="0.35">
      <c r="B114" s="237"/>
    </row>
  </sheetData>
  <mergeCells count="1">
    <mergeCell ref="I1:J1"/>
  </mergeCells>
  <hyperlinks>
    <hyperlink ref="I1" location="Instructions!A1" display="Instructions" xr:uid="{00000000-0004-0000-0700-000000000000}"/>
    <hyperlink ref="I1:J1" location="Instructions!A1" tooltip="Go back to Instructions tab." display="Instructions" xr:uid="{00000000-0004-0000-0700-000001000000}"/>
  </hyperlinks>
  <pageMargins left="0.5" right="0.5" top="0.5" bottom="0.5" header="0.5" footer="0.5"/>
  <pageSetup scale="83" orientation="portrait" horizontalDpi="90" verticalDpi="90" r:id="rId1"/>
  <headerFooter alignWithMargins="0"/>
  <rowBreaks count="1" manualBreakCount="1">
    <brk id="73"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1:J67"/>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5361</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[1]!snltable(287,$D$6:$H$6,$C$10:$C$66,$D$7:$H$7,"NA","Options:Curr=USD,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2010Y</v>
      </c>
      <c r="E7" s="259" t="str">
        <f t="shared" si="0"/>
        <v>2011Y</v>
      </c>
      <c r="F7" s="259" t="str">
        <f t="shared" si="0"/>
        <v>2012Y</v>
      </c>
      <c r="G7" s="259" t="str">
        <f>LEFT(H7,4)-1&amp;"Y"</f>
        <v>2013Y</v>
      </c>
      <c r="H7" s="260" t="str">
        <f>Period</f>
        <v>2014Y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2010Y</v>
      </c>
      <c r="E9" s="251" t="str">
        <f t="shared" ref="E9:G9" si="1">E7</f>
        <v>2011Y</v>
      </c>
      <c r="F9" s="251" t="str">
        <f t="shared" si="1"/>
        <v>2012Y</v>
      </c>
      <c r="G9" s="251" t="str">
        <f t="shared" si="1"/>
        <v>2013Y</v>
      </c>
      <c r="H9" s="251" t="str">
        <f>H7</f>
        <v>2014Y</v>
      </c>
    </row>
    <row r="10" spans="2:10" ht="11.25" customHeight="1" x14ac:dyDescent="0.4">
      <c r="B10" s="246" t="s">
        <v>4945</v>
      </c>
      <c r="C10" s="308">
        <v>202219</v>
      </c>
      <c r="D10" s="309">
        <v>40543</v>
      </c>
      <c r="E10" s="309">
        <v>40908</v>
      </c>
      <c r="F10" s="309">
        <v>41274</v>
      </c>
      <c r="G10" s="309">
        <v>41639</v>
      </c>
      <c r="H10" s="309">
        <v>42004</v>
      </c>
      <c r="I10" s="310"/>
    </row>
    <row r="11" spans="2:10" ht="11.25" customHeight="1" x14ac:dyDescent="0.35">
      <c r="B11" s="244" t="s">
        <v>4946</v>
      </c>
      <c r="C11" s="247"/>
      <c r="D11" s="248"/>
      <c r="E11" s="248"/>
      <c r="F11" s="248"/>
      <c r="G11" s="248"/>
      <c r="H11" s="248"/>
    </row>
    <row r="12" spans="2:10" ht="11.25" customHeight="1" x14ac:dyDescent="0.35">
      <c r="B12" s="246" t="s">
        <v>4958</v>
      </c>
      <c r="C12" s="247"/>
      <c r="D12" s="248"/>
      <c r="E12" s="248"/>
      <c r="F12" s="248"/>
      <c r="G12" s="248"/>
      <c r="H12" s="248"/>
    </row>
    <row r="13" spans="2:10" ht="11.25" customHeight="1" x14ac:dyDescent="0.35">
      <c r="B13" s="244" t="s">
        <v>4958</v>
      </c>
      <c r="C13" s="245">
        <v>123203</v>
      </c>
      <c r="D13" s="279">
        <v>306430238.04987097</v>
      </c>
      <c r="E13" s="279">
        <v>310372996.99645603</v>
      </c>
      <c r="F13" s="279">
        <v>326647273.29112798</v>
      </c>
      <c r="G13" s="279">
        <v>331982055.72465903</v>
      </c>
      <c r="H13" s="279">
        <v>353968596.65167499</v>
      </c>
    </row>
    <row r="14" spans="2:10" ht="11.25" customHeight="1" x14ac:dyDescent="0.35">
      <c r="B14" s="244" t="s">
        <v>4957</v>
      </c>
      <c r="C14" s="245">
        <v>123204</v>
      </c>
      <c r="D14" s="279">
        <v>32051187.810000002</v>
      </c>
      <c r="E14" s="279">
        <v>31281382.943</v>
      </c>
      <c r="F14" s="279">
        <v>28814999.603</v>
      </c>
      <c r="G14" s="279">
        <v>28694618.332000002</v>
      </c>
      <c r="H14" s="279">
        <v>30678880.892999999</v>
      </c>
    </row>
    <row r="15" spans="2:10" ht="11.25" customHeight="1" x14ac:dyDescent="0.35">
      <c r="B15" s="244" t="s">
        <v>5258</v>
      </c>
      <c r="C15" s="245">
        <v>123748</v>
      </c>
      <c r="D15" s="279">
        <v>10693009.802999999</v>
      </c>
      <c r="E15" s="279">
        <v>10384737.422</v>
      </c>
      <c r="F15" s="279">
        <v>12882761.960000001</v>
      </c>
      <c r="G15" s="279">
        <v>12723315.963</v>
      </c>
      <c r="H15" s="279">
        <v>13152035.586999999</v>
      </c>
    </row>
    <row r="16" spans="2:10" ht="11.25" customHeight="1" x14ac:dyDescent="0.35">
      <c r="B16" s="244" t="s">
        <v>5257</v>
      </c>
      <c r="C16" s="245">
        <v>123206</v>
      </c>
      <c r="D16" s="279">
        <v>108481173.92920101</v>
      </c>
      <c r="E16" s="279">
        <v>118039218.606066</v>
      </c>
      <c r="F16" s="279">
        <v>128580627.950756</v>
      </c>
      <c r="G16" s="279">
        <v>144347273.40793899</v>
      </c>
      <c r="H16" s="279">
        <v>155215057.23957503</v>
      </c>
    </row>
    <row r="17" spans="2:8" ht="11.25" customHeight="1" x14ac:dyDescent="0.35">
      <c r="B17" s="244" t="s">
        <v>4946</v>
      </c>
      <c r="C17" s="247"/>
      <c r="D17" s="248"/>
      <c r="E17" s="248"/>
      <c r="F17" s="248"/>
      <c r="G17" s="248"/>
      <c r="H17" s="248"/>
    </row>
    <row r="18" spans="2:8" ht="11.25" customHeight="1" x14ac:dyDescent="0.35">
      <c r="B18" s="244" t="s">
        <v>5256</v>
      </c>
      <c r="C18" s="245">
        <v>123207</v>
      </c>
      <c r="D18" s="278">
        <v>10.459538200000001</v>
      </c>
      <c r="E18" s="278">
        <v>10.078641899999999</v>
      </c>
      <c r="F18" s="278">
        <v>8.8214419999999993</v>
      </c>
      <c r="G18" s="278">
        <v>8.6434245000000001</v>
      </c>
      <c r="H18" s="278">
        <v>8.6671194000000007</v>
      </c>
    </row>
    <row r="19" spans="2:8" ht="11.25" customHeight="1" x14ac:dyDescent="0.35">
      <c r="B19" s="244" t="s">
        <v>5255</v>
      </c>
      <c r="C19" s="245">
        <v>123750</v>
      </c>
      <c r="D19" s="278">
        <v>3.4895413</v>
      </c>
      <c r="E19" s="278">
        <v>3.3458895000000002</v>
      </c>
      <c r="F19" s="278">
        <v>3.9439367999999999</v>
      </c>
      <c r="G19" s="278">
        <v>3.8325312</v>
      </c>
      <c r="H19" s="278">
        <v>3.7155939</v>
      </c>
    </row>
    <row r="20" spans="2:8" ht="11.25" customHeight="1" x14ac:dyDescent="0.35">
      <c r="B20" s="244" t="s">
        <v>5254</v>
      </c>
      <c r="C20" s="245">
        <v>123209</v>
      </c>
      <c r="D20" s="278">
        <v>35.401589199999997</v>
      </c>
      <c r="E20" s="278">
        <v>38.031407299999998</v>
      </c>
      <c r="F20" s="278">
        <v>39.363753600000003</v>
      </c>
      <c r="G20" s="278">
        <v>43.480444499999997</v>
      </c>
      <c r="H20" s="278">
        <v>43.849951300000001</v>
      </c>
    </row>
    <row r="21" spans="2:8" ht="11.25" customHeight="1" x14ac:dyDescent="0.35">
      <c r="B21" s="244" t="s">
        <v>5253</v>
      </c>
      <c r="C21" s="245">
        <v>123208</v>
      </c>
      <c r="D21" s="278">
        <v>3.5818281000000001</v>
      </c>
      <c r="E21" s="278">
        <v>3.3597267999999998</v>
      </c>
      <c r="F21" s="278">
        <v>3.1390251999999998</v>
      </c>
      <c r="G21" s="278">
        <v>3.7899571999999999</v>
      </c>
      <c r="H21" s="278">
        <v>3.7896784000000001</v>
      </c>
    </row>
    <row r="22" spans="2:8" ht="11.25" customHeight="1" x14ac:dyDescent="0.35">
      <c r="B22" s="244" t="s">
        <v>4946</v>
      </c>
      <c r="C22" s="247"/>
      <c r="D22" s="248"/>
      <c r="E22" s="248"/>
      <c r="F22" s="248"/>
      <c r="G22" s="248"/>
      <c r="H22" s="248"/>
    </row>
    <row r="23" spans="2:8" ht="11.25" customHeight="1" x14ac:dyDescent="0.35">
      <c r="B23" s="244" t="s">
        <v>4954</v>
      </c>
      <c r="C23" s="245">
        <v>123752</v>
      </c>
      <c r="D23" s="279">
        <v>15441834.192</v>
      </c>
      <c r="E23" s="279">
        <v>20329454.120999999</v>
      </c>
      <c r="F23" s="279">
        <v>25174986.833000001</v>
      </c>
      <c r="G23" s="279">
        <v>25967411.989</v>
      </c>
      <c r="H23" s="279">
        <v>26474272.517999999</v>
      </c>
    </row>
    <row r="24" spans="2:8" ht="11.25" customHeight="1" x14ac:dyDescent="0.35">
      <c r="B24" s="244" t="s">
        <v>4955</v>
      </c>
      <c r="C24" s="245">
        <v>123753</v>
      </c>
      <c r="D24" s="279">
        <v>29913275.205000002</v>
      </c>
      <c r="E24" s="279">
        <v>37872751.976000004</v>
      </c>
      <c r="F24" s="279">
        <v>43074503.685819998</v>
      </c>
      <c r="G24" s="279">
        <v>46547970.941555999</v>
      </c>
      <c r="H24" s="279">
        <v>51038494.180600002</v>
      </c>
    </row>
    <row r="25" spans="2:8" ht="11.25" customHeight="1" x14ac:dyDescent="0.35">
      <c r="B25" s="244" t="s">
        <v>5252</v>
      </c>
      <c r="C25" s="245">
        <v>123205</v>
      </c>
      <c r="D25" s="279">
        <v>10975804.284</v>
      </c>
      <c r="E25" s="279">
        <v>10427684.695</v>
      </c>
      <c r="F25" s="279">
        <v>10253540.370999999</v>
      </c>
      <c r="G25" s="279">
        <v>12581977.742000001</v>
      </c>
      <c r="H25" s="279">
        <v>13414271.529000001</v>
      </c>
    </row>
    <row r="26" spans="2:8" ht="11.25" customHeight="1" x14ac:dyDescent="0.35">
      <c r="B26" s="244" t="s">
        <v>4946</v>
      </c>
      <c r="C26" s="247"/>
      <c r="D26" s="279"/>
      <c r="E26" s="279"/>
      <c r="F26" s="279"/>
      <c r="G26" s="279"/>
      <c r="H26" s="279"/>
    </row>
    <row r="27" spans="2:8" ht="11.25" customHeight="1" x14ac:dyDescent="0.35">
      <c r="B27" s="244" t="s">
        <v>5251</v>
      </c>
      <c r="C27" s="245">
        <v>123210</v>
      </c>
      <c r="D27" s="279" t="s">
        <v>29</v>
      </c>
      <c r="E27" s="279" t="s">
        <v>29</v>
      </c>
      <c r="F27" s="279" t="s">
        <v>29</v>
      </c>
      <c r="G27" s="279" t="s">
        <v>29</v>
      </c>
      <c r="H27" s="279" t="s">
        <v>29</v>
      </c>
    </row>
    <row r="28" spans="2:8" ht="11.25" customHeight="1" x14ac:dyDescent="0.35">
      <c r="B28" s="244" t="s">
        <v>4995</v>
      </c>
      <c r="C28" s="245">
        <v>123211</v>
      </c>
      <c r="D28" s="279" t="s">
        <v>29</v>
      </c>
      <c r="E28" s="279" t="s">
        <v>29</v>
      </c>
      <c r="F28" s="279" t="s">
        <v>29</v>
      </c>
      <c r="G28" s="279" t="s">
        <v>29</v>
      </c>
      <c r="H28" s="279" t="s">
        <v>29</v>
      </c>
    </row>
    <row r="29" spans="2:8" ht="11.25" customHeight="1" x14ac:dyDescent="0.35">
      <c r="B29" s="244" t="s">
        <v>5250</v>
      </c>
      <c r="C29" s="245">
        <v>123212</v>
      </c>
      <c r="D29" s="278" t="s">
        <v>29</v>
      </c>
      <c r="E29" s="278" t="s">
        <v>29</v>
      </c>
      <c r="F29" s="278" t="s">
        <v>29</v>
      </c>
      <c r="G29" s="278" t="s">
        <v>29</v>
      </c>
      <c r="H29" s="278" t="s">
        <v>29</v>
      </c>
    </row>
    <row r="30" spans="2:8" ht="11.25" customHeight="1" x14ac:dyDescent="0.35">
      <c r="B30" s="244" t="s">
        <v>4946</v>
      </c>
      <c r="C30" s="247"/>
      <c r="D30" s="248"/>
      <c r="E30" s="248"/>
      <c r="F30" s="248"/>
      <c r="G30" s="248"/>
      <c r="H30" s="248"/>
    </row>
    <row r="31" spans="2:8" ht="11.25" customHeight="1" x14ac:dyDescent="0.35">
      <c r="B31" s="246" t="s">
        <v>5249</v>
      </c>
      <c r="C31" s="247"/>
      <c r="D31" s="248"/>
      <c r="E31" s="248"/>
      <c r="F31" s="248"/>
      <c r="G31" s="248"/>
      <c r="H31" s="248"/>
    </row>
    <row r="32" spans="2:8" ht="11.25" customHeight="1" x14ac:dyDescent="0.35">
      <c r="B32" s="244" t="s">
        <v>5248</v>
      </c>
      <c r="C32" s="245">
        <v>123213</v>
      </c>
      <c r="D32" s="279">
        <v>44064654.594311997</v>
      </c>
      <c r="E32" s="279">
        <v>22899432.825090099</v>
      </c>
      <c r="F32" s="279">
        <v>49708149.129500002</v>
      </c>
      <c r="G32" s="279">
        <v>54343449.892499998</v>
      </c>
      <c r="H32" s="279">
        <v>38912056.535000004</v>
      </c>
    </row>
    <row r="33" spans="2:8" ht="11.25" customHeight="1" x14ac:dyDescent="0.35">
      <c r="B33" s="244" t="s">
        <v>5247</v>
      </c>
      <c r="C33" s="245">
        <v>123214</v>
      </c>
      <c r="D33" s="279">
        <v>-16015455.677000001</v>
      </c>
      <c r="E33" s="279">
        <v>-8534931.6070000008</v>
      </c>
      <c r="F33" s="279">
        <v>-9447731.0309999995</v>
      </c>
      <c r="G33" s="279">
        <v>-12026145.003</v>
      </c>
      <c r="H33" s="279">
        <v>-1306441.395</v>
      </c>
    </row>
    <row r="34" spans="2:8" ht="11.25" customHeight="1" x14ac:dyDescent="0.35">
      <c r="B34" s="244" t="s">
        <v>5064</v>
      </c>
      <c r="C34" s="245">
        <v>123215</v>
      </c>
      <c r="D34" s="279">
        <v>-16072269.160621099</v>
      </c>
      <c r="E34" s="279">
        <v>16968617.2831822</v>
      </c>
      <c r="F34" s="279">
        <v>444104.30769464001</v>
      </c>
      <c r="G34" s="279">
        <v>-4043933.0153166899</v>
      </c>
      <c r="H34" s="279">
        <v>18979268.046347</v>
      </c>
    </row>
    <row r="35" spans="2:8" ht="11.25" customHeight="1" x14ac:dyDescent="0.35">
      <c r="B35" s="244" t="s">
        <v>5063</v>
      </c>
      <c r="C35" s="245">
        <v>123216</v>
      </c>
      <c r="D35" s="279">
        <v>2475603.5550000002</v>
      </c>
      <c r="E35" s="279">
        <v>-685341.40500000003</v>
      </c>
      <c r="F35" s="279">
        <v>-1550226.5690000001</v>
      </c>
      <c r="G35" s="279">
        <v>79780.618000000002</v>
      </c>
      <c r="H35" s="279">
        <v>2219741.5070000002</v>
      </c>
    </row>
    <row r="36" spans="2:8" ht="11.25" customHeight="1" x14ac:dyDescent="0.35">
      <c r="B36" s="244" t="s">
        <v>5062</v>
      </c>
      <c r="C36" s="245">
        <v>123217</v>
      </c>
      <c r="D36" s="279">
        <v>-41857523.262000002</v>
      </c>
      <c r="E36" s="279">
        <v>1084607.3434028002</v>
      </c>
      <c r="F36" s="279">
        <v>7725011.1099779997</v>
      </c>
      <c r="G36" s="279">
        <v>-2479966.1631519999</v>
      </c>
      <c r="H36" s="279">
        <v>-3454597.5383310001</v>
      </c>
    </row>
    <row r="37" spans="2:8" ht="11.25" customHeight="1" x14ac:dyDescent="0.35">
      <c r="B37" s="244" t="s">
        <v>5061</v>
      </c>
      <c r="C37" s="245">
        <v>123218</v>
      </c>
      <c r="D37" s="279">
        <v>-21958174.743312001</v>
      </c>
      <c r="E37" s="279">
        <v>-22979050.2720901</v>
      </c>
      <c r="F37" s="279">
        <v>-18594997.875500001</v>
      </c>
      <c r="G37" s="279">
        <v>-23855884.013500001</v>
      </c>
      <c r="H37" s="279">
        <v>-27465336.322999999</v>
      </c>
    </row>
    <row r="38" spans="2:8" ht="11.25" customHeight="1" x14ac:dyDescent="0.35">
      <c r="B38" s="244" t="s">
        <v>5060</v>
      </c>
      <c r="C38" s="245">
        <v>123219</v>
      </c>
      <c r="D38" s="279">
        <v>43040087.649999999</v>
      </c>
      <c r="E38" s="279">
        <v>-5578832.0039999997</v>
      </c>
      <c r="F38" s="279">
        <v>-13489613.106000001</v>
      </c>
      <c r="G38" s="279">
        <v>-6824387.5789999999</v>
      </c>
      <c r="H38" s="279">
        <v>-4414509.46</v>
      </c>
    </row>
    <row r="39" spans="2:8" ht="11.25" customHeight="1" x14ac:dyDescent="0.35">
      <c r="B39" s="244" t="s">
        <v>4946</v>
      </c>
      <c r="C39" s="247"/>
      <c r="D39" s="279"/>
      <c r="E39" s="279"/>
      <c r="F39" s="279"/>
      <c r="G39" s="279"/>
      <c r="H39" s="279"/>
    </row>
    <row r="40" spans="2:8" ht="11.25" customHeight="1" x14ac:dyDescent="0.35">
      <c r="B40" s="244" t="s">
        <v>5246</v>
      </c>
      <c r="C40" s="245">
        <v>123754</v>
      </c>
      <c r="D40" s="279">
        <v>16486339.885</v>
      </c>
      <c r="E40" s="279">
        <v>14114098.868000001</v>
      </c>
      <c r="F40" s="279">
        <v>10462773.23</v>
      </c>
      <c r="G40" s="279">
        <v>4488986.5449999999</v>
      </c>
      <c r="H40" s="279">
        <v>5378176.966</v>
      </c>
    </row>
    <row r="41" spans="2:8" ht="11.25" customHeight="1" x14ac:dyDescent="0.35">
      <c r="B41" s="244" t="s">
        <v>4946</v>
      </c>
      <c r="C41" s="247"/>
      <c r="D41" s="248"/>
      <c r="E41" s="248"/>
      <c r="F41" s="248"/>
      <c r="G41" s="248"/>
      <c r="H41" s="248"/>
    </row>
    <row r="42" spans="2:8" ht="11.25" customHeight="1" x14ac:dyDescent="0.35">
      <c r="B42" s="244" t="s">
        <v>5245</v>
      </c>
      <c r="C42" s="245">
        <v>123220</v>
      </c>
      <c r="D42" s="278">
        <v>78.284498600000006</v>
      </c>
      <c r="E42" s="278">
        <v>159.9710977</v>
      </c>
      <c r="F42" s="278">
        <v>46.1867977</v>
      </c>
      <c r="G42" s="278">
        <v>56.373826399999999</v>
      </c>
      <c r="H42" s="278">
        <v>73.0352003</v>
      </c>
    </row>
    <row r="43" spans="2:8" ht="11.25" customHeight="1" x14ac:dyDescent="0.35">
      <c r="B43" s="244" t="s">
        <v>5244</v>
      </c>
      <c r="C43" s="245">
        <v>123221</v>
      </c>
      <c r="D43" s="278">
        <v>7.3546969000000004</v>
      </c>
      <c r="E43" s="278">
        <v>7.4510148000000003</v>
      </c>
      <c r="F43" s="278">
        <v>5.8381181</v>
      </c>
      <c r="G43" s="278">
        <v>7.2441000999999998</v>
      </c>
      <c r="H43" s="278">
        <v>8.0079627000000002</v>
      </c>
    </row>
    <row r="44" spans="2:8" ht="11.25" customHeight="1" x14ac:dyDescent="0.35">
      <c r="B44" s="244" t="s">
        <v>5243</v>
      </c>
      <c r="C44" s="245">
        <v>123222</v>
      </c>
      <c r="D44" s="278">
        <v>163.91127090000001</v>
      </c>
      <c r="E44" s="278">
        <v>4.6491821</v>
      </c>
      <c r="F44" s="278">
        <v>-19.0784752</v>
      </c>
      <c r="G44" s="278">
        <v>28.2919427</v>
      </c>
      <c r="H44" s="278">
        <v>15.1302392</v>
      </c>
    </row>
    <row r="45" spans="2:8" ht="11.25" customHeight="1" x14ac:dyDescent="0.35">
      <c r="B45" s="244" t="s">
        <v>4946</v>
      </c>
      <c r="C45" s="247"/>
      <c r="D45" s="248"/>
      <c r="E45" s="248"/>
      <c r="F45" s="248"/>
      <c r="G45" s="248"/>
      <c r="H45" s="248"/>
    </row>
    <row r="46" spans="2:8" ht="11.25" customHeight="1" x14ac:dyDescent="0.35">
      <c r="B46" s="246" t="s">
        <v>5242</v>
      </c>
      <c r="C46" s="247"/>
      <c r="D46" s="248"/>
      <c r="E46" s="248"/>
      <c r="F46" s="248"/>
      <c r="G46" s="248"/>
      <c r="H46" s="248"/>
    </row>
    <row r="47" spans="2:8" ht="11.25" customHeight="1" x14ac:dyDescent="0.35">
      <c r="B47" s="244" t="s">
        <v>5241</v>
      </c>
      <c r="C47" s="245">
        <v>123755</v>
      </c>
      <c r="D47" s="278">
        <v>188.20274459999999</v>
      </c>
      <c r="E47" s="278">
        <v>196.00783609999999</v>
      </c>
      <c r="F47" s="278">
        <v>196.42802940000001</v>
      </c>
      <c r="G47" s="278">
        <v>170.82872159999999</v>
      </c>
      <c r="H47" s="278">
        <v>188.72317039999999</v>
      </c>
    </row>
    <row r="48" spans="2:8" ht="11.25" customHeight="1" x14ac:dyDescent="0.35">
      <c r="B48" s="244" t="s">
        <v>5240</v>
      </c>
      <c r="C48" s="245">
        <v>123756</v>
      </c>
      <c r="D48" s="278">
        <v>871.88898080000001</v>
      </c>
      <c r="E48" s="278">
        <v>903.02145210000003</v>
      </c>
      <c r="F48" s="278">
        <v>855.77760169999999</v>
      </c>
      <c r="G48" s="278">
        <v>861.11785729999997</v>
      </c>
      <c r="H48" s="278">
        <v>835.89058360000001</v>
      </c>
    </row>
    <row r="49" spans="2:8" ht="11.25" customHeight="1" x14ac:dyDescent="0.35">
      <c r="B49" s="244" t="s">
        <v>5239</v>
      </c>
      <c r="C49" s="245">
        <v>123227</v>
      </c>
      <c r="D49" s="278">
        <v>995.57392419999996</v>
      </c>
      <c r="E49" s="278">
        <v>1039.3866009000001</v>
      </c>
      <c r="F49" s="278">
        <v>999.119688</v>
      </c>
      <c r="G49" s="278">
        <v>1007.8661592</v>
      </c>
      <c r="H49" s="278">
        <v>984.33644849999996</v>
      </c>
    </row>
    <row r="50" spans="2:8" ht="11.25" customHeight="1" x14ac:dyDescent="0.35">
      <c r="B50" s="244" t="s">
        <v>4946</v>
      </c>
      <c r="C50" s="247"/>
      <c r="D50" s="278"/>
      <c r="E50" s="278"/>
      <c r="F50" s="278"/>
      <c r="G50" s="278"/>
      <c r="H50" s="278"/>
    </row>
    <row r="51" spans="2:8" ht="11.25" customHeight="1" x14ac:dyDescent="0.35">
      <c r="B51" s="246" t="s">
        <v>5238</v>
      </c>
      <c r="C51" s="247"/>
      <c r="D51" s="278"/>
      <c r="E51" s="278"/>
      <c r="F51" s="278"/>
      <c r="G51" s="278"/>
      <c r="H51" s="278"/>
    </row>
    <row r="52" spans="2:8" ht="11.25" customHeight="1" x14ac:dyDescent="0.35">
      <c r="B52" s="244" t="s">
        <v>5237</v>
      </c>
      <c r="C52" s="245">
        <v>123228</v>
      </c>
      <c r="D52" s="278">
        <v>3.1131856999999998</v>
      </c>
      <c r="E52" s="278">
        <v>2.9894075</v>
      </c>
      <c r="F52" s="278">
        <v>3.2688635000000001</v>
      </c>
      <c r="G52" s="278">
        <v>2.8322428999999998</v>
      </c>
      <c r="H52" s="278">
        <v>2.8698627999999999</v>
      </c>
    </row>
    <row r="53" spans="2:8" ht="11.25" customHeight="1" x14ac:dyDescent="0.35">
      <c r="B53" s="244" t="s">
        <v>5236</v>
      </c>
      <c r="C53" s="245">
        <v>123229</v>
      </c>
      <c r="D53" s="278">
        <v>81.962327900000005</v>
      </c>
      <c r="E53" s="278">
        <v>80.791131300000004</v>
      </c>
      <c r="F53" s="278">
        <v>80.946034600000004</v>
      </c>
      <c r="G53" s="278">
        <v>80.2778347</v>
      </c>
      <c r="H53" s="278">
        <v>79.631663099999997</v>
      </c>
    </row>
    <row r="54" spans="2:8" ht="11.25" customHeight="1" x14ac:dyDescent="0.35">
      <c r="B54" s="244" t="s">
        <v>5235</v>
      </c>
      <c r="C54" s="245">
        <v>123230</v>
      </c>
      <c r="D54" s="278">
        <v>30.994064600000002</v>
      </c>
      <c r="E54" s="278">
        <v>31.0715009</v>
      </c>
      <c r="F54" s="278">
        <v>32.659858700000001</v>
      </c>
      <c r="G54" s="278">
        <v>28.5452178</v>
      </c>
      <c r="H54" s="278">
        <v>28.249105499999999</v>
      </c>
    </row>
    <row r="55" spans="2:8" ht="11.25" customHeight="1" x14ac:dyDescent="0.35">
      <c r="B55" s="244" t="s">
        <v>5234</v>
      </c>
      <c r="C55" s="245">
        <v>123231</v>
      </c>
      <c r="D55" s="278">
        <v>95.445212499999997</v>
      </c>
      <c r="E55" s="278">
        <v>95.992791600000004</v>
      </c>
      <c r="F55" s="278">
        <v>95.891121799999993</v>
      </c>
      <c r="G55" s="278">
        <v>96.080909000000005</v>
      </c>
      <c r="H55" s="278">
        <v>95.941457700000001</v>
      </c>
    </row>
    <row r="56" spans="2:8" ht="11.25" customHeight="1" x14ac:dyDescent="0.35">
      <c r="B56" s="244" t="s">
        <v>4998</v>
      </c>
      <c r="C56" s="245">
        <v>123209</v>
      </c>
      <c r="D56" s="278">
        <v>35.401589199999997</v>
      </c>
      <c r="E56" s="278">
        <v>38.031407299999998</v>
      </c>
      <c r="F56" s="278">
        <v>39.363753600000003</v>
      </c>
      <c r="G56" s="278">
        <v>43.480444499999997</v>
      </c>
      <c r="H56" s="278">
        <v>43.849951300000001</v>
      </c>
    </row>
    <row r="57" spans="2:8" ht="11.25" customHeight="1" x14ac:dyDescent="0.35">
      <c r="B57" s="244" t="s">
        <v>4946</v>
      </c>
      <c r="C57" s="247"/>
      <c r="D57" s="278"/>
      <c r="E57" s="278"/>
      <c r="F57" s="278"/>
      <c r="G57" s="278"/>
      <c r="H57" s="278"/>
    </row>
    <row r="58" spans="2:8" ht="11.25" customHeight="1" x14ac:dyDescent="0.35">
      <c r="B58" s="246" t="s">
        <v>5233</v>
      </c>
      <c r="C58" s="247"/>
      <c r="D58" s="278"/>
      <c r="E58" s="278"/>
      <c r="F58" s="278"/>
      <c r="G58" s="278"/>
      <c r="H58" s="278"/>
    </row>
    <row r="59" spans="2:8" ht="11.25" customHeight="1" x14ac:dyDescent="0.35">
      <c r="B59" s="244" t="s">
        <v>5232</v>
      </c>
      <c r="C59" s="245">
        <v>123233</v>
      </c>
      <c r="D59" s="278">
        <v>1.4532803000000001</v>
      </c>
      <c r="E59" s="278">
        <v>1.4530103000000001</v>
      </c>
      <c r="F59" s="278">
        <v>1.4673242</v>
      </c>
      <c r="G59" s="278">
        <v>1.4620473</v>
      </c>
      <c r="H59" s="278">
        <v>1.4533242</v>
      </c>
    </row>
    <row r="60" spans="2:8" ht="11.25" customHeight="1" x14ac:dyDescent="0.35">
      <c r="B60" s="244" t="s">
        <v>5231</v>
      </c>
      <c r="C60" s="245">
        <v>123234</v>
      </c>
      <c r="D60" s="278">
        <v>8.1876593999999994</v>
      </c>
      <c r="E60" s="278">
        <v>6.8267487999999998</v>
      </c>
      <c r="F60" s="278">
        <v>5.5231927000000001</v>
      </c>
      <c r="G60" s="278">
        <v>4.6809330999999998</v>
      </c>
      <c r="H60" s="278">
        <v>4.1633551000000004</v>
      </c>
    </row>
    <row r="61" spans="2:8" ht="11.25" customHeight="1" x14ac:dyDescent="0.35">
      <c r="B61" s="244" t="s">
        <v>5230</v>
      </c>
      <c r="C61" s="245">
        <v>123235</v>
      </c>
      <c r="D61" s="278">
        <v>22.4315809</v>
      </c>
      <c r="E61" s="278">
        <v>22.6661173</v>
      </c>
      <c r="F61" s="278">
        <v>21.530250500000001</v>
      </c>
      <c r="G61" s="278">
        <v>21.797415399999998</v>
      </c>
      <c r="H61" s="278">
        <v>21.716069600000001</v>
      </c>
    </row>
    <row r="62" spans="2:8" ht="11.25" customHeight="1" x14ac:dyDescent="0.35">
      <c r="B62" s="244" t="s">
        <v>5229</v>
      </c>
      <c r="C62" s="245">
        <v>123236</v>
      </c>
      <c r="D62" s="278">
        <v>2.9750347000000001</v>
      </c>
      <c r="E62" s="278">
        <v>2.6039793000000002</v>
      </c>
      <c r="F62" s="278">
        <v>2.3822969000000001</v>
      </c>
      <c r="G62" s="278">
        <v>2.4879234000000001</v>
      </c>
      <c r="H62" s="278">
        <v>2.5822212000000002</v>
      </c>
    </row>
    <row r="63" spans="2:8" ht="11.25" customHeight="1" x14ac:dyDescent="0.35">
      <c r="B63" s="244" t="s">
        <v>5228</v>
      </c>
      <c r="C63" s="245">
        <v>123237</v>
      </c>
      <c r="D63" s="278">
        <v>106.7262834</v>
      </c>
      <c r="E63" s="278">
        <v>110.7217009</v>
      </c>
      <c r="F63" s="278">
        <v>109.28022850000001</v>
      </c>
      <c r="G63" s="278">
        <v>113.10913789999999</v>
      </c>
      <c r="H63" s="278">
        <v>111.5627197</v>
      </c>
    </row>
    <row r="64" spans="2:8" ht="11.25" customHeight="1" x14ac:dyDescent="0.35">
      <c r="B64" s="244" t="s">
        <v>5227</v>
      </c>
      <c r="C64" s="245">
        <v>123238</v>
      </c>
      <c r="D64" s="278">
        <v>0.11589960000000001</v>
      </c>
      <c r="E64" s="278">
        <v>7.8491000000000005E-2</v>
      </c>
      <c r="F64" s="278">
        <v>4.9787499999999998E-2</v>
      </c>
      <c r="G64" s="278">
        <v>3.4843100000000002E-2</v>
      </c>
      <c r="H64" s="278">
        <v>7.6115199999999994E-2</v>
      </c>
    </row>
    <row r="65" spans="2:8" ht="11.25" customHeight="1" x14ac:dyDescent="0.35">
      <c r="B65" s="244" t="s">
        <v>5195</v>
      </c>
      <c r="C65" s="245">
        <v>123239</v>
      </c>
      <c r="D65" s="278">
        <v>25.673092100000002</v>
      </c>
      <c r="E65" s="278">
        <v>25.942529199999999</v>
      </c>
      <c r="F65" s="278">
        <v>27.591172499999999</v>
      </c>
      <c r="G65" s="278">
        <v>27.1960841</v>
      </c>
      <c r="H65" s="278">
        <v>28.141917100000001</v>
      </c>
    </row>
    <row r="66" spans="2:8" ht="11.25" customHeight="1" thickBot="1" x14ac:dyDescent="0.4">
      <c r="B66" s="249" t="s">
        <v>5226</v>
      </c>
      <c r="C66" s="250">
        <v>123240</v>
      </c>
      <c r="D66" s="281">
        <v>210.38810409999999</v>
      </c>
      <c r="E66" s="281">
        <v>218.35058900000001</v>
      </c>
      <c r="F66" s="281">
        <v>222.199883</v>
      </c>
      <c r="G66" s="281">
        <v>219.16577000000001</v>
      </c>
      <c r="H66" s="281">
        <v>219.51810900000001</v>
      </c>
    </row>
    <row r="67" spans="2:8" ht="11.25" customHeight="1" x14ac:dyDescent="0.35">
      <c r="B67" s="237"/>
      <c r="C67" s="242"/>
    </row>
  </sheetData>
  <mergeCells count="1">
    <mergeCell ref="I1:J1"/>
  </mergeCells>
  <hyperlinks>
    <hyperlink ref="I1" location="Instructions!A1" display="Instructions" xr:uid="{00000000-0004-0000-0800-000000000000}"/>
    <hyperlink ref="I1:J1" location="Instructions!A1" tooltip="Go back to Instructions tab." display="Instructions" xr:uid="{00000000-0004-0000-0800-000001000000}"/>
  </hyperlinks>
  <pageMargins left="0.75" right="0.75" top="1" bottom="1" header="0.5" footer="0.5"/>
  <pageSetup scale="78" orientation="portrait" horizontalDpi="90" verticalDpi="9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96</vt:i4>
      </vt:variant>
    </vt:vector>
  </HeadingPairs>
  <TitlesOfParts>
    <vt:vector size="108" baseType="lpstr">
      <vt:lpstr>Instructions</vt:lpstr>
      <vt:lpstr>Financial_Highlights</vt:lpstr>
      <vt:lpstr>Balance_Sheet</vt:lpstr>
      <vt:lpstr>Income_Statement</vt:lpstr>
      <vt:lpstr>Underwriting_Analysis</vt:lpstr>
      <vt:lpstr>Investment_Analysis</vt:lpstr>
      <vt:lpstr>Capital_Adequacy</vt:lpstr>
      <vt:lpstr>Reserve_Analysis</vt:lpstr>
      <vt:lpstr>In_Force_and_Size</vt:lpstr>
      <vt:lpstr>Reinsurance</vt:lpstr>
      <vt:lpstr>Peer_Analysis</vt:lpstr>
      <vt:lpstr>Company_List</vt:lpstr>
      <vt:lpstr>Clear_1</vt:lpstr>
      <vt:lpstr>Clear_10</vt:lpstr>
      <vt:lpstr>Clear_11</vt:lpstr>
      <vt:lpstr>Clear_12</vt:lpstr>
      <vt:lpstr>Clear_13</vt:lpstr>
      <vt:lpstr>Clear_14</vt:lpstr>
      <vt:lpstr>Clear_16</vt:lpstr>
      <vt:lpstr>Clear_17</vt:lpstr>
      <vt:lpstr>Clear_18</vt:lpstr>
      <vt:lpstr>Clear_19</vt:lpstr>
      <vt:lpstr>Clear_2</vt:lpstr>
      <vt:lpstr>Clear_3</vt:lpstr>
      <vt:lpstr>Clear_4</vt:lpstr>
      <vt:lpstr>Clear_5</vt:lpstr>
      <vt:lpstr>Clear_6</vt:lpstr>
      <vt:lpstr>Clear_7</vt:lpstr>
      <vt:lpstr>Clear_8</vt:lpstr>
      <vt:lpstr>Clear_9</vt:lpstr>
      <vt:lpstr>Copy_Peer1</vt:lpstr>
      <vt:lpstr>Copy_Peer2</vt:lpstr>
      <vt:lpstr>Copy_PeerNote</vt:lpstr>
      <vt:lpstr>Copy_Peers</vt:lpstr>
      <vt:lpstr>Curr_Label</vt:lpstr>
      <vt:lpstr>Entity_1</vt:lpstr>
      <vt:lpstr>Entity_10</vt:lpstr>
      <vt:lpstr>Entity_2</vt:lpstr>
      <vt:lpstr>Entity_3</vt:lpstr>
      <vt:lpstr>Entity_4</vt:lpstr>
      <vt:lpstr>Entity_5</vt:lpstr>
      <vt:lpstr>Entity_6</vt:lpstr>
      <vt:lpstr>Entity_7</vt:lpstr>
      <vt:lpstr>Entity_8</vt:lpstr>
      <vt:lpstr>Entity_9</vt:lpstr>
      <vt:lpstr>Entity_C1</vt:lpstr>
      <vt:lpstr>Entity_C10</vt:lpstr>
      <vt:lpstr>Entity_C2</vt:lpstr>
      <vt:lpstr>Entity_C3</vt:lpstr>
      <vt:lpstr>Entity_C4</vt:lpstr>
      <vt:lpstr>Entity_C5</vt:lpstr>
      <vt:lpstr>Entity_C6</vt:lpstr>
      <vt:lpstr>Entity_C7</vt:lpstr>
      <vt:lpstr>Entity_C8</vt:lpstr>
      <vt:lpstr>Entity_C9</vt:lpstr>
      <vt:lpstr>Entity_Code</vt:lpstr>
      <vt:lpstr>Entity_Name</vt:lpstr>
      <vt:lpstr>Fields_Life</vt:lpstr>
      <vt:lpstr>FocusCo_Bus.Focus</vt:lpstr>
      <vt:lpstr>FocusCo_Name</vt:lpstr>
      <vt:lpstr>FocusCo_Region</vt:lpstr>
      <vt:lpstr>Ind_Code</vt:lpstr>
      <vt:lpstr>Ind_data</vt:lpstr>
      <vt:lpstr>Ind_Field</vt:lpstr>
      <vt:lpstr>Ind_Table</vt:lpstr>
      <vt:lpstr>Key_Fields</vt:lpstr>
      <vt:lpstr>L_1</vt:lpstr>
      <vt:lpstr>Label_1</vt:lpstr>
      <vt:lpstr>Parms_Copy</vt:lpstr>
      <vt:lpstr>Parms_Paste</vt:lpstr>
      <vt:lpstr>Paste_PeerNote</vt:lpstr>
      <vt:lpstr>Paste_Peers</vt:lpstr>
      <vt:lpstr>Period</vt:lpstr>
      <vt:lpstr>Balance_Sheet!Print_Area</vt:lpstr>
      <vt:lpstr>Capital_Adequacy!Print_Area</vt:lpstr>
      <vt:lpstr>Financial_Highlights!Print_Area</vt:lpstr>
      <vt:lpstr>In_Force_and_Size!Print_Area</vt:lpstr>
      <vt:lpstr>Income_Statement!Print_Area</vt:lpstr>
      <vt:lpstr>Investment_Analysis!Print_Area</vt:lpstr>
      <vt:lpstr>Reinsurance!Print_Area</vt:lpstr>
      <vt:lpstr>Reserve_Analysis!Print_Area</vt:lpstr>
      <vt:lpstr>Underwriting_Analysis!Print_Area</vt:lpstr>
      <vt:lpstr>Financial_Highlights!Print_Titles</vt:lpstr>
      <vt:lpstr>Income_Statement!Print_Titles</vt:lpstr>
      <vt:lpstr>Investment_Analysis!Print_Titles</vt:lpstr>
      <vt:lpstr>Peer_Analysis!Print_Titles</vt:lpstr>
      <vt:lpstr>Reserve_Analysis!Print_Titles</vt:lpstr>
      <vt:lpstr>Query</vt:lpstr>
      <vt:lpstr>Query_Peers</vt:lpstr>
      <vt:lpstr>Query_Peers_KF</vt:lpstr>
      <vt:lpstr>Rep_Level</vt:lpstr>
      <vt:lpstr>Sector_Bus.Foc_KF</vt:lpstr>
      <vt:lpstr>Sector_DPW_KF</vt:lpstr>
      <vt:lpstr>Sector_DPW_Label</vt:lpstr>
      <vt:lpstr>Sector_Ind_Code</vt:lpstr>
      <vt:lpstr>Sector_Name</vt:lpstr>
      <vt:lpstr>Sector_Parm_Code</vt:lpstr>
      <vt:lpstr>Selected_Field</vt:lpstr>
      <vt:lpstr>Selected_Field_Check</vt:lpstr>
      <vt:lpstr>Selected_Field_KF</vt:lpstr>
      <vt:lpstr>SNLLabel_Fx</vt:lpstr>
      <vt:lpstr>Table_Focus</vt:lpstr>
      <vt:lpstr>Table_Focus_Clear</vt:lpstr>
      <vt:lpstr>Table_Focus_Code</vt:lpstr>
      <vt:lpstr>Table_Focus_KF</vt:lpstr>
      <vt:lpstr>Table_Focus_Sec</vt:lpstr>
      <vt:lpstr>Trim_Curr</vt:lpstr>
      <vt:lpstr>Update</vt:lpstr>
    </vt:vector>
  </TitlesOfParts>
  <Company>S&amp;P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Muchhal, Rishabh</dc:creator>
  <cp:lastModifiedBy>Java Hsu</cp:lastModifiedBy>
  <cp:lastPrinted>2020-03-07T10:56:16Z</cp:lastPrinted>
  <dcterms:created xsi:type="dcterms:W3CDTF">2020-02-11T09:52:22Z</dcterms:created>
  <dcterms:modified xsi:type="dcterms:W3CDTF">2021-01-30T15:32:46Z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{1721319C-51E1-4449-995C-57ABFA515D68}</vt:lpwstr>
  </property>
  <property fmtid="{D5CDD505-2E9C-101B-9397-08002B2CF9AE}" pid="3" name="snltemplateid">
    <vt:r8>404154566</vt:r8>
  </property>
  <property fmtid="{D5CDD505-2E9C-101B-9397-08002B2CF9AE}" pid="4" name="KeyFile">
    <vt:r8>404154566</vt:r8>
  </property>
</Properties>
</file>