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 Jin Da\Desktop\"/>
    </mc:Choice>
  </mc:AlternateContent>
  <xr:revisionPtr revIDLastSave="0" documentId="13_ncr:1_{FD84A091-4D9E-474C-A59F-C4B6C1D8D2E2}" xr6:coauthVersionLast="45" xr6:coauthVersionMax="45" xr10:uidLastSave="{00000000-0000-0000-0000-000000000000}"/>
  <bookViews>
    <workbookView xWindow="-108" yWindow="-108" windowWidth="23256" windowHeight="12576" tabRatio="601" activeTab="4" xr2:uid="{00000000-000D-0000-FFFF-FFFF00000000}"/>
  </bookViews>
  <sheets>
    <sheet name="Reagent Stoichiometry" sheetId="33" r:id="rId1"/>
    <sheet name="Sorting Preparation" sheetId="45" r:id="rId2"/>
    <sheet name="Sorted Conditions" sheetId="46" r:id="rId3"/>
    <sheet name="Timing Calculation" sheetId="29" r:id="rId4"/>
    <sheet name="Final Experiment" sheetId="4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7" i="44" l="1"/>
  <c r="C110" i="44"/>
  <c r="C83" i="44"/>
  <c r="C56" i="44"/>
  <c r="C29" i="44"/>
  <c r="B109" i="46" l="1"/>
  <c r="B107" i="46"/>
  <c r="B105" i="46"/>
  <c r="E105" i="46" s="1"/>
  <c r="B103" i="46"/>
  <c r="C103" i="46" s="1"/>
  <c r="B101" i="46"/>
  <c r="C101" i="46" s="1"/>
  <c r="B99" i="46"/>
  <c r="C99" i="46" s="1"/>
  <c r="B97" i="46"/>
  <c r="E97" i="46" s="1"/>
  <c r="B95" i="46"/>
  <c r="C95" i="46" s="1"/>
  <c r="B93" i="46"/>
  <c r="C93" i="46" s="1"/>
  <c r="B108" i="46"/>
  <c r="F108" i="46" s="1"/>
  <c r="G108" i="46" s="1"/>
  <c r="H108" i="46" s="1"/>
  <c r="B106" i="46"/>
  <c r="B104" i="46"/>
  <c r="F104" i="46" s="1"/>
  <c r="G104" i="46" s="1"/>
  <c r="H104" i="46" s="1"/>
  <c r="B102" i="46"/>
  <c r="F102" i="46" s="1"/>
  <c r="G102" i="46" s="1"/>
  <c r="H102" i="46" s="1"/>
  <c r="B100" i="46"/>
  <c r="F100" i="46" s="1"/>
  <c r="G100" i="46" s="1"/>
  <c r="H100" i="46" s="1"/>
  <c r="B98" i="46"/>
  <c r="F98" i="46" s="1"/>
  <c r="G98" i="46" s="1"/>
  <c r="H98" i="46" s="1"/>
  <c r="B96" i="46"/>
  <c r="F96" i="46" s="1"/>
  <c r="G96" i="46" s="1"/>
  <c r="H96" i="46" s="1"/>
  <c r="B94" i="46"/>
  <c r="F94" i="46" s="1"/>
  <c r="G94" i="46" s="1"/>
  <c r="H94" i="46" s="1"/>
  <c r="A94" i="46"/>
  <c r="A96" i="46" s="1"/>
  <c r="A98" i="46" s="1"/>
  <c r="A100" i="46" s="1"/>
  <c r="A102" i="46" s="1"/>
  <c r="A104" i="46" s="1"/>
  <c r="A106" i="46" s="1"/>
  <c r="A108" i="46" s="1"/>
  <c r="B92" i="46"/>
  <c r="F92" i="46" s="1"/>
  <c r="G92" i="46" s="1"/>
  <c r="H92" i="46" s="1"/>
  <c r="B87" i="46"/>
  <c r="E87" i="46" s="1"/>
  <c r="B85" i="46"/>
  <c r="E85" i="46" s="1"/>
  <c r="B83" i="46"/>
  <c r="E83" i="46" s="1"/>
  <c r="B81" i="46"/>
  <c r="C81" i="46" s="1"/>
  <c r="B79" i="46"/>
  <c r="C79" i="46" s="1"/>
  <c r="B77" i="46"/>
  <c r="B75" i="46"/>
  <c r="B73" i="46"/>
  <c r="E73" i="46" s="1"/>
  <c r="B71" i="46"/>
  <c r="C71" i="46" s="1"/>
  <c r="B86" i="46"/>
  <c r="F86" i="46" s="1"/>
  <c r="G86" i="46" s="1"/>
  <c r="H86" i="46" s="1"/>
  <c r="B84" i="46"/>
  <c r="F84" i="46" s="1"/>
  <c r="G84" i="46" s="1"/>
  <c r="H84" i="46" s="1"/>
  <c r="B82" i="46"/>
  <c r="F82" i="46" s="1"/>
  <c r="G82" i="46" s="1"/>
  <c r="H82" i="46" s="1"/>
  <c r="B80" i="46"/>
  <c r="B78" i="46"/>
  <c r="F78" i="46" s="1"/>
  <c r="G78" i="46" s="1"/>
  <c r="H78" i="46" s="1"/>
  <c r="B76" i="46"/>
  <c r="F76" i="46" s="1"/>
  <c r="G76" i="46" s="1"/>
  <c r="H76" i="46" s="1"/>
  <c r="B74" i="46"/>
  <c r="B72" i="46"/>
  <c r="F72" i="46" s="1"/>
  <c r="G72" i="46" s="1"/>
  <c r="H72" i="46" s="1"/>
  <c r="A72" i="46"/>
  <c r="A74" i="46" s="1"/>
  <c r="A76" i="46" s="1"/>
  <c r="A78" i="46" s="1"/>
  <c r="A80" i="46" s="1"/>
  <c r="A82" i="46" s="1"/>
  <c r="A84" i="46" s="1"/>
  <c r="A86" i="46" s="1"/>
  <c r="B70" i="46"/>
  <c r="F70" i="46" s="1"/>
  <c r="G70" i="46" s="1"/>
  <c r="H70" i="46" s="1"/>
  <c r="B65" i="46"/>
  <c r="B63" i="46"/>
  <c r="B61" i="46"/>
  <c r="E61" i="46" s="1"/>
  <c r="B59" i="46"/>
  <c r="B57" i="46"/>
  <c r="E57" i="46" s="1"/>
  <c r="B55" i="46"/>
  <c r="E55" i="46" s="1"/>
  <c r="B53" i="46"/>
  <c r="C53" i="46" s="1"/>
  <c r="B51" i="46"/>
  <c r="B49" i="46"/>
  <c r="E49" i="46" s="1"/>
  <c r="B64" i="46"/>
  <c r="F64" i="46" s="1"/>
  <c r="G64" i="46" s="1"/>
  <c r="H64" i="46" s="1"/>
  <c r="B62" i="46"/>
  <c r="F62" i="46" s="1"/>
  <c r="G62" i="46" s="1"/>
  <c r="H62" i="46" s="1"/>
  <c r="B60" i="46"/>
  <c r="F60" i="46" s="1"/>
  <c r="G60" i="46" s="1"/>
  <c r="H60" i="46" s="1"/>
  <c r="B58" i="46"/>
  <c r="F58" i="46" s="1"/>
  <c r="G58" i="46" s="1"/>
  <c r="H58" i="46" s="1"/>
  <c r="H56" i="46"/>
  <c r="B56" i="46"/>
  <c r="F56" i="46" s="1"/>
  <c r="G56" i="46" s="1"/>
  <c r="B54" i="46"/>
  <c r="F54" i="46" s="1"/>
  <c r="G54" i="46" s="1"/>
  <c r="H54" i="46" s="1"/>
  <c r="A54" i="46"/>
  <c r="A56" i="46" s="1"/>
  <c r="A58" i="46" s="1"/>
  <c r="A60" i="46" s="1"/>
  <c r="A62" i="46" s="1"/>
  <c r="A64" i="46" s="1"/>
  <c r="F52" i="46"/>
  <c r="G52" i="46" s="1"/>
  <c r="H52" i="46" s="1"/>
  <c r="B52" i="46"/>
  <c r="B50" i="46"/>
  <c r="F50" i="46" s="1"/>
  <c r="G50" i="46" s="1"/>
  <c r="H50" i="46" s="1"/>
  <c r="A50" i="46"/>
  <c r="A52" i="46" s="1"/>
  <c r="B48" i="46"/>
  <c r="B43" i="46"/>
  <c r="E43" i="46" s="1"/>
  <c r="B41" i="46"/>
  <c r="C41" i="46" s="1"/>
  <c r="B39" i="46"/>
  <c r="C39" i="46" s="1"/>
  <c r="B37" i="46"/>
  <c r="E37" i="46" s="1"/>
  <c r="B35" i="46"/>
  <c r="E35" i="46" s="1"/>
  <c r="B33" i="46"/>
  <c r="C33" i="46" s="1"/>
  <c r="B31" i="46"/>
  <c r="C31" i="46" s="1"/>
  <c r="B29" i="46"/>
  <c r="C29" i="46" s="1"/>
  <c r="B27" i="46"/>
  <c r="B42" i="46"/>
  <c r="F42" i="46" s="1"/>
  <c r="G42" i="46" s="1"/>
  <c r="H42" i="46" s="1"/>
  <c r="B40" i="46"/>
  <c r="B38" i="46"/>
  <c r="F38" i="46" s="1"/>
  <c r="G38" i="46" s="1"/>
  <c r="H38" i="46" s="1"/>
  <c r="B36" i="46"/>
  <c r="F36" i="46" s="1"/>
  <c r="G36" i="46" s="1"/>
  <c r="H36" i="46" s="1"/>
  <c r="B34" i="46"/>
  <c r="B32" i="46"/>
  <c r="F32" i="46" s="1"/>
  <c r="G32" i="46" s="1"/>
  <c r="H32" i="46" s="1"/>
  <c r="B30" i="46"/>
  <c r="F30" i="46" s="1"/>
  <c r="G30" i="46" s="1"/>
  <c r="H30" i="46" s="1"/>
  <c r="B28" i="46"/>
  <c r="F28" i="46" s="1"/>
  <c r="G28" i="46" s="1"/>
  <c r="H28" i="46" s="1"/>
  <c r="A28" i="46"/>
  <c r="A30" i="46" s="1"/>
  <c r="A32" i="46" s="1"/>
  <c r="A34" i="46" s="1"/>
  <c r="A36" i="46" s="1"/>
  <c r="A38" i="46" s="1"/>
  <c r="A40" i="46" s="1"/>
  <c r="A42" i="46" s="1"/>
  <c r="B26" i="46"/>
  <c r="F26" i="46" s="1"/>
  <c r="G26" i="46" s="1"/>
  <c r="H26" i="46" s="1"/>
  <c r="B21" i="46"/>
  <c r="C21" i="46" s="1"/>
  <c r="B19" i="46"/>
  <c r="C19" i="46" s="1"/>
  <c r="B17" i="46"/>
  <c r="C17" i="46" s="1"/>
  <c r="B15" i="46"/>
  <c r="B13" i="46"/>
  <c r="E13" i="46" s="1"/>
  <c r="B11" i="46"/>
  <c r="B9" i="46"/>
  <c r="E9" i="46" s="1"/>
  <c r="B7" i="46"/>
  <c r="E7" i="46" s="1"/>
  <c r="B5" i="46"/>
  <c r="C5" i="46" s="1"/>
  <c r="B20" i="46"/>
  <c r="F20" i="46" s="1"/>
  <c r="G20" i="46" s="1"/>
  <c r="H20" i="46" s="1"/>
  <c r="B18" i="46"/>
  <c r="F18" i="46" s="1"/>
  <c r="G18" i="46" s="1"/>
  <c r="H18" i="46" s="1"/>
  <c r="B16" i="46"/>
  <c r="F16" i="46" s="1"/>
  <c r="G16" i="46" s="1"/>
  <c r="H16" i="46" s="1"/>
  <c r="B14" i="46"/>
  <c r="F14" i="46" s="1"/>
  <c r="G14" i="46" s="1"/>
  <c r="H14" i="46" s="1"/>
  <c r="B12" i="46"/>
  <c r="F12" i="46" s="1"/>
  <c r="G12" i="46" s="1"/>
  <c r="H12" i="46" s="1"/>
  <c r="B10" i="46"/>
  <c r="F10" i="46" s="1"/>
  <c r="G10" i="46" s="1"/>
  <c r="H10" i="46" s="1"/>
  <c r="B8" i="46"/>
  <c r="A8" i="46"/>
  <c r="A10" i="46" s="1"/>
  <c r="A12" i="46" s="1"/>
  <c r="A14" i="46" s="1"/>
  <c r="A16" i="46" s="1"/>
  <c r="A18" i="46" s="1"/>
  <c r="A20" i="46" s="1"/>
  <c r="B6" i="46"/>
  <c r="F6" i="46" s="1"/>
  <c r="G6" i="46" s="1"/>
  <c r="H6" i="46" s="1"/>
  <c r="A6" i="46"/>
  <c r="B4" i="46"/>
  <c r="F4" i="46" s="1"/>
  <c r="G4" i="46" s="1"/>
  <c r="H4" i="46" s="1"/>
  <c r="F2" i="46"/>
  <c r="F80" i="46" s="1"/>
  <c r="G80" i="46" s="1"/>
  <c r="H80" i="46" s="1"/>
  <c r="E2" i="46"/>
  <c r="E101" i="46" s="1"/>
  <c r="D2" i="46"/>
  <c r="C2" i="46"/>
  <c r="B109" i="45"/>
  <c r="E108" i="45"/>
  <c r="B108" i="45"/>
  <c r="B107" i="45"/>
  <c r="B106" i="45"/>
  <c r="B105" i="45"/>
  <c r="B104" i="45"/>
  <c r="D103" i="45"/>
  <c r="B103" i="45"/>
  <c r="B102" i="45"/>
  <c r="B101" i="45"/>
  <c r="B100" i="45"/>
  <c r="B99" i="45"/>
  <c r="F99" i="45" s="1"/>
  <c r="G99" i="45" s="1"/>
  <c r="H99" i="45" s="1"/>
  <c r="B98" i="45"/>
  <c r="B97" i="45"/>
  <c r="B96" i="45"/>
  <c r="B95" i="45"/>
  <c r="B94" i="45"/>
  <c r="A94" i="45"/>
  <c r="A95" i="45" s="1"/>
  <c r="A96" i="45" s="1"/>
  <c r="A97" i="45" s="1"/>
  <c r="A98" i="45" s="1"/>
  <c r="A99" i="45" s="1"/>
  <c r="A100" i="45" s="1"/>
  <c r="B93" i="45"/>
  <c r="A93" i="45"/>
  <c r="B92" i="45"/>
  <c r="B87" i="45"/>
  <c r="B86" i="45"/>
  <c r="D86" i="45" s="1"/>
  <c r="B85" i="45"/>
  <c r="B84" i="45"/>
  <c r="B83" i="45"/>
  <c r="B82" i="45"/>
  <c r="B81" i="45"/>
  <c r="E80" i="45"/>
  <c r="B80" i="45"/>
  <c r="B79" i="45"/>
  <c r="E79" i="45" s="1"/>
  <c r="B78" i="45"/>
  <c r="F78" i="45" s="1"/>
  <c r="G78" i="45" s="1"/>
  <c r="H78" i="45" s="1"/>
  <c r="B77" i="45"/>
  <c r="B76" i="45"/>
  <c r="B75" i="45"/>
  <c r="B74" i="45"/>
  <c r="B73" i="45"/>
  <c r="F72" i="45"/>
  <c r="G72" i="45" s="1"/>
  <c r="H72" i="45" s="1"/>
  <c r="B72" i="45"/>
  <c r="A72" i="45"/>
  <c r="A73" i="45" s="1"/>
  <c r="A74" i="45" s="1"/>
  <c r="A75" i="45" s="1"/>
  <c r="A76" i="45" s="1"/>
  <c r="A77" i="45" s="1"/>
  <c r="A78" i="45" s="1"/>
  <c r="B71" i="45"/>
  <c r="F71" i="45" s="1"/>
  <c r="G71" i="45" s="1"/>
  <c r="H71" i="45" s="1"/>
  <c r="A71" i="45"/>
  <c r="B70" i="45"/>
  <c r="B65" i="45"/>
  <c r="B64" i="45"/>
  <c r="B63" i="45"/>
  <c r="E63" i="45" s="1"/>
  <c r="E62" i="45"/>
  <c r="B62" i="45"/>
  <c r="B61" i="45"/>
  <c r="B60" i="45"/>
  <c r="B59" i="45"/>
  <c r="D58" i="45"/>
  <c r="B58" i="45"/>
  <c r="D57" i="45"/>
  <c r="B57" i="45"/>
  <c r="B56" i="45"/>
  <c r="F56" i="45" s="1"/>
  <c r="G56" i="45" s="1"/>
  <c r="H56" i="45" s="1"/>
  <c r="B55" i="45"/>
  <c r="B54" i="45"/>
  <c r="B53" i="45"/>
  <c r="B52" i="45"/>
  <c r="F51" i="45"/>
  <c r="G51" i="45" s="1"/>
  <c r="H51" i="45" s="1"/>
  <c r="B51" i="45"/>
  <c r="B50" i="45"/>
  <c r="B49" i="45"/>
  <c r="A49" i="45"/>
  <c r="A50" i="45" s="1"/>
  <c r="A51" i="45" s="1"/>
  <c r="A52" i="45" s="1"/>
  <c r="A53" i="45" s="1"/>
  <c r="A54" i="45" s="1"/>
  <c r="A55" i="45" s="1"/>
  <c r="A56" i="45" s="1"/>
  <c r="B48" i="45"/>
  <c r="B43" i="45"/>
  <c r="B42" i="45"/>
  <c r="B41" i="45"/>
  <c r="D41" i="45" s="1"/>
  <c r="D40" i="45"/>
  <c r="B40" i="45"/>
  <c r="E39" i="45"/>
  <c r="B39" i="45"/>
  <c r="B38" i="45"/>
  <c r="B37" i="45"/>
  <c r="B36" i="45"/>
  <c r="B35" i="45"/>
  <c r="B34" i="45"/>
  <c r="B33" i="45"/>
  <c r="B32" i="45"/>
  <c r="B31" i="45"/>
  <c r="F30" i="45"/>
  <c r="G30" i="45" s="1"/>
  <c r="H30" i="45" s="1"/>
  <c r="B30" i="45"/>
  <c r="B29" i="45"/>
  <c r="F29" i="45" s="1"/>
  <c r="G29" i="45" s="1"/>
  <c r="H29" i="45" s="1"/>
  <c r="B28" i="45"/>
  <c r="A28" i="45"/>
  <c r="A29" i="45" s="1"/>
  <c r="A30" i="45" s="1"/>
  <c r="A31" i="45" s="1"/>
  <c r="A32" i="45" s="1"/>
  <c r="A33" i="45" s="1"/>
  <c r="A34" i="45" s="1"/>
  <c r="B27" i="45"/>
  <c r="A27" i="45"/>
  <c r="B26" i="45"/>
  <c r="B21" i="45"/>
  <c r="B20" i="45"/>
  <c r="B19" i="45"/>
  <c r="B18" i="45"/>
  <c r="E17" i="45"/>
  <c r="B17" i="45"/>
  <c r="D17" i="45" s="1"/>
  <c r="E16" i="45"/>
  <c r="B16" i="45"/>
  <c r="B15" i="45"/>
  <c r="B14" i="45"/>
  <c r="B13" i="45"/>
  <c r="B12" i="45"/>
  <c r="F12" i="45" s="1"/>
  <c r="G12" i="45" s="1"/>
  <c r="H12" i="45" s="1"/>
  <c r="B11" i="45"/>
  <c r="B10" i="45"/>
  <c r="B9" i="45"/>
  <c r="F9" i="45" s="1"/>
  <c r="G9" i="45" s="1"/>
  <c r="H9" i="45" s="1"/>
  <c r="B8" i="45"/>
  <c r="F8" i="45" s="1"/>
  <c r="G8" i="45" s="1"/>
  <c r="H8" i="45" s="1"/>
  <c r="B7" i="45"/>
  <c r="F7" i="45" s="1"/>
  <c r="G7" i="45" s="1"/>
  <c r="H7" i="45" s="1"/>
  <c r="B6" i="45"/>
  <c r="B5" i="45"/>
  <c r="F5" i="45" s="1"/>
  <c r="G5" i="45" s="1"/>
  <c r="H5" i="45" s="1"/>
  <c r="A5" i="45"/>
  <c r="A6" i="45" s="1"/>
  <c r="A7" i="45" s="1"/>
  <c r="A8" i="45" s="1"/>
  <c r="A9" i="45" s="1"/>
  <c r="A10" i="45" s="1"/>
  <c r="A11" i="45" s="1"/>
  <c r="A12" i="45" s="1"/>
  <c r="B4" i="45"/>
  <c r="F2" i="45"/>
  <c r="E2" i="45"/>
  <c r="D2" i="45"/>
  <c r="D101" i="45" s="1"/>
  <c r="C2" i="45"/>
  <c r="C108" i="45" s="1"/>
  <c r="C13" i="46" l="1"/>
  <c r="D13" i="46"/>
  <c r="F74" i="45"/>
  <c r="G74" i="45" s="1"/>
  <c r="H74" i="45" s="1"/>
  <c r="D17" i="46"/>
  <c r="E106" i="45"/>
  <c r="E17" i="46"/>
  <c r="F17" i="46" s="1"/>
  <c r="G17" i="46" s="1"/>
  <c r="H17" i="46" s="1"/>
  <c r="E95" i="46"/>
  <c r="C105" i="46"/>
  <c r="D109" i="46"/>
  <c r="C73" i="46"/>
  <c r="C83" i="46"/>
  <c r="C61" i="46"/>
  <c r="C35" i="46"/>
  <c r="E31" i="46"/>
  <c r="D9" i="46"/>
  <c r="D29" i="46"/>
  <c r="D103" i="46"/>
  <c r="E29" i="46"/>
  <c r="E39" i="46"/>
  <c r="F39" i="46" s="1"/>
  <c r="G39" i="46" s="1"/>
  <c r="H39" i="46" s="1"/>
  <c r="C59" i="46"/>
  <c r="D75" i="46"/>
  <c r="D35" i="46"/>
  <c r="C55" i="46"/>
  <c r="D99" i="46"/>
  <c r="D105" i="46"/>
  <c r="D15" i="46"/>
  <c r="C51" i="46"/>
  <c r="D55" i="46"/>
  <c r="C65" i="46"/>
  <c r="C87" i="46"/>
  <c r="F87" i="46" s="1"/>
  <c r="E99" i="46"/>
  <c r="C49" i="46"/>
  <c r="F49" i="46" s="1"/>
  <c r="D65" i="46"/>
  <c r="F13" i="46"/>
  <c r="G13" i="46" s="1"/>
  <c r="H13" i="46" s="1"/>
  <c r="D43" i="46"/>
  <c r="D39" i="46"/>
  <c r="D95" i="46"/>
  <c r="C11" i="46"/>
  <c r="E51" i="46"/>
  <c r="D61" i="46"/>
  <c r="E65" i="46"/>
  <c r="C77" i="46"/>
  <c r="C7" i="46"/>
  <c r="F7" i="46" s="1"/>
  <c r="D21" i="46"/>
  <c r="F21" i="46" s="1"/>
  <c r="G21" i="46" s="1"/>
  <c r="H21" i="46" s="1"/>
  <c r="D77" i="46"/>
  <c r="D83" i="46"/>
  <c r="D63" i="46"/>
  <c r="E19" i="46"/>
  <c r="D51" i="46"/>
  <c r="D87" i="46"/>
  <c r="D7" i="46"/>
  <c r="D27" i="46"/>
  <c r="C37" i="46"/>
  <c r="D57" i="46"/>
  <c r="E77" i="46"/>
  <c r="C107" i="46"/>
  <c r="D73" i="46"/>
  <c r="E79" i="46"/>
  <c r="C109" i="46"/>
  <c r="D33" i="46"/>
  <c r="C43" i="46"/>
  <c r="E103" i="46"/>
  <c r="D79" i="46"/>
  <c r="F79" i="46" s="1"/>
  <c r="D31" i="46"/>
  <c r="D19" i="46"/>
  <c r="D101" i="46"/>
  <c r="D53" i="46"/>
  <c r="F53" i="46" s="1"/>
  <c r="D41" i="46"/>
  <c r="D5" i="46"/>
  <c r="D97" i="46"/>
  <c r="D85" i="46"/>
  <c r="D49" i="46"/>
  <c r="D37" i="46"/>
  <c r="D107" i="46"/>
  <c r="D71" i="46"/>
  <c r="F71" i="46" s="1"/>
  <c r="G71" i="46" s="1"/>
  <c r="H71" i="46" s="1"/>
  <c r="D59" i="46"/>
  <c r="F59" i="46" s="1"/>
  <c r="D11" i="46"/>
  <c r="F11" i="46" s="1"/>
  <c r="D93" i="46"/>
  <c r="D81" i="46"/>
  <c r="E109" i="46"/>
  <c r="E21" i="46"/>
  <c r="E33" i="46"/>
  <c r="E81" i="46"/>
  <c r="C85" i="46"/>
  <c r="F85" i="46" s="1"/>
  <c r="E93" i="46"/>
  <c r="C97" i="46"/>
  <c r="F97" i="46" s="1"/>
  <c r="E11" i="46"/>
  <c r="C15" i="46"/>
  <c r="F34" i="46"/>
  <c r="G34" i="46" s="1"/>
  <c r="H34" i="46" s="1"/>
  <c r="C27" i="46"/>
  <c r="E59" i="46"/>
  <c r="C63" i="46"/>
  <c r="F74" i="46"/>
  <c r="G74" i="46" s="1"/>
  <c r="H74" i="46" s="1"/>
  <c r="E71" i="46"/>
  <c r="C75" i="46"/>
  <c r="F106" i="46"/>
  <c r="G106" i="46" s="1"/>
  <c r="H106" i="46" s="1"/>
  <c r="E107" i="46"/>
  <c r="E15" i="46"/>
  <c r="E27" i="46"/>
  <c r="E63" i="46"/>
  <c r="E75" i="46"/>
  <c r="F8" i="46"/>
  <c r="G8" i="46" s="1"/>
  <c r="H8" i="46" s="1"/>
  <c r="E5" i="46"/>
  <c r="C9" i="46"/>
  <c r="F40" i="46"/>
  <c r="G40" i="46" s="1"/>
  <c r="H40" i="46" s="1"/>
  <c r="E41" i="46"/>
  <c r="F41" i="46" s="1"/>
  <c r="F48" i="46"/>
  <c r="G48" i="46" s="1"/>
  <c r="H48" i="46" s="1"/>
  <c r="E53" i="46"/>
  <c r="C57" i="46"/>
  <c r="F108" i="45"/>
  <c r="G108" i="45"/>
  <c r="H108" i="45" s="1"/>
  <c r="F105" i="45"/>
  <c r="E14" i="45"/>
  <c r="F32" i="45"/>
  <c r="G32" i="45" s="1"/>
  <c r="H32" i="45" s="1"/>
  <c r="E43" i="45"/>
  <c r="E60" i="45"/>
  <c r="F10" i="45"/>
  <c r="G10" i="45" s="1"/>
  <c r="H10" i="45" s="1"/>
  <c r="D16" i="45"/>
  <c r="E21" i="45"/>
  <c r="E38" i="45"/>
  <c r="C40" i="45"/>
  <c r="F52" i="45"/>
  <c r="G52" i="45" s="1"/>
  <c r="H52" i="45" s="1"/>
  <c r="C57" i="45"/>
  <c r="D62" i="45"/>
  <c r="D79" i="45"/>
  <c r="E84" i="45"/>
  <c r="C86" i="45"/>
  <c r="F94" i="45"/>
  <c r="G94" i="45" s="1"/>
  <c r="H94" i="45" s="1"/>
  <c r="E101" i="45"/>
  <c r="C103" i="45"/>
  <c r="D108" i="45"/>
  <c r="C35" i="45"/>
  <c r="C64" i="45"/>
  <c r="D35" i="45"/>
  <c r="E40" i="45"/>
  <c r="F40" i="45" s="1"/>
  <c r="C42" i="45"/>
  <c r="F42" i="45" s="1"/>
  <c r="F50" i="45"/>
  <c r="G50" i="45" s="1"/>
  <c r="H50" i="45" s="1"/>
  <c r="E57" i="45"/>
  <c r="C59" i="45"/>
  <c r="D64" i="45"/>
  <c r="F77" i="45"/>
  <c r="G77" i="45" s="1"/>
  <c r="H77" i="45" s="1"/>
  <c r="D81" i="45"/>
  <c r="E86" i="45"/>
  <c r="F92" i="45"/>
  <c r="G92" i="45" s="1"/>
  <c r="H92" i="45" s="1"/>
  <c r="E103" i="45"/>
  <c r="C105" i="45"/>
  <c r="D13" i="45"/>
  <c r="E18" i="45"/>
  <c r="C20" i="45"/>
  <c r="F28" i="45"/>
  <c r="G28" i="45" s="1"/>
  <c r="H28" i="45" s="1"/>
  <c r="E35" i="45"/>
  <c r="C37" i="45"/>
  <c r="D42" i="45"/>
  <c r="F55" i="45"/>
  <c r="G55" i="45" s="1"/>
  <c r="H55" i="45" s="1"/>
  <c r="D59" i="45"/>
  <c r="E64" i="45"/>
  <c r="F70" i="45"/>
  <c r="G70" i="45" s="1"/>
  <c r="H70" i="45" s="1"/>
  <c r="E81" i="45"/>
  <c r="C83" i="45"/>
  <c r="F83" i="45" s="1"/>
  <c r="F97" i="45"/>
  <c r="G97" i="45" s="1"/>
  <c r="H97" i="45" s="1"/>
  <c r="D105" i="45"/>
  <c r="F33" i="45"/>
  <c r="G33" i="45" s="1"/>
  <c r="H33" i="45" s="1"/>
  <c r="C61" i="45"/>
  <c r="D83" i="45"/>
  <c r="E105" i="45"/>
  <c r="C107" i="45"/>
  <c r="C18" i="45"/>
  <c r="D18" i="45"/>
  <c r="E13" i="45"/>
  <c r="D20" i="45"/>
  <c r="F48" i="45"/>
  <c r="G48" i="45" s="1"/>
  <c r="H48" i="45" s="1"/>
  <c r="E59" i="45"/>
  <c r="F11" i="45"/>
  <c r="G11" i="45" s="1"/>
  <c r="H11" i="45" s="1"/>
  <c r="D15" i="45"/>
  <c r="E20" i="45"/>
  <c r="F26" i="45"/>
  <c r="G26" i="45" s="1"/>
  <c r="H26" i="45" s="1"/>
  <c r="E37" i="45"/>
  <c r="C39" i="45"/>
  <c r="F53" i="45"/>
  <c r="G53" i="45" s="1"/>
  <c r="H53" i="45" s="1"/>
  <c r="D61" i="45"/>
  <c r="E83" i="45"/>
  <c r="C85" i="45"/>
  <c r="F95" i="45"/>
  <c r="G95" i="45" s="1"/>
  <c r="H95" i="45" s="1"/>
  <c r="C102" i="45"/>
  <c r="D107" i="45"/>
  <c r="C81" i="45"/>
  <c r="C13" i="45"/>
  <c r="F6" i="45"/>
  <c r="G6" i="45" s="1"/>
  <c r="H6" i="45" s="1"/>
  <c r="C15" i="45"/>
  <c r="D37" i="45"/>
  <c r="E42" i="45"/>
  <c r="F75" i="45"/>
  <c r="G75" i="45" s="1"/>
  <c r="H75" i="45" s="1"/>
  <c r="F4" i="45"/>
  <c r="G4" i="45" s="1"/>
  <c r="H4" i="45" s="1"/>
  <c r="E15" i="45"/>
  <c r="C17" i="45"/>
  <c r="F31" i="45"/>
  <c r="G31" i="45" s="1"/>
  <c r="H31" i="45" s="1"/>
  <c r="D39" i="45"/>
  <c r="E61" i="45"/>
  <c r="C63" i="45"/>
  <c r="F73" i="45"/>
  <c r="G73" i="45" s="1"/>
  <c r="H73" i="45" s="1"/>
  <c r="C80" i="45"/>
  <c r="D85" i="45"/>
  <c r="F100" i="45"/>
  <c r="G100" i="45" s="1"/>
  <c r="H100" i="45" s="1"/>
  <c r="D102" i="45"/>
  <c r="E107" i="45"/>
  <c r="C109" i="45"/>
  <c r="C41" i="45"/>
  <c r="D63" i="45"/>
  <c r="D80" i="45"/>
  <c r="E85" i="45"/>
  <c r="C87" i="45"/>
  <c r="F93" i="45"/>
  <c r="G93" i="45" s="1"/>
  <c r="H93" i="45" s="1"/>
  <c r="E102" i="45"/>
  <c r="C104" i="45"/>
  <c r="D109" i="45"/>
  <c r="C19" i="45"/>
  <c r="C82" i="45"/>
  <c r="F82" i="45" s="1"/>
  <c r="D87" i="45"/>
  <c r="F98" i="45"/>
  <c r="G98" i="45" s="1"/>
  <c r="H98" i="45" s="1"/>
  <c r="D104" i="45"/>
  <c r="E109" i="45"/>
  <c r="C65" i="45"/>
  <c r="C14" i="45"/>
  <c r="D19" i="45"/>
  <c r="F34" i="45"/>
  <c r="G34" i="45" s="1"/>
  <c r="H34" i="45" s="1"/>
  <c r="D36" i="45"/>
  <c r="E41" i="45"/>
  <c r="C43" i="45"/>
  <c r="F49" i="45"/>
  <c r="G49" i="45" s="1"/>
  <c r="H49" i="45" s="1"/>
  <c r="E58" i="45"/>
  <c r="C60" i="45"/>
  <c r="D65" i="45"/>
  <c r="F65" i="45" s="1"/>
  <c r="F76" i="45"/>
  <c r="G76" i="45" s="1"/>
  <c r="H76" i="45" s="1"/>
  <c r="D82" i="45"/>
  <c r="E87" i="45"/>
  <c r="E104" i="45"/>
  <c r="C106" i="45"/>
  <c r="C58" i="45"/>
  <c r="C36" i="45"/>
  <c r="D14" i="45"/>
  <c r="E19" i="45"/>
  <c r="C21" i="45"/>
  <c r="F27" i="45"/>
  <c r="G27" i="45" s="1"/>
  <c r="H27" i="45" s="1"/>
  <c r="E36" i="45"/>
  <c r="C38" i="45"/>
  <c r="D43" i="45"/>
  <c r="F54" i="45"/>
  <c r="G54" i="45" s="1"/>
  <c r="H54" i="45" s="1"/>
  <c r="D60" i="45"/>
  <c r="E65" i="45"/>
  <c r="E82" i="45"/>
  <c r="C84" i="45"/>
  <c r="F96" i="45"/>
  <c r="G96" i="45" s="1"/>
  <c r="H96" i="45" s="1"/>
  <c r="C101" i="45"/>
  <c r="D106" i="45"/>
  <c r="C16" i="45"/>
  <c r="D21" i="45"/>
  <c r="D38" i="45"/>
  <c r="C62" i="45"/>
  <c r="C79" i="45"/>
  <c r="D84" i="45"/>
  <c r="F93" i="46" l="1"/>
  <c r="F103" i="45"/>
  <c r="F43" i="46"/>
  <c r="F51" i="46"/>
  <c r="F77" i="46"/>
  <c r="G77" i="46" s="1"/>
  <c r="H77" i="46" s="1"/>
  <c r="F37" i="45"/>
  <c r="F109" i="46"/>
  <c r="G109" i="46" s="1"/>
  <c r="H109" i="46" s="1"/>
  <c r="F36" i="45"/>
  <c r="F60" i="45"/>
  <c r="F20" i="45"/>
  <c r="F59" i="45"/>
  <c r="G59" i="45" s="1"/>
  <c r="H59" i="45" s="1"/>
  <c r="F19" i="46"/>
  <c r="G19" i="46" s="1"/>
  <c r="H19" i="46" s="1"/>
  <c r="F95" i="46"/>
  <c r="F57" i="45"/>
  <c r="F99" i="46"/>
  <c r="F105" i="46"/>
  <c r="G105" i="46" s="1"/>
  <c r="H105" i="46" s="1"/>
  <c r="F107" i="46"/>
  <c r="G107" i="46" s="1"/>
  <c r="H107" i="46" s="1"/>
  <c r="G79" i="46"/>
  <c r="H79" i="46" s="1"/>
  <c r="F65" i="46"/>
  <c r="G65" i="46" s="1"/>
  <c r="H65" i="46" s="1"/>
  <c r="F55" i="46"/>
  <c r="G55" i="46" s="1"/>
  <c r="H55" i="46" s="1"/>
  <c r="F37" i="46"/>
  <c r="G37" i="46" s="1"/>
  <c r="H37" i="46" s="1"/>
  <c r="F33" i="46"/>
  <c r="G33" i="46" s="1"/>
  <c r="H33" i="46" s="1"/>
  <c r="F31" i="46"/>
  <c r="G31" i="46" s="1"/>
  <c r="H31" i="46" s="1"/>
  <c r="F35" i="46"/>
  <c r="G35" i="46" s="1"/>
  <c r="H35" i="46" s="1"/>
  <c r="F15" i="46"/>
  <c r="G41" i="46"/>
  <c r="H41" i="46" s="1"/>
  <c r="F29" i="46"/>
  <c r="G29" i="46" s="1"/>
  <c r="H29" i="46" s="1"/>
  <c r="G99" i="46"/>
  <c r="H99" i="46" s="1"/>
  <c r="F9" i="46"/>
  <c r="G9" i="46" s="1"/>
  <c r="H9" i="46" s="1"/>
  <c r="F81" i="46"/>
  <c r="G81" i="46" s="1"/>
  <c r="H81" i="46" s="1"/>
  <c r="F63" i="46"/>
  <c r="G63" i="46" s="1"/>
  <c r="H63" i="46" s="1"/>
  <c r="F83" i="46"/>
  <c r="G83" i="46" s="1"/>
  <c r="H83" i="46" s="1"/>
  <c r="G11" i="46"/>
  <c r="H11" i="46" s="1"/>
  <c r="G93" i="46"/>
  <c r="H93" i="46" s="1"/>
  <c r="G43" i="46"/>
  <c r="H43" i="46" s="1"/>
  <c r="G87" i="46"/>
  <c r="H87" i="46" s="1"/>
  <c r="F5" i="46"/>
  <c r="G5" i="46" s="1"/>
  <c r="H5" i="46" s="1"/>
  <c r="F103" i="46"/>
  <c r="G103" i="46" s="1"/>
  <c r="H103" i="46" s="1"/>
  <c r="G49" i="46"/>
  <c r="H49" i="46" s="1"/>
  <c r="G27" i="46"/>
  <c r="H27" i="46" s="1"/>
  <c r="G95" i="46"/>
  <c r="H95" i="46" s="1"/>
  <c r="G59" i="46"/>
  <c r="H59" i="46" s="1"/>
  <c r="F61" i="46"/>
  <c r="G61" i="46" s="1"/>
  <c r="H61" i="46" s="1"/>
  <c r="G15" i="46"/>
  <c r="H15" i="46" s="1"/>
  <c r="G51" i="46"/>
  <c r="H51" i="46" s="1"/>
  <c r="F27" i="46"/>
  <c r="G53" i="46"/>
  <c r="H53" i="46" s="1"/>
  <c r="F101" i="46"/>
  <c r="G101" i="46" s="1"/>
  <c r="H101" i="46" s="1"/>
  <c r="G7" i="46"/>
  <c r="H7" i="46" s="1"/>
  <c r="F57" i="46"/>
  <c r="G57" i="46" s="1"/>
  <c r="H57" i="46" s="1"/>
  <c r="G97" i="46"/>
  <c r="H97" i="46" s="1"/>
  <c r="F73" i="46"/>
  <c r="G73" i="46" s="1"/>
  <c r="H73" i="46" s="1"/>
  <c r="G85" i="46"/>
  <c r="H85" i="46" s="1"/>
  <c r="F75" i="46"/>
  <c r="G75" i="46" s="1"/>
  <c r="H75" i="46" s="1"/>
  <c r="F39" i="45"/>
  <c r="G39" i="45" s="1"/>
  <c r="H39" i="45" s="1"/>
  <c r="F63" i="45"/>
  <c r="G63" i="45" s="1"/>
  <c r="H63" i="45" s="1"/>
  <c r="F61" i="45"/>
  <c r="G61" i="45" s="1"/>
  <c r="H61" i="45" s="1"/>
  <c r="F38" i="45"/>
  <c r="G38" i="45"/>
  <c r="H38" i="45" s="1"/>
  <c r="G20" i="45"/>
  <c r="H20" i="45" s="1"/>
  <c r="G107" i="45"/>
  <c r="H107" i="45" s="1"/>
  <c r="F107" i="45"/>
  <c r="F62" i="45"/>
  <c r="G62" i="45" s="1"/>
  <c r="H62" i="45" s="1"/>
  <c r="F102" i="45"/>
  <c r="G102" i="45" s="1"/>
  <c r="H102" i="45" s="1"/>
  <c r="F17" i="45"/>
  <c r="G17" i="45" s="1"/>
  <c r="H17" i="45" s="1"/>
  <c r="G83" i="45"/>
  <c r="H83" i="45" s="1"/>
  <c r="G57" i="45"/>
  <c r="H57" i="45" s="1"/>
  <c r="F79" i="45"/>
  <c r="G79" i="45" s="1"/>
  <c r="H79" i="45" s="1"/>
  <c r="F87" i="45"/>
  <c r="G87" i="45" s="1"/>
  <c r="H87" i="45" s="1"/>
  <c r="G42" i="45"/>
  <c r="H42" i="45" s="1"/>
  <c r="F21" i="45"/>
  <c r="G21" i="45" s="1"/>
  <c r="H21" i="45" s="1"/>
  <c r="F85" i="45"/>
  <c r="G85" i="45" s="1"/>
  <c r="H85" i="45" s="1"/>
  <c r="G105" i="45"/>
  <c r="H105" i="45" s="1"/>
  <c r="F104" i="45"/>
  <c r="G104" i="45" s="1"/>
  <c r="H104" i="45" s="1"/>
  <c r="G65" i="45"/>
  <c r="H65" i="45" s="1"/>
  <c r="F81" i="45"/>
  <c r="G81" i="45" s="1"/>
  <c r="H81" i="45" s="1"/>
  <c r="F16" i="45"/>
  <c r="G16" i="45" s="1"/>
  <c r="H16" i="45" s="1"/>
  <c r="G60" i="45"/>
  <c r="H60" i="45" s="1"/>
  <c r="F41" i="45"/>
  <c r="G41" i="45" s="1"/>
  <c r="H41" i="45" s="1"/>
  <c r="F109" i="45"/>
  <c r="G109" i="45" s="1"/>
  <c r="H109" i="45" s="1"/>
  <c r="F101" i="45"/>
  <c r="G101" i="45" s="1"/>
  <c r="H101" i="45" s="1"/>
  <c r="G82" i="45"/>
  <c r="H82" i="45" s="1"/>
  <c r="F64" i="45"/>
  <c r="G64" i="45" s="1"/>
  <c r="H64" i="45" s="1"/>
  <c r="G40" i="45"/>
  <c r="H40" i="45" s="1"/>
  <c r="F86" i="45"/>
  <c r="G86" i="45" s="1"/>
  <c r="H86" i="45" s="1"/>
  <c r="F35" i="45"/>
  <c r="G35" i="45" s="1"/>
  <c r="H35" i="45" s="1"/>
  <c r="F84" i="45"/>
  <c r="G84" i="45"/>
  <c r="H84" i="45" s="1"/>
  <c r="G36" i="45"/>
  <c r="H36" i="45" s="1"/>
  <c r="F18" i="45"/>
  <c r="G18" i="45" s="1"/>
  <c r="H18" i="45" s="1"/>
  <c r="F43" i="45"/>
  <c r="G43" i="45" s="1"/>
  <c r="H43" i="45" s="1"/>
  <c r="F58" i="45"/>
  <c r="G58" i="45" s="1"/>
  <c r="H58" i="45" s="1"/>
  <c r="G103" i="45"/>
  <c r="H103" i="45" s="1"/>
  <c r="F80" i="45"/>
  <c r="G80" i="45" s="1"/>
  <c r="H80" i="45" s="1"/>
  <c r="F15" i="45"/>
  <c r="G15" i="45" s="1"/>
  <c r="H15" i="45" s="1"/>
  <c r="F14" i="45"/>
  <c r="G14" i="45" s="1"/>
  <c r="H14" i="45" s="1"/>
  <c r="F106" i="45"/>
  <c r="G106" i="45" s="1"/>
  <c r="H106" i="45" s="1"/>
  <c r="G37" i="45"/>
  <c r="H37" i="45" s="1"/>
  <c r="F13" i="45"/>
  <c r="G13" i="45" s="1"/>
  <c r="H13" i="45" s="1"/>
  <c r="F19" i="45"/>
  <c r="G19" i="45" s="1"/>
  <c r="H19" i="45" s="1"/>
  <c r="G138" i="44" l="1"/>
  <c r="H138" i="44" s="1"/>
  <c r="E137" i="44"/>
  <c r="H135" i="44"/>
  <c r="I135" i="44" s="1"/>
  <c r="H134" i="44"/>
  <c r="I134" i="44" s="1"/>
  <c r="H133" i="44"/>
  <c r="I133" i="44" s="1"/>
  <c r="H132" i="44"/>
  <c r="I132" i="44" s="1"/>
  <c r="H131" i="44"/>
  <c r="I131" i="44" s="1"/>
  <c r="H130" i="44"/>
  <c r="I130" i="44" s="1"/>
  <c r="H129" i="44"/>
  <c r="I129" i="44" s="1"/>
  <c r="H128" i="44"/>
  <c r="I128" i="44" s="1"/>
  <c r="H127" i="44"/>
  <c r="I127" i="44" s="1"/>
  <c r="H126" i="44"/>
  <c r="I126" i="44" s="1"/>
  <c r="H125" i="44"/>
  <c r="I125" i="44" s="1"/>
  <c r="H124" i="44"/>
  <c r="I124" i="44" s="1"/>
  <c r="H123" i="44"/>
  <c r="I123" i="44" s="1"/>
  <c r="H122" i="44"/>
  <c r="I122" i="44" s="1"/>
  <c r="H121" i="44"/>
  <c r="I121" i="44" s="1"/>
  <c r="H120" i="44"/>
  <c r="I120" i="44" s="1"/>
  <c r="H119" i="44"/>
  <c r="I119" i="44" s="1"/>
  <c r="H118" i="44"/>
  <c r="I118" i="44" s="1"/>
  <c r="G117" i="44"/>
  <c r="D117" i="44"/>
  <c r="C117" i="44"/>
  <c r="A117" i="44"/>
  <c r="A118" i="44" s="1"/>
  <c r="A119" i="44" s="1"/>
  <c r="A120" i="44" s="1"/>
  <c r="A121" i="44" s="1"/>
  <c r="A122" i="44" s="1"/>
  <c r="A123" i="44" s="1"/>
  <c r="A124" i="44" s="1"/>
  <c r="A125" i="44" s="1"/>
  <c r="A126" i="44" s="1"/>
  <c r="A127" i="44" s="1"/>
  <c r="A128" i="44" s="1"/>
  <c r="A129" i="44" s="1"/>
  <c r="A130" i="44" s="1"/>
  <c r="A131" i="44" s="1"/>
  <c r="A132" i="44" s="1"/>
  <c r="A133" i="44" s="1"/>
  <c r="A134" i="44" s="1"/>
  <c r="A135" i="44" s="1"/>
  <c r="A136" i="44" s="1"/>
  <c r="A137" i="44" s="1"/>
  <c r="A138" i="44" s="1"/>
  <c r="G111" i="44"/>
  <c r="H111" i="44" s="1"/>
  <c r="G110" i="44"/>
  <c r="G109" i="44"/>
  <c r="E109" i="44"/>
  <c r="H109" i="44" s="1"/>
  <c r="I109" i="44" s="1"/>
  <c r="H108" i="44"/>
  <c r="I108" i="44" s="1"/>
  <c r="H107" i="44"/>
  <c r="I107" i="44" s="1"/>
  <c r="H106" i="44"/>
  <c r="I106" i="44" s="1"/>
  <c r="H105" i="44"/>
  <c r="I105" i="44" s="1"/>
  <c r="H104" i="44"/>
  <c r="I104" i="44" s="1"/>
  <c r="H103" i="44"/>
  <c r="I103" i="44" s="1"/>
  <c r="H102" i="44"/>
  <c r="I102" i="44" s="1"/>
  <c r="H101" i="44"/>
  <c r="I101" i="44" s="1"/>
  <c r="H100" i="44"/>
  <c r="I100" i="44" s="1"/>
  <c r="H99" i="44"/>
  <c r="I99" i="44" s="1"/>
  <c r="H98" i="44"/>
  <c r="I98" i="44" s="1"/>
  <c r="H97" i="44"/>
  <c r="I97" i="44" s="1"/>
  <c r="H96" i="44"/>
  <c r="I96" i="44" s="1"/>
  <c r="H95" i="44"/>
  <c r="I95" i="44" s="1"/>
  <c r="H94" i="44"/>
  <c r="I94" i="44" s="1"/>
  <c r="H93" i="44"/>
  <c r="I93" i="44" s="1"/>
  <c r="H92" i="44"/>
  <c r="I92" i="44" s="1"/>
  <c r="H91" i="44"/>
  <c r="I91" i="44" s="1"/>
  <c r="C90" i="44"/>
  <c r="A90" i="44"/>
  <c r="A91" i="44" s="1"/>
  <c r="A92" i="44" s="1"/>
  <c r="A93" i="44" s="1"/>
  <c r="A94" i="44" s="1"/>
  <c r="A95" i="44" s="1"/>
  <c r="A96" i="44" s="1"/>
  <c r="A97" i="44" s="1"/>
  <c r="A98" i="44" s="1"/>
  <c r="A99" i="44" s="1"/>
  <c r="A100" i="44" s="1"/>
  <c r="A101" i="44" s="1"/>
  <c r="A102" i="44" s="1"/>
  <c r="A103" i="44" s="1"/>
  <c r="A104" i="44" s="1"/>
  <c r="A105" i="44" s="1"/>
  <c r="A106" i="44" s="1"/>
  <c r="A107" i="44" s="1"/>
  <c r="A108" i="44" s="1"/>
  <c r="A109" i="44" s="1"/>
  <c r="A110" i="44" s="1"/>
  <c r="A111" i="44" s="1"/>
  <c r="G84" i="44"/>
  <c r="H84" i="44" s="1"/>
  <c r="H81" i="44"/>
  <c r="I81" i="44" s="1"/>
  <c r="H80" i="44"/>
  <c r="I80" i="44" s="1"/>
  <c r="H79" i="44"/>
  <c r="I79" i="44" s="1"/>
  <c r="H78" i="44"/>
  <c r="I78" i="44" s="1"/>
  <c r="H77" i="44"/>
  <c r="I77" i="44" s="1"/>
  <c r="H76" i="44"/>
  <c r="I76" i="44" s="1"/>
  <c r="H75" i="44"/>
  <c r="I75" i="44" s="1"/>
  <c r="H74" i="44"/>
  <c r="I74" i="44" s="1"/>
  <c r="H73" i="44"/>
  <c r="I73" i="44" s="1"/>
  <c r="H72" i="44"/>
  <c r="I72" i="44" s="1"/>
  <c r="H71" i="44"/>
  <c r="I71" i="44" s="1"/>
  <c r="H70" i="44"/>
  <c r="I70" i="44" s="1"/>
  <c r="H69" i="44"/>
  <c r="I69" i="44" s="1"/>
  <c r="H68" i="44"/>
  <c r="I68" i="44" s="1"/>
  <c r="H67" i="44"/>
  <c r="I67" i="44" s="1"/>
  <c r="H66" i="44"/>
  <c r="I66" i="44" s="1"/>
  <c r="H65" i="44"/>
  <c r="I65" i="44" s="1"/>
  <c r="H64" i="44"/>
  <c r="I64" i="44" s="1"/>
  <c r="G63" i="44"/>
  <c r="D63" i="44"/>
  <c r="C63" i="44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G57" i="44"/>
  <c r="H57" i="44" s="1"/>
  <c r="G55" i="44"/>
  <c r="E55" i="44"/>
  <c r="H55" i="44" s="1"/>
  <c r="I55" i="44" s="1"/>
  <c r="H54" i="44"/>
  <c r="I54" i="44" s="1"/>
  <c r="H53" i="44"/>
  <c r="I53" i="44" s="1"/>
  <c r="H52" i="44"/>
  <c r="I52" i="44" s="1"/>
  <c r="H51" i="44"/>
  <c r="I51" i="44" s="1"/>
  <c r="H50" i="44"/>
  <c r="I50" i="44" s="1"/>
  <c r="H49" i="44"/>
  <c r="I49" i="44" s="1"/>
  <c r="H48" i="44"/>
  <c r="I48" i="44" s="1"/>
  <c r="H47" i="44"/>
  <c r="I47" i="44" s="1"/>
  <c r="H46" i="44"/>
  <c r="I46" i="44" s="1"/>
  <c r="H45" i="44"/>
  <c r="I45" i="44" s="1"/>
  <c r="H44" i="44"/>
  <c r="I44" i="44" s="1"/>
  <c r="H43" i="44"/>
  <c r="I43" i="44" s="1"/>
  <c r="H42" i="44"/>
  <c r="I42" i="44" s="1"/>
  <c r="H41" i="44"/>
  <c r="I41" i="44" s="1"/>
  <c r="H40" i="44"/>
  <c r="I40" i="44" s="1"/>
  <c r="H39" i="44"/>
  <c r="I39" i="44" s="1"/>
  <c r="H38" i="44"/>
  <c r="I38" i="44" s="1"/>
  <c r="H37" i="44"/>
  <c r="I37" i="44" s="1"/>
  <c r="C36" i="44"/>
  <c r="A36" i="44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G30" i="44"/>
  <c r="H30" i="44" s="1"/>
  <c r="H27" i="44"/>
  <c r="I27" i="44" s="1"/>
  <c r="H26" i="44"/>
  <c r="I26" i="44" s="1"/>
  <c r="H25" i="44"/>
  <c r="I25" i="44" s="1"/>
  <c r="H24" i="44"/>
  <c r="I24" i="44" s="1"/>
  <c r="H23" i="44"/>
  <c r="I23" i="44" s="1"/>
  <c r="H22" i="44"/>
  <c r="I22" i="44" s="1"/>
  <c r="H21" i="44"/>
  <c r="I21" i="44" s="1"/>
  <c r="H20" i="44"/>
  <c r="I20" i="44" s="1"/>
  <c r="H19" i="44"/>
  <c r="I19" i="44" s="1"/>
  <c r="H18" i="44"/>
  <c r="I18" i="44" s="1"/>
  <c r="H17" i="44"/>
  <c r="I17" i="44" s="1"/>
  <c r="H16" i="44"/>
  <c r="I16" i="44" s="1"/>
  <c r="H15" i="44"/>
  <c r="I15" i="44" s="1"/>
  <c r="H14" i="44"/>
  <c r="I14" i="44" s="1"/>
  <c r="H13" i="44"/>
  <c r="I13" i="44" s="1"/>
  <c r="H12" i="44"/>
  <c r="I12" i="44" s="1"/>
  <c r="H11" i="44"/>
  <c r="I11" i="44" s="1"/>
  <c r="H10" i="44"/>
  <c r="I10" i="44" s="1"/>
  <c r="G9" i="44"/>
  <c r="D9" i="44"/>
  <c r="C9" i="44"/>
  <c r="A9" i="44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G5" i="44"/>
  <c r="G136" i="44" s="1"/>
  <c r="E136" i="44" s="1"/>
  <c r="H136" i="44" s="1"/>
  <c r="I136" i="44" s="1"/>
  <c r="F5" i="44"/>
  <c r="F117" i="44" s="1"/>
  <c r="E5" i="44"/>
  <c r="E117" i="44" s="1"/>
  <c r="D5" i="44"/>
  <c r="D90" i="44" s="1"/>
  <c r="G137" i="44" l="1"/>
  <c r="H137" i="44" s="1"/>
  <c r="I137" i="44" s="1"/>
  <c r="I57" i="44"/>
  <c r="I111" i="44"/>
  <c r="I138" i="44"/>
  <c r="H90" i="44"/>
  <c r="I90" i="44" s="1"/>
  <c r="H117" i="44"/>
  <c r="I117" i="44" s="1"/>
  <c r="D36" i="44"/>
  <c r="H36" i="44" s="1"/>
  <c r="I36" i="44" s="1"/>
  <c r="C57" i="44"/>
  <c r="C111" i="44"/>
  <c r="E83" i="44"/>
  <c r="G36" i="44"/>
  <c r="G90" i="44"/>
  <c r="E36" i="44"/>
  <c r="E90" i="44"/>
  <c r="F36" i="44"/>
  <c r="F90" i="44"/>
  <c r="E29" i="44"/>
  <c r="C30" i="44"/>
  <c r="I30" i="44" s="1"/>
  <c r="C84" i="44"/>
  <c r="I84" i="44" s="1"/>
  <c r="C138" i="44"/>
  <c r="E9" i="44"/>
  <c r="E56" i="44"/>
  <c r="G56" i="44" s="1"/>
  <c r="E63" i="44"/>
  <c r="E110" i="44"/>
  <c r="H110" i="44" s="1"/>
  <c r="I110" i="44" s="1"/>
  <c r="F9" i="44"/>
  <c r="G28" i="44"/>
  <c r="E28" i="44" s="1"/>
  <c r="H28" i="44" s="1"/>
  <c r="I28" i="44" s="1"/>
  <c r="F63" i="44"/>
  <c r="G82" i="44"/>
  <c r="E82" i="44" s="1"/>
  <c r="H82" i="44" s="1"/>
  <c r="I82" i="44" s="1"/>
  <c r="H63" i="44" l="1"/>
  <c r="I63" i="44" s="1"/>
  <c r="H56" i="44"/>
  <c r="I56" i="44" s="1"/>
  <c r="G83" i="44"/>
  <c r="H83" i="44" s="1"/>
  <c r="I83" i="44" s="1"/>
  <c r="G29" i="44"/>
  <c r="H29" i="44" s="1"/>
  <c r="I29" i="44" s="1"/>
  <c r="H9" i="44"/>
  <c r="I9" i="44" s="1"/>
  <c r="H11" i="33" l="1"/>
  <c r="D11" i="33"/>
  <c r="J11" i="33" s="1"/>
  <c r="H10" i="33"/>
  <c r="L10" i="33" s="1"/>
  <c r="D10" i="33"/>
  <c r="J10" i="33" s="1"/>
  <c r="H8" i="33"/>
  <c r="L8" i="33" s="1"/>
  <c r="D8" i="33"/>
  <c r="J8" i="33" s="1"/>
  <c r="H7" i="33"/>
  <c r="L7" i="33" s="1"/>
  <c r="D7" i="33"/>
  <c r="J7" i="33" s="1"/>
  <c r="H5" i="33"/>
  <c r="L5" i="33" s="1"/>
  <c r="D5" i="33"/>
  <c r="J5" i="33" s="1"/>
  <c r="I11" i="33" l="1"/>
  <c r="P11" i="33" s="1"/>
  <c r="N11" i="33"/>
  <c r="L11" i="33"/>
  <c r="N10" i="33"/>
  <c r="I10" i="33"/>
  <c r="P10" i="33" s="1"/>
  <c r="N8" i="33"/>
  <c r="I8" i="33"/>
  <c r="R8" i="33" s="1"/>
  <c r="I7" i="33"/>
  <c r="R7" i="33" s="1"/>
  <c r="N7" i="33"/>
  <c r="N5" i="33"/>
  <c r="I5" i="33"/>
  <c r="R5" i="33" s="1"/>
  <c r="H9" i="33"/>
  <c r="D9" i="33"/>
  <c r="J9" i="33" s="1"/>
  <c r="H6" i="33"/>
  <c r="L6" i="33" s="1"/>
  <c r="D6" i="33"/>
  <c r="J6" i="33" s="1"/>
  <c r="H4" i="33"/>
  <c r="L4" i="33" s="1"/>
  <c r="D4" i="33"/>
  <c r="J4" i="33" s="1"/>
  <c r="H3" i="33"/>
  <c r="L3" i="33" s="1"/>
  <c r="D3" i="33"/>
  <c r="J3" i="33" s="1"/>
  <c r="R10" i="33" l="1"/>
  <c r="T10" i="33"/>
  <c r="R11" i="33"/>
  <c r="M11" i="33"/>
  <c r="Q11" i="33"/>
  <c r="M10" i="33"/>
  <c r="Q10" i="33"/>
  <c r="M8" i="33"/>
  <c r="P8" i="33"/>
  <c r="Q8" i="33"/>
  <c r="M7" i="33"/>
  <c r="Q7" i="33"/>
  <c r="P7" i="33"/>
  <c r="T7" i="33" s="1"/>
  <c r="M5" i="33"/>
  <c r="Q5" i="33"/>
  <c r="P5" i="33"/>
  <c r="N9" i="33"/>
  <c r="I9" i="33"/>
  <c r="P9" i="33" s="1"/>
  <c r="L9" i="33"/>
  <c r="I6" i="33"/>
  <c r="R6" i="33" s="1"/>
  <c r="N6" i="33"/>
  <c r="I4" i="33"/>
  <c r="R4" i="33" s="1"/>
  <c r="N4" i="33"/>
  <c r="I3" i="33"/>
  <c r="R3" i="33" s="1"/>
  <c r="N3" i="33"/>
  <c r="T5" i="33" l="1"/>
  <c r="T11" i="33"/>
  <c r="T8" i="33"/>
  <c r="Q9" i="33"/>
  <c r="M9" i="33"/>
  <c r="R9" i="33"/>
  <c r="M6" i="33"/>
  <c r="P6" i="33"/>
  <c r="Q6" i="33"/>
  <c r="M4" i="33"/>
  <c r="P4" i="33"/>
  <c r="Q4" i="33"/>
  <c r="M3" i="33"/>
  <c r="Q3" i="33"/>
  <c r="P3" i="33"/>
  <c r="T4" i="33" l="1"/>
  <c r="T9" i="33"/>
  <c r="T6" i="33"/>
  <c r="T3" i="33"/>
  <c r="B3" i="29" l="1"/>
  <c r="B2" i="29"/>
  <c r="B18" i="29" l="1"/>
  <c r="B19" i="29" s="1"/>
  <c r="A28" i="29"/>
  <c r="B28" i="29" s="1"/>
  <c r="B27" i="29" s="1"/>
  <c r="C27" i="29" s="1"/>
  <c r="A29" i="29" l="1"/>
  <c r="A30" i="29" s="1"/>
  <c r="C28" i="29"/>
  <c r="B30" i="29"/>
  <c r="C30" i="29" s="1"/>
  <c r="A31" i="29"/>
  <c r="B31" i="29" l="1"/>
  <c r="C31" i="29" s="1"/>
  <c r="B29" i="29"/>
  <c r="C29" i="29" l="1"/>
  <c r="B23" i="29" l="1"/>
  <c r="B17" i="29"/>
  <c r="B12" i="29"/>
  <c r="B13" i="29" s="1"/>
  <c r="B14" i="29" s="1"/>
  <c r="B20" i="29" l="1"/>
  <c r="B21" i="29" s="1"/>
  <c r="E28" i="29"/>
  <c r="F28" i="29" s="1"/>
  <c r="E29" i="29"/>
  <c r="F29" i="29" s="1"/>
  <c r="E30" i="29"/>
  <c r="F30" i="29" s="1"/>
  <c r="E31" i="29"/>
  <c r="F31" i="29" s="1"/>
  <c r="E27" i="29"/>
  <c r="F27" i="29" s="1"/>
  <c r="B8" i="29"/>
  <c r="B5" i="29"/>
  <c r="D31" i="29" l="1"/>
  <c r="D27" i="29"/>
  <c r="D28" i="29"/>
  <c r="D29" i="29"/>
  <c r="D30" i="29"/>
  <c r="G29" i="29"/>
  <c r="G30" i="29"/>
  <c r="G31" i="29"/>
  <c r="G28" i="29"/>
</calcChain>
</file>

<file path=xl/sharedStrings.xml><?xml version="1.0" encoding="utf-8"?>
<sst xmlns="http://schemas.openxmlformats.org/spreadsheetml/2006/main" count="369" uniqueCount="99">
  <si>
    <t>Description</t>
  </si>
  <si>
    <t>Styrene</t>
  </si>
  <si>
    <t>AIBN</t>
  </si>
  <si>
    <t>Amount / mol</t>
  </si>
  <si>
    <t>Sanity Check (No Negative Volumes)</t>
  </si>
  <si>
    <t>Sanity Check</t>
  </si>
  <si>
    <t>Condition Number</t>
  </si>
  <si>
    <t>Wt% St</t>
  </si>
  <si>
    <t>Total Flow Rate/ uLmin-1</t>
  </si>
  <si>
    <t>Total Volume/ uL</t>
  </si>
  <si>
    <t>Density/ gmL-1</t>
  </si>
  <si>
    <t>Mr/ gmol-1</t>
  </si>
  <si>
    <t>Concentration/ gmL-1</t>
  </si>
  <si>
    <t>Sanity  Check</t>
  </si>
  <si>
    <t>Time / min</t>
  </si>
  <si>
    <t>Water in P1</t>
  </si>
  <si>
    <t>10 mL Syringe</t>
  </si>
  <si>
    <t>Minimal Flow Rate/ uLmin-1</t>
  </si>
  <si>
    <t>Type of Syringe</t>
  </si>
  <si>
    <t>COM 3 P2</t>
  </si>
  <si>
    <t>COM 9 P1</t>
  </si>
  <si>
    <t>COM 9 P2</t>
  </si>
  <si>
    <t>Step Number</t>
  </si>
  <si>
    <t>Normalized Volume / uL</t>
  </si>
  <si>
    <t>COM 11 P1</t>
  </si>
  <si>
    <t>Volume / mL (Representative of Volume Ratio of Reagents)</t>
  </si>
  <si>
    <t>x Monomer : AIBN</t>
  </si>
  <si>
    <t>Sty</t>
  </si>
  <si>
    <t>50 mL Syringe</t>
  </si>
  <si>
    <t>Sanity Check (Mole Ratio)</t>
  </si>
  <si>
    <t>Residence Time/ min</t>
  </si>
  <si>
    <t>Volume of Coil Within Heat/ mL</t>
  </si>
  <si>
    <t>Internal Diameter of PTFE Tubing/ mm</t>
  </si>
  <si>
    <t>Internal Diameter of PTFE Tubing/ cm</t>
  </si>
  <si>
    <t>Internal Radius of PTFE Tubing/ cm</t>
  </si>
  <si>
    <t>Internal Area of PTFE Tubing/ cm2</t>
  </si>
  <si>
    <t>Length of Coil Within Heat/ cm</t>
  </si>
  <si>
    <t>Length of Coil Within Heat/ m</t>
  </si>
  <si>
    <t>Length of Mixer to Coil Entry/ cm</t>
  </si>
  <si>
    <t>Volume of Mixer to Coil Entry/ mL</t>
  </si>
  <si>
    <t>Length of Coil Exit to BPR/ cm</t>
  </si>
  <si>
    <t>Volume of Coil Exit to BPR/ mL</t>
  </si>
  <si>
    <t>Time Taken for Slug Generation to Complete/ min</t>
  </si>
  <si>
    <t>Volume of Mixer to Coil Entry + Coil Within Heat/ mL</t>
  </si>
  <si>
    <t>Volume Left for Front of 1st Slug to Traverse to Reach Coil Exit/ mL</t>
  </si>
  <si>
    <t>Time Front of 1st Slug Spent in Heat Upon Reaching Coil Exit/ min</t>
  </si>
  <si>
    <t>Time Needed for Front of 1st Slug to Reach Coil Exit After Slug Generation Completion/ min</t>
  </si>
  <si>
    <t>Time Taken for Front of 1st Slug to Traverse From Mixer to Coil Entry/ min</t>
  </si>
  <si>
    <t>p-xylene</t>
  </si>
  <si>
    <t>Volume of p-xylene Plug/ uL</t>
  </si>
  <si>
    <t>Volume of p-xylene Plug/ mL</t>
  </si>
  <si>
    <t>Initialize Reagent Pumps</t>
  </si>
  <si>
    <t>Pump Reagent Slug to Coil Exit</t>
  </si>
  <si>
    <t>Pump Reagent Slug Out of BPR</t>
  </si>
  <si>
    <t>No heat for 0 min</t>
  </si>
  <si>
    <t>Volume of Water Spacer/ uL</t>
  </si>
  <si>
    <t>Volume of Water Spacer/ mL</t>
  </si>
  <si>
    <t>SANITY CHECK</t>
  </si>
  <si>
    <t>The sanity check in this step ascertains that all volumes are positive. If [AIBN] is too dilute, you may get negative volumes on the p-xylene column.</t>
  </si>
  <si>
    <t>Normalized Volume (Normalized to 500 uL) / uL</t>
  </si>
  <si>
    <t>Check that the sum of total volume is 500 uL</t>
  </si>
  <si>
    <t>Total Volume of Slug/ uL</t>
  </si>
  <si>
    <t>Total Volume of all 9 Conditions/ mL</t>
  </si>
  <si>
    <t>Total Volume of all 9 Conditions/ uL</t>
  </si>
  <si>
    <t>Condition 1</t>
  </si>
  <si>
    <t>Water Spacer 1</t>
  </si>
  <si>
    <t>Sorting Number</t>
  </si>
  <si>
    <t>Condition 2</t>
  </si>
  <si>
    <t>Water Spacer 2</t>
  </si>
  <si>
    <t>Condition 3</t>
  </si>
  <si>
    <t>Water Spacer 3</t>
  </si>
  <si>
    <t>Condition 4</t>
  </si>
  <si>
    <t>Water Spacer 4</t>
  </si>
  <si>
    <t>Condition 5</t>
  </si>
  <si>
    <t>Water Spacer 5</t>
  </si>
  <si>
    <t>Condition 6</t>
  </si>
  <si>
    <t>Water Spacer 6</t>
  </si>
  <si>
    <t>Condition 7</t>
  </si>
  <si>
    <t>Water Spacer 7</t>
  </si>
  <si>
    <t>0 min; 373.888 uLmin-1</t>
  </si>
  <si>
    <t>30 min; 373.888 uLmin-1</t>
  </si>
  <si>
    <t>60 min; 186.944 uLmin-1</t>
  </si>
  <si>
    <t>90 min; 124.629 uLmin-1</t>
  </si>
  <si>
    <t>120 min; 93.472 uLmin-1</t>
  </si>
  <si>
    <t xml:space="preserve"> Pure p-xylene Washing Slug</t>
  </si>
  <si>
    <t>1_repeat</t>
  </si>
  <si>
    <t>10_repeat</t>
  </si>
  <si>
    <t>19_repeat</t>
  </si>
  <si>
    <t>1_repeat2</t>
  </si>
  <si>
    <t>1_repeat3</t>
  </si>
  <si>
    <t>19_repeat2</t>
  </si>
  <si>
    <t>19_repeat3</t>
  </si>
  <si>
    <t>10_repeat2</t>
  </si>
  <si>
    <t>10_repeat3</t>
  </si>
  <si>
    <t>Condition 8</t>
  </si>
  <si>
    <t>Water Spacer 8</t>
  </si>
  <si>
    <t>Condition 9</t>
  </si>
  <si>
    <t>Water Spacer 9</t>
  </si>
  <si>
    <t>0.1 g in 10 mL 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</si>
</sst>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16" fontId="7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</cellXfs>
  <cellStyles count="2">
    <cellStyle name="Normal" xfId="0" builtinId="0"/>
    <cellStyle name="Normal 2" xfId="1" xr:uid="{E74AEBF2-49AC-40AF-89FE-20CE2E0EFEC6}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%20STAR/Controlled%20Polymerization%20Experiments/201022%20Setup%201%20DOE%20High%20Throughput%20Continuous%20Flow%20Experiment%20(Conditions%2019%20to%202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gent Stoichiometry"/>
      <sheetName val="Sorting Preparation"/>
      <sheetName val="Sorted Conditions"/>
      <sheetName val="Timing Calculation"/>
      <sheetName val="Final Experiment"/>
    </sheetNames>
    <sheetDataSet>
      <sheetData sheetId="0"/>
      <sheetData sheetId="1"/>
      <sheetData sheetId="2"/>
      <sheetData sheetId="3">
        <row r="27">
          <cell r="B27">
            <v>373.88888888888664</v>
          </cell>
        </row>
        <row r="28">
          <cell r="B28">
            <v>373.88888888888664</v>
          </cell>
        </row>
        <row r="29">
          <cell r="B29">
            <v>186.94444444444332</v>
          </cell>
        </row>
        <row r="30">
          <cell r="B30">
            <v>124.62962962962888</v>
          </cell>
        </row>
        <row r="31">
          <cell r="B31">
            <v>93.47222222222166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FAEB-47DF-4021-AF2E-DF14C362430B}">
  <dimension ref="A1:Z60"/>
  <sheetViews>
    <sheetView zoomScaleNormal="100" workbookViewId="0">
      <selection activeCell="P3" sqref="P3:R11"/>
    </sheetView>
  </sheetViews>
  <sheetFormatPr defaultColWidth="8.6640625" defaultRowHeight="15" x14ac:dyDescent="0.3"/>
  <cols>
    <col min="1" max="1" width="19.88671875" style="24" customWidth="1"/>
    <col min="2" max="2" width="8.5546875" style="24" bestFit="1" customWidth="1"/>
    <col min="3" max="3" width="10.44140625" style="24" bestFit="1" customWidth="1"/>
    <col min="4" max="4" width="14.5546875" style="24" bestFit="1" customWidth="1"/>
    <col min="5" max="5" width="1.6640625" style="24" customWidth="1"/>
    <col min="6" max="6" width="27" style="24" customWidth="1"/>
    <col min="7" max="7" width="1.88671875" style="24" customWidth="1"/>
    <col min="8" max="10" width="21.6640625" style="24" customWidth="1"/>
    <col min="11" max="11" width="1.88671875" style="24" customWidth="1"/>
    <col min="12" max="14" width="12.5546875" style="24" customWidth="1"/>
    <col min="15" max="15" width="1.33203125" style="24" customWidth="1"/>
    <col min="16" max="18" width="19" style="24" customWidth="1"/>
    <col min="19" max="19" width="1.33203125" style="24" customWidth="1"/>
    <col min="20" max="20" width="26.88671875" style="24" customWidth="1"/>
    <col min="21" max="21" width="2.21875" style="32" customWidth="1"/>
    <col min="22" max="22" width="22.33203125" style="24" bestFit="1" customWidth="1"/>
    <col min="23" max="23" width="8.5546875" style="24" bestFit="1" customWidth="1"/>
    <col min="24" max="24" width="25.21875" style="24" bestFit="1" customWidth="1"/>
    <col min="25" max="25" width="9.5546875" style="24" bestFit="1" customWidth="1"/>
    <col min="26" max="16384" width="8.6640625" style="24"/>
  </cols>
  <sheetData>
    <row r="1" spans="1:26" x14ac:dyDescent="0.3">
      <c r="B1" s="68" t="s">
        <v>3</v>
      </c>
      <c r="C1" s="68"/>
      <c r="D1" s="68"/>
      <c r="E1" s="25"/>
      <c r="F1" s="25" t="s">
        <v>29</v>
      </c>
      <c r="G1" s="25"/>
      <c r="H1" s="68" t="s">
        <v>25</v>
      </c>
      <c r="I1" s="68"/>
      <c r="J1" s="68"/>
      <c r="K1" s="25"/>
      <c r="L1" s="68" t="s">
        <v>4</v>
      </c>
      <c r="M1" s="68"/>
      <c r="N1" s="68"/>
      <c r="P1" s="69" t="s">
        <v>59</v>
      </c>
      <c r="Q1" s="68"/>
      <c r="R1" s="68"/>
      <c r="T1" s="24" t="s">
        <v>5</v>
      </c>
      <c r="W1" s="24" t="s">
        <v>1</v>
      </c>
      <c r="X1" s="24" t="s">
        <v>2</v>
      </c>
      <c r="Y1" s="24" t="s">
        <v>48</v>
      </c>
    </row>
    <row r="2" spans="1:26" x14ac:dyDescent="0.3">
      <c r="A2" s="26" t="s">
        <v>6</v>
      </c>
      <c r="B2" s="24" t="s">
        <v>7</v>
      </c>
      <c r="C2" s="24" t="s">
        <v>27</v>
      </c>
      <c r="D2" s="24" t="s">
        <v>2</v>
      </c>
      <c r="F2" s="24" t="s">
        <v>26</v>
      </c>
      <c r="H2" s="24" t="s">
        <v>1</v>
      </c>
      <c r="I2" s="24" t="s">
        <v>48</v>
      </c>
      <c r="J2" s="24" t="s">
        <v>2</v>
      </c>
      <c r="L2" s="24" t="s">
        <v>1</v>
      </c>
      <c r="M2" s="24" t="s">
        <v>48</v>
      </c>
      <c r="N2" s="24" t="s">
        <v>2</v>
      </c>
      <c r="P2" s="24" t="s">
        <v>1</v>
      </c>
      <c r="Q2" s="24" t="s">
        <v>48</v>
      </c>
      <c r="R2" s="24" t="s">
        <v>2</v>
      </c>
      <c r="T2" s="28" t="s">
        <v>61</v>
      </c>
      <c r="U2" s="33"/>
      <c r="V2" s="24" t="s">
        <v>10</v>
      </c>
      <c r="W2" s="24">
        <v>0.90900000000000003</v>
      </c>
      <c r="Y2" s="24">
        <v>0.86099999999999999</v>
      </c>
    </row>
    <row r="3" spans="1:26" s="42" customFormat="1" x14ac:dyDescent="0.3">
      <c r="A3" s="48" t="s">
        <v>85</v>
      </c>
      <c r="B3" s="48">
        <v>0.3</v>
      </c>
      <c r="C3" s="48">
        <v>1</v>
      </c>
      <c r="D3" s="48">
        <f t="shared" ref="D3:D9" si="0">C3/F3</f>
        <v>6.6666666666666671E-3</v>
      </c>
      <c r="E3" s="48"/>
      <c r="F3" s="48">
        <v>150</v>
      </c>
      <c r="G3" s="48"/>
      <c r="H3" s="48">
        <f t="shared" ref="H3:H9" si="1">(C3*$W$3)/$W$2</f>
        <v>114.57645764576458</v>
      </c>
      <c r="I3" s="48">
        <f t="shared" ref="I3:I9" si="2">((C3*$W$3*(1-B3)/B3)/$Y$2)-J3</f>
        <v>172.77598915989159</v>
      </c>
      <c r="J3" s="48">
        <f t="shared" ref="J3:J9" si="3">(D3*$X$3)/$X$4</f>
        <v>109.47333333333336</v>
      </c>
      <c r="K3" s="48"/>
      <c r="L3" s="48" t="b">
        <f t="shared" ref="L3:N4" si="4">H3&gt;0</f>
        <v>1</v>
      </c>
      <c r="M3" s="48" t="b">
        <f t="shared" si="4"/>
        <v>1</v>
      </c>
      <c r="N3" s="48" t="b">
        <f t="shared" si="4"/>
        <v>1</v>
      </c>
      <c r="O3" s="48"/>
      <c r="P3" s="48">
        <f t="shared" ref="P3:P11" si="5">(H3/SUM(H3:J3))*500</f>
        <v>144.36619718309856</v>
      </c>
      <c r="Q3" s="48">
        <f t="shared" ref="Q3:Q11" si="6">(I3/SUM(H3:J3))*500</f>
        <v>217.69753605647324</v>
      </c>
      <c r="R3" s="48">
        <f t="shared" ref="R3:R11" si="7">(J3/SUM(H3:J3))*500</f>
        <v>137.93626676042817</v>
      </c>
      <c r="T3" s="42">
        <f>SUM(P3:R3)</f>
        <v>499.99999999999994</v>
      </c>
      <c r="U3" s="43"/>
      <c r="V3" s="24" t="s">
        <v>11</v>
      </c>
      <c r="W3" s="24">
        <v>104.15</v>
      </c>
      <c r="X3" s="24">
        <v>164.21</v>
      </c>
      <c r="Y3" s="24">
        <v>106.16800000000001</v>
      </c>
    </row>
    <row r="4" spans="1:26" s="42" customFormat="1" x14ac:dyDescent="0.3">
      <c r="A4" s="48" t="s">
        <v>88</v>
      </c>
      <c r="B4" s="48">
        <v>0.3</v>
      </c>
      <c r="C4" s="48">
        <v>1</v>
      </c>
      <c r="D4" s="48">
        <f t="shared" si="0"/>
        <v>6.6666666666666671E-3</v>
      </c>
      <c r="E4" s="48"/>
      <c r="F4" s="48">
        <v>150</v>
      </c>
      <c r="G4" s="48"/>
      <c r="H4" s="48">
        <f t="shared" si="1"/>
        <v>114.57645764576458</v>
      </c>
      <c r="I4" s="48">
        <f t="shared" si="2"/>
        <v>172.77598915989159</v>
      </c>
      <c r="J4" s="48">
        <f t="shared" si="3"/>
        <v>109.47333333333336</v>
      </c>
      <c r="K4" s="48"/>
      <c r="L4" s="48" t="b">
        <f t="shared" si="4"/>
        <v>1</v>
      </c>
      <c r="M4" s="48" t="b">
        <f t="shared" si="4"/>
        <v>1</v>
      </c>
      <c r="N4" s="48" t="b">
        <f t="shared" si="4"/>
        <v>1</v>
      </c>
      <c r="O4" s="48"/>
      <c r="P4" s="48">
        <f t="shared" si="5"/>
        <v>144.36619718309856</v>
      </c>
      <c r="Q4" s="48">
        <f t="shared" si="6"/>
        <v>217.69753605647324</v>
      </c>
      <c r="R4" s="48">
        <f t="shared" si="7"/>
        <v>137.93626676042817</v>
      </c>
      <c r="T4" s="45">
        <f t="shared" ref="T4:T11" si="8">SUM(P4:R4)</f>
        <v>499.99999999999994</v>
      </c>
      <c r="U4" s="43"/>
      <c r="V4" s="24" t="s">
        <v>12</v>
      </c>
      <c r="W4" s="24"/>
      <c r="X4" s="40">
        <v>0.01</v>
      </c>
    </row>
    <row r="5" spans="1:26" s="45" customFormat="1" x14ac:dyDescent="0.3">
      <c r="A5" s="49" t="s">
        <v>89</v>
      </c>
      <c r="B5" s="48">
        <v>0.3</v>
      </c>
      <c r="C5" s="48">
        <v>1</v>
      </c>
      <c r="D5" s="48">
        <f t="shared" ref="D5" si="9">C5/F5</f>
        <v>6.6666666666666671E-3</v>
      </c>
      <c r="E5" s="48"/>
      <c r="F5" s="48">
        <v>150</v>
      </c>
      <c r="G5" s="48"/>
      <c r="H5" s="48">
        <f t="shared" ref="H5" si="10">(C5*$W$3)/$W$2</f>
        <v>114.57645764576458</v>
      </c>
      <c r="I5" s="48">
        <f t="shared" ref="I5" si="11">((C5*$W$3*(1-B5)/B5)/$Y$2)-J5</f>
        <v>172.77598915989159</v>
      </c>
      <c r="J5" s="48">
        <f t="shared" ref="J5" si="12">(D5*$X$3)/$X$4</f>
        <v>109.47333333333336</v>
      </c>
      <c r="K5" s="48"/>
      <c r="L5" s="48" t="b">
        <f t="shared" ref="L5" si="13">H5&gt;0</f>
        <v>1</v>
      </c>
      <c r="M5" s="48" t="b">
        <f t="shared" ref="M5" si="14">I5&gt;0</f>
        <v>1</v>
      </c>
      <c r="N5" s="48" t="b">
        <f t="shared" ref="N5" si="15">J5&gt;0</f>
        <v>1</v>
      </c>
      <c r="O5" s="48"/>
      <c r="P5" s="48">
        <f t="shared" si="5"/>
        <v>144.36619718309856</v>
      </c>
      <c r="Q5" s="48">
        <f t="shared" si="6"/>
        <v>217.69753605647324</v>
      </c>
      <c r="R5" s="48">
        <f t="shared" si="7"/>
        <v>137.93626676042817</v>
      </c>
      <c r="T5" s="45">
        <f t="shared" si="8"/>
        <v>499.99999999999994</v>
      </c>
      <c r="U5" s="46"/>
      <c r="X5" s="63" t="s">
        <v>98</v>
      </c>
    </row>
    <row r="6" spans="1:26" s="42" customFormat="1" x14ac:dyDescent="0.3">
      <c r="A6" s="47" t="s">
        <v>87</v>
      </c>
      <c r="B6" s="48">
        <v>0.3</v>
      </c>
      <c r="C6" s="48">
        <v>1</v>
      </c>
      <c r="D6" s="48">
        <f t="shared" si="0"/>
        <v>3.3333333333333335E-3</v>
      </c>
      <c r="E6" s="48"/>
      <c r="F6" s="48">
        <v>300</v>
      </c>
      <c r="G6" s="48"/>
      <c r="H6" s="48">
        <f t="shared" si="1"/>
        <v>114.57645764576458</v>
      </c>
      <c r="I6" s="48">
        <f t="shared" si="2"/>
        <v>227.51265582655827</v>
      </c>
      <c r="J6" s="48">
        <f t="shared" si="3"/>
        <v>54.736666666666679</v>
      </c>
      <c r="K6" s="48"/>
      <c r="L6" s="48" t="b">
        <f t="shared" ref="L6:L9" si="16">H6&gt;0</f>
        <v>1</v>
      </c>
      <c r="M6" s="48" t="b">
        <f t="shared" ref="M6:M9" si="17">I6&gt;0</f>
        <v>1</v>
      </c>
      <c r="N6" s="48" t="b">
        <f t="shared" ref="N6:N9" si="18">J6&gt;0</f>
        <v>1</v>
      </c>
      <c r="O6" s="48"/>
      <c r="P6" s="48">
        <f t="shared" si="5"/>
        <v>144.36619718309856</v>
      </c>
      <c r="Q6" s="48">
        <f t="shared" si="6"/>
        <v>286.66566943668732</v>
      </c>
      <c r="R6" s="48">
        <f t="shared" si="7"/>
        <v>68.968133380214084</v>
      </c>
      <c r="T6" s="45">
        <f t="shared" si="8"/>
        <v>500</v>
      </c>
      <c r="U6" s="43"/>
    </row>
    <row r="7" spans="1:26" s="45" customFormat="1" x14ac:dyDescent="0.3">
      <c r="A7" s="50" t="s">
        <v>90</v>
      </c>
      <c r="B7" s="48">
        <v>0.3</v>
      </c>
      <c r="C7" s="48">
        <v>1</v>
      </c>
      <c r="D7" s="48">
        <f t="shared" ref="D7:D8" si="19">C7/F7</f>
        <v>3.3333333333333335E-3</v>
      </c>
      <c r="E7" s="48"/>
      <c r="F7" s="48">
        <v>300</v>
      </c>
      <c r="G7" s="48"/>
      <c r="H7" s="48">
        <f t="shared" ref="H7:H8" si="20">(C7*$W$3)/$W$2</f>
        <v>114.57645764576458</v>
      </c>
      <c r="I7" s="48">
        <f t="shared" ref="I7:I8" si="21">((C7*$W$3*(1-B7)/B7)/$Y$2)-J7</f>
        <v>227.51265582655827</v>
      </c>
      <c r="J7" s="48">
        <f t="shared" ref="J7:J8" si="22">(D7*$X$3)/$X$4</f>
        <v>54.736666666666679</v>
      </c>
      <c r="K7" s="48"/>
      <c r="L7" s="48" t="b">
        <f t="shared" ref="L7:L8" si="23">H7&gt;0</f>
        <v>1</v>
      </c>
      <c r="M7" s="48" t="b">
        <f t="shared" ref="M7:M8" si="24">I7&gt;0</f>
        <v>1</v>
      </c>
      <c r="N7" s="48" t="b">
        <f t="shared" ref="N7:N8" si="25">J7&gt;0</f>
        <v>1</v>
      </c>
      <c r="O7" s="48"/>
      <c r="P7" s="48">
        <f t="shared" si="5"/>
        <v>144.36619718309856</v>
      </c>
      <c r="Q7" s="48">
        <f t="shared" si="6"/>
        <v>286.66566943668732</v>
      </c>
      <c r="R7" s="48">
        <f t="shared" si="7"/>
        <v>68.968133380214084</v>
      </c>
      <c r="T7" s="45">
        <f t="shared" si="8"/>
        <v>500</v>
      </c>
      <c r="U7" s="46"/>
    </row>
    <row r="8" spans="1:26" s="45" customFormat="1" x14ac:dyDescent="0.3">
      <c r="A8" s="50" t="s">
        <v>91</v>
      </c>
      <c r="B8" s="48">
        <v>0.3</v>
      </c>
      <c r="C8" s="48">
        <v>1</v>
      </c>
      <c r="D8" s="48">
        <f t="shared" si="19"/>
        <v>3.3333333333333335E-3</v>
      </c>
      <c r="E8" s="48"/>
      <c r="F8" s="48">
        <v>300</v>
      </c>
      <c r="G8" s="48"/>
      <c r="H8" s="48">
        <f t="shared" si="20"/>
        <v>114.57645764576458</v>
      </c>
      <c r="I8" s="48">
        <f t="shared" si="21"/>
        <v>227.51265582655827</v>
      </c>
      <c r="J8" s="48">
        <f t="shared" si="22"/>
        <v>54.736666666666679</v>
      </c>
      <c r="K8" s="48"/>
      <c r="L8" s="48" t="b">
        <f t="shared" si="23"/>
        <v>1</v>
      </c>
      <c r="M8" s="48" t="b">
        <f t="shared" si="24"/>
        <v>1</v>
      </c>
      <c r="N8" s="48" t="b">
        <f t="shared" si="25"/>
        <v>1</v>
      </c>
      <c r="O8" s="48"/>
      <c r="P8" s="48">
        <f t="shared" si="5"/>
        <v>144.36619718309856</v>
      </c>
      <c r="Q8" s="48">
        <f t="shared" si="6"/>
        <v>286.66566943668732</v>
      </c>
      <c r="R8" s="48">
        <f t="shared" si="7"/>
        <v>68.968133380214084</v>
      </c>
      <c r="T8" s="45">
        <f t="shared" si="8"/>
        <v>500</v>
      </c>
      <c r="U8" s="46"/>
    </row>
    <row r="9" spans="1:26" s="42" customFormat="1" x14ac:dyDescent="0.3">
      <c r="A9" s="47" t="s">
        <v>86</v>
      </c>
      <c r="B9" s="48">
        <v>0.6</v>
      </c>
      <c r="C9" s="48">
        <v>1</v>
      </c>
      <c r="D9" s="48">
        <f t="shared" si="0"/>
        <v>3.3333333333333335E-3</v>
      </c>
      <c r="E9" s="48"/>
      <c r="F9" s="48">
        <v>300</v>
      </c>
      <c r="G9" s="48"/>
      <c r="H9" s="48">
        <f t="shared" si="1"/>
        <v>114.57645764576458</v>
      </c>
      <c r="I9" s="48">
        <f t="shared" si="2"/>
        <v>25.905996902826161</v>
      </c>
      <c r="J9" s="48">
        <f t="shared" si="3"/>
        <v>54.736666666666679</v>
      </c>
      <c r="K9" s="48"/>
      <c r="L9" s="48" t="b">
        <f t="shared" si="16"/>
        <v>1</v>
      </c>
      <c r="M9" s="48" t="b">
        <f t="shared" si="17"/>
        <v>1</v>
      </c>
      <c r="N9" s="48" t="b">
        <f t="shared" si="18"/>
        <v>1</v>
      </c>
      <c r="O9" s="48"/>
      <c r="P9" s="48">
        <f t="shared" si="5"/>
        <v>293.4560327198364</v>
      </c>
      <c r="Q9" s="48">
        <f t="shared" si="6"/>
        <v>66.351074478665026</v>
      </c>
      <c r="R9" s="48">
        <f t="shared" si="7"/>
        <v>140.19289280149857</v>
      </c>
      <c r="T9" s="45">
        <f t="shared" si="8"/>
        <v>500</v>
      </c>
      <c r="U9" s="43"/>
    </row>
    <row r="10" spans="1:26" x14ac:dyDescent="0.3">
      <c r="A10" s="50" t="s">
        <v>92</v>
      </c>
      <c r="B10" s="48">
        <v>0.6</v>
      </c>
      <c r="C10" s="48">
        <v>1</v>
      </c>
      <c r="D10" s="48">
        <f t="shared" ref="D10:D11" si="26">C10/F10</f>
        <v>3.3333333333333335E-3</v>
      </c>
      <c r="E10" s="48"/>
      <c r="F10" s="48">
        <v>300</v>
      </c>
      <c r="G10" s="48"/>
      <c r="H10" s="48">
        <f t="shared" ref="H10:H11" si="27">(C10*$W$3)/$W$2</f>
        <v>114.57645764576458</v>
      </c>
      <c r="I10" s="48">
        <f t="shared" ref="I10:I11" si="28">((C10*$W$3*(1-B10)/B10)/$Y$2)-J10</f>
        <v>25.905996902826161</v>
      </c>
      <c r="J10" s="48">
        <f t="shared" ref="J10:J11" si="29">(D10*$X$3)/$X$4</f>
        <v>54.736666666666679</v>
      </c>
      <c r="K10" s="48"/>
      <c r="L10" s="48" t="b">
        <f t="shared" ref="L10:L11" si="30">H10&gt;0</f>
        <v>1</v>
      </c>
      <c r="M10" s="48" t="b">
        <f t="shared" ref="M10:M11" si="31">I10&gt;0</f>
        <v>1</v>
      </c>
      <c r="N10" s="48" t="b">
        <f t="shared" ref="N10:N11" si="32">J10&gt;0</f>
        <v>1</v>
      </c>
      <c r="O10" s="48"/>
      <c r="P10" s="48">
        <f t="shared" si="5"/>
        <v>293.4560327198364</v>
      </c>
      <c r="Q10" s="48">
        <f t="shared" si="6"/>
        <v>66.351074478665026</v>
      </c>
      <c r="R10" s="48">
        <f t="shared" si="7"/>
        <v>140.19289280149857</v>
      </c>
      <c r="S10" s="45"/>
      <c r="T10" s="45">
        <f t="shared" si="8"/>
        <v>500</v>
      </c>
    </row>
    <row r="11" spans="1:26" x14ac:dyDescent="0.3">
      <c r="A11" s="50" t="s">
        <v>93</v>
      </c>
      <c r="B11" s="48">
        <v>0.6</v>
      </c>
      <c r="C11" s="48">
        <v>1</v>
      </c>
      <c r="D11" s="48">
        <f t="shared" si="26"/>
        <v>3.3333333333333335E-3</v>
      </c>
      <c r="E11" s="48"/>
      <c r="F11" s="48">
        <v>300</v>
      </c>
      <c r="G11" s="48"/>
      <c r="H11" s="48">
        <f t="shared" si="27"/>
        <v>114.57645764576458</v>
      </c>
      <c r="I11" s="48">
        <f t="shared" si="28"/>
        <v>25.905996902826161</v>
      </c>
      <c r="J11" s="48">
        <f t="shared" si="29"/>
        <v>54.736666666666679</v>
      </c>
      <c r="K11" s="48"/>
      <c r="L11" s="48" t="b">
        <f t="shared" si="30"/>
        <v>1</v>
      </c>
      <c r="M11" s="48" t="b">
        <f t="shared" si="31"/>
        <v>1</v>
      </c>
      <c r="N11" s="48" t="b">
        <f t="shared" si="32"/>
        <v>1</v>
      </c>
      <c r="O11" s="48"/>
      <c r="P11" s="48">
        <f t="shared" si="5"/>
        <v>293.4560327198364</v>
      </c>
      <c r="Q11" s="48">
        <f t="shared" si="6"/>
        <v>66.351074478665026</v>
      </c>
      <c r="R11" s="48">
        <f t="shared" si="7"/>
        <v>140.19289280149857</v>
      </c>
      <c r="S11" s="45"/>
      <c r="T11" s="45">
        <f t="shared" si="8"/>
        <v>500</v>
      </c>
    </row>
    <row r="12" spans="1:26" x14ac:dyDescent="0.3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T12" s="42"/>
      <c r="Y12" s="27"/>
      <c r="Z12" s="27"/>
    </row>
    <row r="13" spans="1:26" x14ac:dyDescent="0.3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T13" s="42"/>
      <c r="Y13" s="27"/>
      <c r="Z13" s="27"/>
    </row>
    <row r="14" spans="1:26" x14ac:dyDescent="0.3">
      <c r="A14" s="29"/>
      <c r="B14" s="29"/>
      <c r="C14" s="29"/>
      <c r="D14" s="29"/>
      <c r="E14" s="29"/>
      <c r="F14" s="29"/>
      <c r="Y14" s="27"/>
      <c r="Z14" s="27"/>
    </row>
    <row r="15" spans="1:26" x14ac:dyDescent="0.3">
      <c r="A15" s="29"/>
      <c r="B15" s="29"/>
      <c r="C15" s="29"/>
      <c r="D15" s="29"/>
      <c r="E15" s="29"/>
      <c r="F15" s="29"/>
      <c r="Y15" s="27"/>
      <c r="Z15" s="27"/>
    </row>
    <row r="16" spans="1:26" x14ac:dyDescent="0.3">
      <c r="A16" s="29"/>
      <c r="B16" s="29"/>
      <c r="C16" s="29"/>
      <c r="D16" s="29"/>
      <c r="E16" s="29"/>
      <c r="F16" s="29"/>
      <c r="Q16" s="40"/>
    </row>
    <row r="17" spans="1:21" x14ac:dyDescent="0.3">
      <c r="A17" s="29"/>
      <c r="B17" s="29"/>
      <c r="C17" s="29"/>
      <c r="D17" s="29"/>
      <c r="E17" s="31"/>
      <c r="F17" s="29"/>
    </row>
    <row r="18" spans="1:21" x14ac:dyDescent="0.3">
      <c r="A18" s="29"/>
      <c r="C18" s="41"/>
      <c r="F18" s="44"/>
      <c r="L18" s="67" t="s">
        <v>58</v>
      </c>
      <c r="M18" s="67"/>
      <c r="N18" s="67"/>
      <c r="T18" s="66" t="s">
        <v>60</v>
      </c>
      <c r="U18" s="36"/>
    </row>
    <row r="19" spans="1:21" x14ac:dyDescent="0.3">
      <c r="A19" s="29"/>
      <c r="B19" s="29"/>
      <c r="C19" s="29"/>
      <c r="D19" s="29"/>
      <c r="E19" s="29"/>
      <c r="F19" s="44"/>
      <c r="L19" s="67"/>
      <c r="M19" s="67"/>
      <c r="N19" s="67"/>
      <c r="T19" s="67"/>
      <c r="U19" s="37"/>
    </row>
    <row r="20" spans="1:21" x14ac:dyDescent="0.3">
      <c r="A20" s="29"/>
      <c r="B20" s="29"/>
      <c r="C20" s="29"/>
      <c r="D20" s="29"/>
      <c r="E20" s="29"/>
      <c r="F20" s="29"/>
      <c r="L20" s="67"/>
      <c r="M20" s="67"/>
      <c r="N20" s="67"/>
      <c r="T20" s="67"/>
      <c r="U20" s="37"/>
    </row>
    <row r="21" spans="1:21" x14ac:dyDescent="0.3">
      <c r="A21" s="29"/>
      <c r="B21" s="29"/>
      <c r="C21" s="29"/>
      <c r="D21" s="29"/>
      <c r="E21" s="29"/>
      <c r="F21" s="29"/>
      <c r="L21" s="67"/>
      <c r="M21" s="67"/>
      <c r="N21" s="67"/>
      <c r="T21" s="67"/>
      <c r="U21" s="37"/>
    </row>
    <row r="22" spans="1:21" x14ac:dyDescent="0.3">
      <c r="A22" s="29"/>
      <c r="B22" s="29"/>
      <c r="C22" s="29"/>
      <c r="D22" s="29"/>
      <c r="E22" s="30"/>
      <c r="F22" s="29"/>
      <c r="L22" s="67"/>
      <c r="M22" s="67"/>
      <c r="N22" s="67"/>
    </row>
    <row r="23" spans="1:21" x14ac:dyDescent="0.3">
      <c r="A23" s="29"/>
      <c r="B23" s="29"/>
      <c r="C23" s="29"/>
      <c r="D23" s="29"/>
      <c r="E23" s="29"/>
      <c r="F23" s="29"/>
      <c r="L23" s="67"/>
      <c r="M23" s="67"/>
      <c r="N23" s="67"/>
    </row>
    <row r="24" spans="1:21" x14ac:dyDescent="0.3">
      <c r="A24" s="29"/>
      <c r="B24" s="29"/>
      <c r="C24" s="29"/>
      <c r="D24" s="29"/>
      <c r="E24" s="29"/>
      <c r="F24" s="29"/>
      <c r="L24" s="67"/>
      <c r="M24" s="67"/>
      <c r="N24" s="67"/>
    </row>
    <row r="25" spans="1:21" x14ac:dyDescent="0.3">
      <c r="A25" s="29"/>
      <c r="B25" s="29"/>
      <c r="C25" s="29"/>
      <c r="D25" s="29"/>
      <c r="E25" s="29"/>
      <c r="F25" s="29"/>
      <c r="L25" s="67"/>
      <c r="M25" s="67"/>
      <c r="N25" s="67"/>
    </row>
    <row r="26" spans="1:21" x14ac:dyDescent="0.3">
      <c r="A26" s="29"/>
      <c r="B26" s="29"/>
      <c r="C26" s="29"/>
      <c r="D26" s="29"/>
      <c r="E26" s="29"/>
      <c r="F26" s="29"/>
      <c r="L26" s="67"/>
      <c r="M26" s="67"/>
      <c r="N26" s="67"/>
    </row>
    <row r="27" spans="1:21" x14ac:dyDescent="0.3">
      <c r="A27" s="29"/>
      <c r="B27" s="29"/>
      <c r="C27" s="29"/>
      <c r="D27" s="29"/>
      <c r="E27" s="30"/>
      <c r="F27" s="29"/>
    </row>
    <row r="29" spans="1:21" ht="15" customHeight="1" x14ac:dyDescent="0.3"/>
    <row r="30" spans="1:21" x14ac:dyDescent="0.3">
      <c r="A30" s="25"/>
      <c r="B30" s="25"/>
      <c r="C30" s="25"/>
      <c r="D30" s="25"/>
      <c r="E30" s="25"/>
      <c r="F30" s="25"/>
    </row>
    <row r="31" spans="1:21" ht="15.45" customHeight="1" x14ac:dyDescent="0.3">
      <c r="A31" s="25"/>
      <c r="B31" s="25"/>
      <c r="C31" s="25"/>
      <c r="D31" s="25"/>
      <c r="E31" s="25"/>
      <c r="F31" s="25"/>
    </row>
    <row r="32" spans="1:21" x14ac:dyDescent="0.3">
      <c r="A32" s="25"/>
      <c r="B32" s="25"/>
      <c r="C32" s="25"/>
      <c r="D32" s="25"/>
      <c r="E32" s="25"/>
      <c r="F32" s="25"/>
    </row>
    <row r="33" spans="1:6" x14ac:dyDescent="0.3">
      <c r="A33" s="25"/>
      <c r="B33" s="25"/>
      <c r="C33" s="25"/>
      <c r="D33" s="25"/>
      <c r="E33" s="25"/>
      <c r="F33" s="25"/>
    </row>
    <row r="34" spans="1:6" x14ac:dyDescent="0.3">
      <c r="A34" s="25"/>
      <c r="B34" s="25"/>
      <c r="C34" s="25"/>
      <c r="D34" s="25"/>
      <c r="E34" s="25"/>
      <c r="F34" s="25"/>
    </row>
    <row r="35" spans="1:6" x14ac:dyDescent="0.3">
      <c r="A35" s="25"/>
      <c r="B35" s="25"/>
      <c r="C35" s="25"/>
      <c r="D35" s="25"/>
      <c r="E35" s="25"/>
      <c r="F35" s="25"/>
    </row>
    <row r="36" spans="1:6" x14ac:dyDescent="0.3">
      <c r="A36" s="25"/>
      <c r="B36" s="25"/>
      <c r="C36" s="25"/>
      <c r="D36" s="25"/>
      <c r="E36" s="25"/>
      <c r="F36" s="25"/>
    </row>
    <row r="37" spans="1:6" x14ac:dyDescent="0.3">
      <c r="A37" s="25"/>
      <c r="B37" s="25"/>
      <c r="C37" s="25"/>
      <c r="D37" s="25"/>
      <c r="E37" s="25"/>
      <c r="F37" s="25"/>
    </row>
    <row r="38" spans="1:6" x14ac:dyDescent="0.3">
      <c r="A38" s="25"/>
      <c r="B38" s="25"/>
      <c r="C38" s="25"/>
      <c r="D38" s="25"/>
      <c r="E38" s="25"/>
      <c r="F38" s="25"/>
    </row>
    <row r="39" spans="1:6" x14ac:dyDescent="0.3">
      <c r="A39" s="25"/>
      <c r="B39" s="25"/>
      <c r="C39" s="25"/>
      <c r="D39" s="25"/>
      <c r="E39" s="25"/>
      <c r="F39" s="25"/>
    </row>
    <row r="40" spans="1:6" x14ac:dyDescent="0.3">
      <c r="A40" s="25"/>
      <c r="B40" s="25"/>
      <c r="C40" s="25"/>
      <c r="D40" s="25"/>
      <c r="E40" s="25"/>
      <c r="F40" s="25"/>
    </row>
    <row r="41" spans="1:6" x14ac:dyDescent="0.3">
      <c r="A41" s="25"/>
      <c r="B41" s="25"/>
      <c r="C41" s="25"/>
      <c r="D41" s="25"/>
      <c r="E41" s="25"/>
      <c r="F41" s="25"/>
    </row>
    <row r="42" spans="1:6" x14ac:dyDescent="0.3">
      <c r="A42" s="25"/>
      <c r="B42" s="25"/>
      <c r="C42" s="25"/>
      <c r="D42" s="25"/>
      <c r="E42" s="25"/>
      <c r="F42" s="25"/>
    </row>
    <row r="50" spans="1:10" x14ac:dyDescent="0.3">
      <c r="A50" s="29"/>
      <c r="B50" s="29"/>
      <c r="C50" s="29"/>
      <c r="D50" s="29"/>
      <c r="E50" s="29"/>
      <c r="F50" s="29"/>
      <c r="G50" s="29"/>
      <c r="H50" s="29"/>
      <c r="I50" s="29"/>
      <c r="J50" s="29"/>
    </row>
    <row r="51" spans="1:10" x14ac:dyDescent="0.3">
      <c r="A51" s="29"/>
      <c r="B51" s="29"/>
      <c r="C51" s="29"/>
      <c r="D51" s="29"/>
      <c r="E51" s="29"/>
      <c r="F51" s="29"/>
      <c r="G51" s="29"/>
      <c r="H51" s="29"/>
      <c r="I51" s="29"/>
      <c r="J51" s="29"/>
    </row>
    <row r="52" spans="1:10" x14ac:dyDescent="0.3">
      <c r="A52" s="29"/>
      <c r="B52" s="29"/>
      <c r="C52" s="29"/>
      <c r="D52" s="29"/>
      <c r="E52" s="29"/>
      <c r="F52" s="29"/>
      <c r="G52" s="29"/>
      <c r="H52" s="29"/>
      <c r="I52" s="29"/>
      <c r="J52" s="29"/>
    </row>
    <row r="53" spans="1:10" x14ac:dyDescent="0.3">
      <c r="A53" s="29"/>
      <c r="B53" s="29"/>
      <c r="C53" s="29"/>
      <c r="D53" s="29"/>
      <c r="E53" s="29"/>
      <c r="F53" s="29"/>
      <c r="G53" s="29"/>
      <c r="H53" s="29"/>
      <c r="I53" s="29"/>
      <c r="J53" s="29"/>
    </row>
    <row r="54" spans="1:10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</row>
    <row r="55" spans="1:10" x14ac:dyDescent="0.3">
      <c r="A55" s="29"/>
      <c r="B55" s="29"/>
      <c r="C55" s="29"/>
      <c r="D55" s="29"/>
      <c r="E55" s="30"/>
      <c r="F55" s="29"/>
      <c r="G55" s="29"/>
      <c r="H55" s="29"/>
      <c r="I55" s="29"/>
      <c r="J55" s="29"/>
    </row>
    <row r="56" spans="1:10" x14ac:dyDescent="0.3">
      <c r="A56" s="29"/>
      <c r="B56" s="29"/>
      <c r="C56" s="29"/>
      <c r="D56" s="29"/>
      <c r="E56" s="29"/>
      <c r="F56" s="29"/>
      <c r="G56" s="29"/>
      <c r="H56" s="29"/>
      <c r="I56" s="29"/>
      <c r="J56" s="29"/>
    </row>
    <row r="57" spans="1:10" x14ac:dyDescent="0.3">
      <c r="A57" s="29"/>
      <c r="B57" s="29"/>
      <c r="C57" s="29"/>
      <c r="D57" s="29"/>
      <c r="E57" s="29"/>
      <c r="F57" s="29"/>
      <c r="G57" s="29"/>
      <c r="H57" s="29"/>
      <c r="I57" s="29"/>
      <c r="J57" s="29"/>
    </row>
    <row r="58" spans="1:10" x14ac:dyDescent="0.3">
      <c r="A58" s="29"/>
      <c r="B58" s="29"/>
      <c r="C58" s="29"/>
      <c r="D58" s="29"/>
      <c r="E58" s="29"/>
      <c r="F58" s="29"/>
      <c r="G58" s="29"/>
      <c r="H58" s="29"/>
      <c r="I58" s="29"/>
      <c r="J58" s="29"/>
    </row>
    <row r="59" spans="1:10" x14ac:dyDescent="0.3">
      <c r="A59" s="29"/>
      <c r="B59" s="29"/>
      <c r="C59" s="29"/>
      <c r="D59" s="29"/>
      <c r="E59" s="29"/>
      <c r="F59" s="29"/>
      <c r="G59" s="29"/>
      <c r="H59" s="29"/>
      <c r="I59" s="29"/>
      <c r="J59" s="29"/>
    </row>
    <row r="60" spans="1:10" x14ac:dyDescent="0.3">
      <c r="A60" s="29"/>
      <c r="B60" s="29"/>
      <c r="C60" s="29"/>
      <c r="D60" s="29"/>
      <c r="E60" s="31"/>
      <c r="F60" s="29"/>
      <c r="G60" s="29"/>
      <c r="H60" s="29"/>
      <c r="I60" s="29"/>
      <c r="J60" s="29"/>
    </row>
  </sheetData>
  <mergeCells count="6">
    <mergeCell ref="T18:T21"/>
    <mergeCell ref="B1:D1"/>
    <mergeCell ref="H1:J1"/>
    <mergeCell ref="L1:N1"/>
    <mergeCell ref="P1:R1"/>
    <mergeCell ref="L18:N26"/>
  </mergeCells>
  <conditionalFormatting sqref="T3:T11">
    <cfRule type="cellIs" dxfId="18" priority="25" operator="notEqual">
      <formula>500</formula>
    </cfRule>
  </conditionalFormatting>
  <conditionalFormatting sqref="L3:N3">
    <cfRule type="cellIs" dxfId="17" priority="23" operator="equal">
      <formula>FALSE</formula>
    </cfRule>
    <cfRule type="cellIs" dxfId="16" priority="24" operator="lessThan">
      <formula>0</formula>
    </cfRule>
  </conditionalFormatting>
  <conditionalFormatting sqref="L4:N4">
    <cfRule type="cellIs" dxfId="15" priority="20" operator="equal">
      <formula>FALSE</formula>
    </cfRule>
    <cfRule type="cellIs" dxfId="14" priority="21" operator="lessThan">
      <formula>0</formula>
    </cfRule>
  </conditionalFormatting>
  <conditionalFormatting sqref="L6:N6">
    <cfRule type="cellIs" dxfId="13" priority="17" operator="equal">
      <formula>FALSE</formula>
    </cfRule>
    <cfRule type="cellIs" dxfId="12" priority="18" operator="lessThan">
      <formula>0</formula>
    </cfRule>
  </conditionalFormatting>
  <conditionalFormatting sqref="L9:N9">
    <cfRule type="cellIs" dxfId="11" priority="14" operator="equal">
      <formula>FALSE</formula>
    </cfRule>
    <cfRule type="cellIs" dxfId="10" priority="15" operator="lessThan">
      <formula>0</formula>
    </cfRule>
  </conditionalFormatting>
  <conditionalFormatting sqref="L5:N5">
    <cfRule type="cellIs" dxfId="9" priority="12" operator="equal">
      <formula>FALSE</formula>
    </cfRule>
    <cfRule type="cellIs" dxfId="8" priority="13" operator="lessThan">
      <formula>0</formula>
    </cfRule>
  </conditionalFormatting>
  <conditionalFormatting sqref="L7:N7">
    <cfRule type="cellIs" dxfId="7" priority="10" operator="equal">
      <formula>FALSE</formula>
    </cfRule>
    <cfRule type="cellIs" dxfId="6" priority="11" operator="lessThan">
      <formula>0</formula>
    </cfRule>
  </conditionalFormatting>
  <conditionalFormatting sqref="L8:N8">
    <cfRule type="cellIs" dxfId="5" priority="7" operator="equal">
      <formula>FALSE</formula>
    </cfRule>
    <cfRule type="cellIs" dxfId="4" priority="8" operator="lessThan">
      <formula>0</formula>
    </cfRule>
  </conditionalFormatting>
  <conditionalFormatting sqref="L10:N10">
    <cfRule type="cellIs" dxfId="3" priority="4" operator="equal">
      <formula>FALSE</formula>
    </cfRule>
    <cfRule type="cellIs" dxfId="2" priority="5" operator="lessThan">
      <formula>0</formula>
    </cfRule>
  </conditionalFormatting>
  <conditionalFormatting sqref="L11:N11">
    <cfRule type="cellIs" dxfId="1" priority="1" operator="equal">
      <formula>FALSE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83CE-4B3B-48C8-8F6F-FF1D20621D6A}">
  <dimension ref="A1:I109"/>
  <sheetViews>
    <sheetView zoomScaleNormal="100" workbookViewId="0">
      <selection activeCell="C92" sqref="C92:E100"/>
    </sheetView>
  </sheetViews>
  <sheetFormatPr defaultColWidth="10.77734375" defaultRowHeight="15" x14ac:dyDescent="0.25"/>
  <cols>
    <col min="1" max="1" width="16.5546875" style="65" bestFit="1" customWidth="1"/>
    <col min="2" max="2" width="28.44140625" style="65" bestFit="1" customWidth="1"/>
    <col min="3" max="4" width="15.21875" style="65" bestFit="1" customWidth="1"/>
    <col min="5" max="5" width="15.77734375" style="65" bestFit="1" customWidth="1"/>
    <col min="6" max="6" width="15.21875" style="65" bestFit="1" customWidth="1"/>
    <col min="7" max="7" width="17.77734375" style="65" bestFit="1" customWidth="1"/>
    <col min="8" max="8" width="25.77734375" style="65" bestFit="1" customWidth="1"/>
    <col min="9" max="9" width="27" style="65" customWidth="1"/>
    <col min="10" max="16384" width="10.77734375" style="65"/>
  </cols>
  <sheetData>
    <row r="1" spans="1:9" x14ac:dyDescent="0.25">
      <c r="A1" s="57"/>
      <c r="B1" s="64" t="s">
        <v>18</v>
      </c>
      <c r="C1" s="64" t="s">
        <v>16</v>
      </c>
      <c r="D1" s="64" t="s">
        <v>16</v>
      </c>
      <c r="E1" s="64" t="s">
        <v>16</v>
      </c>
      <c r="F1" s="64" t="s">
        <v>28</v>
      </c>
      <c r="G1" s="57"/>
      <c r="H1" s="57"/>
    </row>
    <row r="2" spans="1:9" x14ac:dyDescent="0.25">
      <c r="A2" s="57"/>
      <c r="B2" s="64" t="s">
        <v>17</v>
      </c>
      <c r="C2" s="64">
        <f>20.41/1000</f>
        <v>2.0410000000000001E-2</v>
      </c>
      <c r="D2" s="64">
        <f>20.41/1000</f>
        <v>2.0410000000000001E-2</v>
      </c>
      <c r="E2" s="64">
        <f>20.41/1000</f>
        <v>2.0410000000000001E-2</v>
      </c>
      <c r="F2" s="64">
        <f>72.75/1000</f>
        <v>7.2749999999999995E-2</v>
      </c>
      <c r="G2" s="57" t="s">
        <v>13</v>
      </c>
      <c r="H2" s="57" t="s">
        <v>13</v>
      </c>
    </row>
    <row r="3" spans="1:9" ht="15.6" thickBot="1" x14ac:dyDescent="0.3">
      <c r="A3" s="57" t="s">
        <v>66</v>
      </c>
      <c r="B3" s="57" t="s">
        <v>14</v>
      </c>
      <c r="C3" s="57" t="s">
        <v>1</v>
      </c>
      <c r="D3" s="57" t="s">
        <v>48</v>
      </c>
      <c r="E3" s="57" t="s">
        <v>2</v>
      </c>
      <c r="F3" s="57" t="s">
        <v>15</v>
      </c>
      <c r="G3" s="57" t="s">
        <v>9</v>
      </c>
      <c r="H3" s="57" t="s">
        <v>8</v>
      </c>
    </row>
    <row r="4" spans="1:9" ht="15" customHeight="1" x14ac:dyDescent="0.25">
      <c r="A4" s="57">
        <v>1</v>
      </c>
      <c r="B4" s="57">
        <f>500/'[1]Timing Calculation'!$B$27</f>
        <v>1.3372956909361151</v>
      </c>
      <c r="C4" s="57">
        <v>144.36619718309856</v>
      </c>
      <c r="D4" s="57">
        <v>217.69753605647324</v>
      </c>
      <c r="E4" s="57">
        <v>137.93626676042817</v>
      </c>
      <c r="F4" s="57">
        <f>(1.2*$F$2*B4)</f>
        <v>0.11674591381872283</v>
      </c>
      <c r="G4" s="57">
        <f t="shared" ref="G4:G21" si="0">SUM(C4:F4)</f>
        <v>500.11674591381865</v>
      </c>
      <c r="H4" s="57">
        <f t="shared" ref="H4:H21" si="1">G4/B4</f>
        <v>373.97618888888655</v>
      </c>
      <c r="I4" s="70" t="s">
        <v>79</v>
      </c>
    </row>
    <row r="5" spans="1:9" ht="15" customHeight="1" x14ac:dyDescent="0.25">
      <c r="A5" s="57">
        <f>A4+1</f>
        <v>2</v>
      </c>
      <c r="B5" s="57">
        <f>500/'[1]Timing Calculation'!$B$27</f>
        <v>1.3372956909361151</v>
      </c>
      <c r="C5" s="57">
        <v>144.36619718309856</v>
      </c>
      <c r="D5" s="57">
        <v>217.69753605647324</v>
      </c>
      <c r="E5" s="57">
        <v>137.93626676042817</v>
      </c>
      <c r="F5" s="57">
        <f t="shared" ref="F5:F12" si="2">(1.2*$F$2*B5)</f>
        <v>0.11674591381872283</v>
      </c>
      <c r="G5" s="57">
        <f t="shared" si="0"/>
        <v>500.11674591381865</v>
      </c>
      <c r="H5" s="57">
        <f t="shared" si="1"/>
        <v>373.97618888888655</v>
      </c>
      <c r="I5" s="71"/>
    </row>
    <row r="6" spans="1:9" ht="15" customHeight="1" x14ac:dyDescent="0.25">
      <c r="A6" s="57">
        <f t="shared" ref="A6:A12" si="3">A5+1</f>
        <v>3</v>
      </c>
      <c r="B6" s="57">
        <f>500/'[1]Timing Calculation'!$B$27</f>
        <v>1.3372956909361151</v>
      </c>
      <c r="C6" s="57">
        <v>144.36619718309856</v>
      </c>
      <c r="D6" s="57">
        <v>217.69753605647324</v>
      </c>
      <c r="E6" s="57">
        <v>137.93626676042817</v>
      </c>
      <c r="F6" s="57">
        <f t="shared" si="2"/>
        <v>0.11674591381872283</v>
      </c>
      <c r="G6" s="57">
        <f t="shared" si="0"/>
        <v>500.11674591381865</v>
      </c>
      <c r="H6" s="57">
        <f t="shared" si="1"/>
        <v>373.97618888888655</v>
      </c>
      <c r="I6" s="71"/>
    </row>
    <row r="7" spans="1:9" ht="15" customHeight="1" x14ac:dyDescent="0.25">
      <c r="A7" s="57">
        <f t="shared" si="3"/>
        <v>4</v>
      </c>
      <c r="B7" s="57">
        <f>500/'[1]Timing Calculation'!$B$27</f>
        <v>1.3372956909361151</v>
      </c>
      <c r="C7" s="57">
        <v>144.36619718309856</v>
      </c>
      <c r="D7" s="57">
        <v>286.66566943668732</v>
      </c>
      <c r="E7" s="57">
        <v>68.968133380214084</v>
      </c>
      <c r="F7" s="57">
        <f t="shared" si="2"/>
        <v>0.11674591381872283</v>
      </c>
      <c r="G7" s="57">
        <f t="shared" si="0"/>
        <v>500.1167459138187</v>
      </c>
      <c r="H7" s="57">
        <f t="shared" si="1"/>
        <v>373.97618888888661</v>
      </c>
      <c r="I7" s="71"/>
    </row>
    <row r="8" spans="1:9" ht="15" customHeight="1" x14ac:dyDescent="0.25">
      <c r="A8" s="57">
        <f t="shared" si="3"/>
        <v>5</v>
      </c>
      <c r="B8" s="57">
        <f>500/'[1]Timing Calculation'!$B$27</f>
        <v>1.3372956909361151</v>
      </c>
      <c r="C8" s="57">
        <v>144.36619718309856</v>
      </c>
      <c r="D8" s="57">
        <v>286.66566943668732</v>
      </c>
      <c r="E8" s="57">
        <v>68.968133380214084</v>
      </c>
      <c r="F8" s="57">
        <f t="shared" si="2"/>
        <v>0.11674591381872283</v>
      </c>
      <c r="G8" s="57">
        <f t="shared" si="0"/>
        <v>500.1167459138187</v>
      </c>
      <c r="H8" s="57">
        <f t="shared" si="1"/>
        <v>373.97618888888661</v>
      </c>
      <c r="I8" s="71"/>
    </row>
    <row r="9" spans="1:9" ht="15" customHeight="1" x14ac:dyDescent="0.25">
      <c r="A9" s="57">
        <f t="shared" si="3"/>
        <v>6</v>
      </c>
      <c r="B9" s="57">
        <f>500/'[1]Timing Calculation'!$B$27</f>
        <v>1.3372956909361151</v>
      </c>
      <c r="C9" s="57">
        <v>144.36619718309856</v>
      </c>
      <c r="D9" s="57">
        <v>286.66566943668732</v>
      </c>
      <c r="E9" s="57">
        <v>68.968133380214084</v>
      </c>
      <c r="F9" s="57">
        <f t="shared" si="2"/>
        <v>0.11674591381872283</v>
      </c>
      <c r="G9" s="57">
        <f t="shared" si="0"/>
        <v>500.1167459138187</v>
      </c>
      <c r="H9" s="57">
        <f t="shared" si="1"/>
        <v>373.97618888888661</v>
      </c>
      <c r="I9" s="71"/>
    </row>
    <row r="10" spans="1:9" ht="15" customHeight="1" x14ac:dyDescent="0.25">
      <c r="A10" s="57">
        <f t="shared" si="3"/>
        <v>7</v>
      </c>
      <c r="B10" s="57">
        <f>500/'[1]Timing Calculation'!$B$27</f>
        <v>1.3372956909361151</v>
      </c>
      <c r="C10" s="57">
        <v>293.4560327198364</v>
      </c>
      <c r="D10" s="57">
        <v>66.351074478665026</v>
      </c>
      <c r="E10" s="57">
        <v>140.19289280149857</v>
      </c>
      <c r="F10" s="57">
        <f t="shared" si="2"/>
        <v>0.11674591381872283</v>
      </c>
      <c r="G10" s="57">
        <f t="shared" si="0"/>
        <v>500.1167459138187</v>
      </c>
      <c r="H10" s="57">
        <f t="shared" si="1"/>
        <v>373.97618888888661</v>
      </c>
      <c r="I10" s="71"/>
    </row>
    <row r="11" spans="1:9" ht="15" customHeight="1" x14ac:dyDescent="0.25">
      <c r="A11" s="57">
        <f t="shared" si="3"/>
        <v>8</v>
      </c>
      <c r="B11" s="57">
        <f>500/'[1]Timing Calculation'!$B$27</f>
        <v>1.3372956909361151</v>
      </c>
      <c r="C11" s="57">
        <v>293.4560327198364</v>
      </c>
      <c r="D11" s="57">
        <v>66.351074478665026</v>
      </c>
      <c r="E11" s="57">
        <v>140.19289280149857</v>
      </c>
      <c r="F11" s="57">
        <f t="shared" si="2"/>
        <v>0.11674591381872283</v>
      </c>
      <c r="G11" s="57">
        <f t="shared" si="0"/>
        <v>500.1167459138187</v>
      </c>
      <c r="H11" s="57">
        <f t="shared" si="1"/>
        <v>373.97618888888661</v>
      </c>
      <c r="I11" s="71"/>
    </row>
    <row r="12" spans="1:9" ht="15" customHeight="1" x14ac:dyDescent="0.25">
      <c r="A12" s="57">
        <f t="shared" si="3"/>
        <v>9</v>
      </c>
      <c r="B12" s="57">
        <f>500/'[1]Timing Calculation'!$B$27</f>
        <v>1.3372956909361151</v>
      </c>
      <c r="C12" s="57">
        <v>293.4560327198364</v>
      </c>
      <c r="D12" s="57">
        <v>66.351074478665026</v>
      </c>
      <c r="E12" s="57">
        <v>140.19289280149857</v>
      </c>
      <c r="F12" s="57">
        <f t="shared" si="2"/>
        <v>0.11674591381872283</v>
      </c>
      <c r="G12" s="57">
        <f t="shared" si="0"/>
        <v>500.1167459138187</v>
      </c>
      <c r="H12" s="57">
        <f t="shared" si="1"/>
        <v>373.97618888888661</v>
      </c>
      <c r="I12" s="71"/>
    </row>
    <row r="13" spans="1:9" ht="15" customHeight="1" x14ac:dyDescent="0.25">
      <c r="A13" s="38">
        <v>1</v>
      </c>
      <c r="B13" s="38">
        <f>500/'[1]Timing Calculation'!$B$27</f>
        <v>1.3372956909361151</v>
      </c>
      <c r="C13" s="38">
        <f>1.2*$C$2*B13</f>
        <v>3.275304606240733E-2</v>
      </c>
      <c r="D13" s="38">
        <f>1.2*$D$2*B13</f>
        <v>3.275304606240733E-2</v>
      </c>
      <c r="E13" s="38">
        <f>1.2*$E$2*B13</f>
        <v>3.275304606240733E-2</v>
      </c>
      <c r="F13" s="38">
        <f>373.9761889*B13-SUM(C13:E13)</f>
        <v>500.0184867904934</v>
      </c>
      <c r="G13" s="38">
        <f t="shared" si="0"/>
        <v>500.11674592868064</v>
      </c>
      <c r="H13" s="38">
        <f t="shared" si="1"/>
        <v>373.97618890000001</v>
      </c>
      <c r="I13" s="71"/>
    </row>
    <row r="14" spans="1:9" ht="15" customHeight="1" x14ac:dyDescent="0.25">
      <c r="A14" s="38">
        <v>2</v>
      </c>
      <c r="B14" s="38">
        <f>500/'[1]Timing Calculation'!$B$27</f>
        <v>1.3372956909361151</v>
      </c>
      <c r="C14" s="38">
        <f t="shared" ref="C14:C21" si="4">1.2*$C$2*B14</f>
        <v>3.275304606240733E-2</v>
      </c>
      <c r="D14" s="38">
        <f t="shared" ref="D14:D21" si="5">1.2*$D$2*B14</f>
        <v>3.275304606240733E-2</v>
      </c>
      <c r="E14" s="38">
        <f t="shared" ref="E14:E21" si="6">1.2*$E$2*B14</f>
        <v>3.275304606240733E-2</v>
      </c>
      <c r="F14" s="38">
        <f t="shared" ref="F14:F21" si="7">373.9761889*B14-SUM(C14:E14)</f>
        <v>500.0184867904934</v>
      </c>
      <c r="G14" s="38">
        <f t="shared" si="0"/>
        <v>500.11674592868064</v>
      </c>
      <c r="H14" s="38">
        <f t="shared" si="1"/>
        <v>373.97618890000001</v>
      </c>
      <c r="I14" s="71"/>
    </row>
    <row r="15" spans="1:9" ht="15" customHeight="1" x14ac:dyDescent="0.25">
      <c r="A15" s="38">
        <v>3</v>
      </c>
      <c r="B15" s="38">
        <f>500/'[1]Timing Calculation'!$B$27</f>
        <v>1.3372956909361151</v>
      </c>
      <c r="C15" s="38">
        <f t="shared" si="4"/>
        <v>3.275304606240733E-2</v>
      </c>
      <c r="D15" s="38">
        <f t="shared" si="5"/>
        <v>3.275304606240733E-2</v>
      </c>
      <c r="E15" s="38">
        <f t="shared" si="6"/>
        <v>3.275304606240733E-2</v>
      </c>
      <c r="F15" s="38">
        <f t="shared" si="7"/>
        <v>500.0184867904934</v>
      </c>
      <c r="G15" s="38">
        <f t="shared" si="0"/>
        <v>500.11674592868064</v>
      </c>
      <c r="H15" s="38">
        <f t="shared" si="1"/>
        <v>373.97618890000001</v>
      </c>
      <c r="I15" s="71"/>
    </row>
    <row r="16" spans="1:9" ht="15" customHeight="1" x14ac:dyDescent="0.25">
      <c r="A16" s="38">
        <v>4</v>
      </c>
      <c r="B16" s="38">
        <f>500/'[1]Timing Calculation'!$B$27</f>
        <v>1.3372956909361151</v>
      </c>
      <c r="C16" s="38">
        <f t="shared" si="4"/>
        <v>3.275304606240733E-2</v>
      </c>
      <c r="D16" s="38">
        <f t="shared" si="5"/>
        <v>3.275304606240733E-2</v>
      </c>
      <c r="E16" s="38">
        <f t="shared" si="6"/>
        <v>3.275304606240733E-2</v>
      </c>
      <c r="F16" s="38">
        <f t="shared" si="7"/>
        <v>500.0184867904934</v>
      </c>
      <c r="G16" s="38">
        <f t="shared" si="0"/>
        <v>500.11674592868064</v>
      </c>
      <c r="H16" s="38">
        <f t="shared" si="1"/>
        <v>373.97618890000001</v>
      </c>
      <c r="I16" s="71"/>
    </row>
    <row r="17" spans="1:9" ht="15" customHeight="1" x14ac:dyDescent="0.25">
      <c r="A17" s="38">
        <v>5</v>
      </c>
      <c r="B17" s="38">
        <f>500/'[1]Timing Calculation'!$B$27</f>
        <v>1.3372956909361151</v>
      </c>
      <c r="C17" s="38">
        <f t="shared" si="4"/>
        <v>3.275304606240733E-2</v>
      </c>
      <c r="D17" s="38">
        <f t="shared" si="5"/>
        <v>3.275304606240733E-2</v>
      </c>
      <c r="E17" s="38">
        <f t="shared" si="6"/>
        <v>3.275304606240733E-2</v>
      </c>
      <c r="F17" s="38">
        <f t="shared" si="7"/>
        <v>500.0184867904934</v>
      </c>
      <c r="G17" s="38">
        <f t="shared" si="0"/>
        <v>500.11674592868064</v>
      </c>
      <c r="H17" s="38">
        <f t="shared" si="1"/>
        <v>373.97618890000001</v>
      </c>
      <c r="I17" s="71"/>
    </row>
    <row r="18" spans="1:9" ht="15" customHeight="1" x14ac:dyDescent="0.25">
      <c r="A18" s="38">
        <v>6</v>
      </c>
      <c r="B18" s="38">
        <f>500/'[1]Timing Calculation'!$B$27</f>
        <v>1.3372956909361151</v>
      </c>
      <c r="C18" s="38">
        <f t="shared" si="4"/>
        <v>3.275304606240733E-2</v>
      </c>
      <c r="D18" s="38">
        <f t="shared" si="5"/>
        <v>3.275304606240733E-2</v>
      </c>
      <c r="E18" s="38">
        <f t="shared" si="6"/>
        <v>3.275304606240733E-2</v>
      </c>
      <c r="F18" s="38">
        <f t="shared" si="7"/>
        <v>500.0184867904934</v>
      </c>
      <c r="G18" s="38">
        <f t="shared" si="0"/>
        <v>500.11674592868064</v>
      </c>
      <c r="H18" s="38">
        <f t="shared" si="1"/>
        <v>373.97618890000001</v>
      </c>
      <c r="I18" s="71"/>
    </row>
    <row r="19" spans="1:9" ht="15" customHeight="1" x14ac:dyDescent="0.25">
      <c r="A19" s="38">
        <v>7</v>
      </c>
      <c r="B19" s="38">
        <f>500/'[1]Timing Calculation'!$B$27</f>
        <v>1.3372956909361151</v>
      </c>
      <c r="C19" s="38">
        <f t="shared" si="4"/>
        <v>3.275304606240733E-2</v>
      </c>
      <c r="D19" s="38">
        <f t="shared" si="5"/>
        <v>3.275304606240733E-2</v>
      </c>
      <c r="E19" s="38">
        <f t="shared" si="6"/>
        <v>3.275304606240733E-2</v>
      </c>
      <c r="F19" s="38">
        <f t="shared" si="7"/>
        <v>500.0184867904934</v>
      </c>
      <c r="G19" s="38">
        <f t="shared" si="0"/>
        <v>500.11674592868064</v>
      </c>
      <c r="H19" s="38">
        <f t="shared" si="1"/>
        <v>373.97618890000001</v>
      </c>
      <c r="I19" s="71"/>
    </row>
    <row r="20" spans="1:9" ht="15" customHeight="1" x14ac:dyDescent="0.25">
      <c r="A20" s="38">
        <v>8</v>
      </c>
      <c r="B20" s="38">
        <f>500/'[1]Timing Calculation'!$B$27</f>
        <v>1.3372956909361151</v>
      </c>
      <c r="C20" s="38">
        <f t="shared" si="4"/>
        <v>3.275304606240733E-2</v>
      </c>
      <c r="D20" s="38">
        <f t="shared" si="5"/>
        <v>3.275304606240733E-2</v>
      </c>
      <c r="E20" s="38">
        <f t="shared" si="6"/>
        <v>3.275304606240733E-2</v>
      </c>
      <c r="F20" s="38">
        <f t="shared" si="7"/>
        <v>500.0184867904934</v>
      </c>
      <c r="G20" s="38">
        <f t="shared" si="0"/>
        <v>500.11674592868064</v>
      </c>
      <c r="H20" s="38">
        <f t="shared" si="1"/>
        <v>373.97618890000001</v>
      </c>
      <c r="I20" s="71"/>
    </row>
    <row r="21" spans="1:9" ht="15" customHeight="1" thickBot="1" x14ac:dyDescent="0.3">
      <c r="A21" s="38">
        <v>9</v>
      </c>
      <c r="B21" s="38">
        <f>500/'[1]Timing Calculation'!$B$27</f>
        <v>1.3372956909361151</v>
      </c>
      <c r="C21" s="38">
        <f t="shared" si="4"/>
        <v>3.275304606240733E-2</v>
      </c>
      <c r="D21" s="38">
        <f t="shared" si="5"/>
        <v>3.275304606240733E-2</v>
      </c>
      <c r="E21" s="38">
        <f t="shared" si="6"/>
        <v>3.275304606240733E-2</v>
      </c>
      <c r="F21" s="38">
        <f t="shared" si="7"/>
        <v>500.0184867904934</v>
      </c>
      <c r="G21" s="38">
        <f t="shared" si="0"/>
        <v>500.11674592868064</v>
      </c>
      <c r="H21" s="38">
        <f t="shared" si="1"/>
        <v>373.97618890000001</v>
      </c>
      <c r="I21" s="72"/>
    </row>
    <row r="25" spans="1:9" ht="15.6" thickBot="1" x14ac:dyDescent="0.3">
      <c r="A25" s="57" t="s">
        <v>66</v>
      </c>
      <c r="B25" s="57" t="s">
        <v>14</v>
      </c>
      <c r="C25" s="57" t="s">
        <v>1</v>
      </c>
      <c r="D25" s="57" t="s">
        <v>48</v>
      </c>
      <c r="E25" s="57" t="s">
        <v>2</v>
      </c>
      <c r="F25" s="57" t="s">
        <v>15</v>
      </c>
      <c r="G25" s="57" t="s">
        <v>9</v>
      </c>
      <c r="H25" s="57" t="s">
        <v>8</v>
      </c>
    </row>
    <row r="26" spans="1:9" ht="15" customHeight="1" x14ac:dyDescent="0.25">
      <c r="A26" s="57">
        <v>1</v>
      </c>
      <c r="B26" s="57">
        <f>500/'[1]Timing Calculation'!$B$28</f>
        <v>1.3372956909361151</v>
      </c>
      <c r="C26" s="57">
        <v>144.36619718309856</v>
      </c>
      <c r="D26" s="57">
        <v>217.69753605647324</v>
      </c>
      <c r="E26" s="57">
        <v>137.93626676042817</v>
      </c>
      <c r="F26" s="57">
        <f>(1.2*$F$2*B26)</f>
        <v>0.11674591381872283</v>
      </c>
      <c r="G26" s="57">
        <f t="shared" ref="G26:G43" si="8">SUM(C26:F26)</f>
        <v>500.11674591381865</v>
      </c>
      <c r="H26" s="57">
        <f t="shared" ref="H26:H43" si="9">G26/B26</f>
        <v>373.97618888888655</v>
      </c>
      <c r="I26" s="70" t="s">
        <v>80</v>
      </c>
    </row>
    <row r="27" spans="1:9" ht="15" customHeight="1" x14ac:dyDescent="0.25">
      <c r="A27" s="57">
        <f>A26+1</f>
        <v>2</v>
      </c>
      <c r="B27" s="57">
        <f>500/'[1]Timing Calculation'!$B$28</f>
        <v>1.3372956909361151</v>
      </c>
      <c r="C27" s="57">
        <v>144.36619718309856</v>
      </c>
      <c r="D27" s="57">
        <v>217.69753605647324</v>
      </c>
      <c r="E27" s="57">
        <v>137.93626676042817</v>
      </c>
      <c r="F27" s="57">
        <f t="shared" ref="F27:F34" si="10">(1.2*$F$2*B27)</f>
        <v>0.11674591381872283</v>
      </c>
      <c r="G27" s="57">
        <f t="shared" si="8"/>
        <v>500.11674591381865</v>
      </c>
      <c r="H27" s="57">
        <f t="shared" si="9"/>
        <v>373.97618888888655</v>
      </c>
      <c r="I27" s="71"/>
    </row>
    <row r="28" spans="1:9" ht="15" customHeight="1" x14ac:dyDescent="0.25">
      <c r="A28" s="57">
        <f t="shared" ref="A28:A34" si="11">A27+1</f>
        <v>3</v>
      </c>
      <c r="B28" s="57">
        <f>500/'[1]Timing Calculation'!$B$28</f>
        <v>1.3372956909361151</v>
      </c>
      <c r="C28" s="57">
        <v>144.36619718309856</v>
      </c>
      <c r="D28" s="57">
        <v>217.69753605647324</v>
      </c>
      <c r="E28" s="57">
        <v>137.93626676042817</v>
      </c>
      <c r="F28" s="57">
        <f t="shared" si="10"/>
        <v>0.11674591381872283</v>
      </c>
      <c r="G28" s="57">
        <f t="shared" si="8"/>
        <v>500.11674591381865</v>
      </c>
      <c r="H28" s="57">
        <f t="shared" si="9"/>
        <v>373.97618888888655</v>
      </c>
      <c r="I28" s="71"/>
    </row>
    <row r="29" spans="1:9" ht="15" customHeight="1" x14ac:dyDescent="0.25">
      <c r="A29" s="57">
        <f t="shared" si="11"/>
        <v>4</v>
      </c>
      <c r="B29" s="57">
        <f>500/'[1]Timing Calculation'!$B$28</f>
        <v>1.3372956909361151</v>
      </c>
      <c r="C29" s="57">
        <v>144.36619718309856</v>
      </c>
      <c r="D29" s="57">
        <v>286.66566943668732</v>
      </c>
      <c r="E29" s="57">
        <v>68.968133380214084</v>
      </c>
      <c r="F29" s="57">
        <f t="shared" si="10"/>
        <v>0.11674591381872283</v>
      </c>
      <c r="G29" s="57">
        <f t="shared" si="8"/>
        <v>500.1167459138187</v>
      </c>
      <c r="H29" s="57">
        <f t="shared" si="9"/>
        <v>373.97618888888661</v>
      </c>
      <c r="I29" s="71"/>
    </row>
    <row r="30" spans="1:9" ht="15" customHeight="1" x14ac:dyDescent="0.25">
      <c r="A30" s="57">
        <f t="shared" si="11"/>
        <v>5</v>
      </c>
      <c r="B30" s="57">
        <f>500/'[1]Timing Calculation'!$B$28</f>
        <v>1.3372956909361151</v>
      </c>
      <c r="C30" s="57">
        <v>144.36619718309856</v>
      </c>
      <c r="D30" s="57">
        <v>286.66566943668732</v>
      </c>
      <c r="E30" s="57">
        <v>68.968133380214084</v>
      </c>
      <c r="F30" s="57">
        <f t="shared" si="10"/>
        <v>0.11674591381872283</v>
      </c>
      <c r="G30" s="57">
        <f t="shared" si="8"/>
        <v>500.1167459138187</v>
      </c>
      <c r="H30" s="57">
        <f t="shared" si="9"/>
        <v>373.97618888888661</v>
      </c>
      <c r="I30" s="71"/>
    </row>
    <row r="31" spans="1:9" ht="15" customHeight="1" x14ac:dyDescent="0.25">
      <c r="A31" s="57">
        <f t="shared" si="11"/>
        <v>6</v>
      </c>
      <c r="B31" s="57">
        <f>500/'[1]Timing Calculation'!$B$28</f>
        <v>1.3372956909361151</v>
      </c>
      <c r="C31" s="57">
        <v>144.36619718309856</v>
      </c>
      <c r="D31" s="57">
        <v>286.66566943668732</v>
      </c>
      <c r="E31" s="57">
        <v>68.968133380214084</v>
      </c>
      <c r="F31" s="57">
        <f t="shared" si="10"/>
        <v>0.11674591381872283</v>
      </c>
      <c r="G31" s="57">
        <f t="shared" si="8"/>
        <v>500.1167459138187</v>
      </c>
      <c r="H31" s="57">
        <f t="shared" si="9"/>
        <v>373.97618888888661</v>
      </c>
      <c r="I31" s="71"/>
    </row>
    <row r="32" spans="1:9" ht="15" customHeight="1" x14ac:dyDescent="0.25">
      <c r="A32" s="57">
        <f t="shared" si="11"/>
        <v>7</v>
      </c>
      <c r="B32" s="57">
        <f>500/'[1]Timing Calculation'!$B$28</f>
        <v>1.3372956909361151</v>
      </c>
      <c r="C32" s="57">
        <v>293.4560327198364</v>
      </c>
      <c r="D32" s="57">
        <v>66.351074478665026</v>
      </c>
      <c r="E32" s="57">
        <v>140.19289280149857</v>
      </c>
      <c r="F32" s="57">
        <f t="shared" si="10"/>
        <v>0.11674591381872283</v>
      </c>
      <c r="G32" s="57">
        <f t="shared" si="8"/>
        <v>500.1167459138187</v>
      </c>
      <c r="H32" s="57">
        <f t="shared" si="9"/>
        <v>373.97618888888661</v>
      </c>
      <c r="I32" s="71"/>
    </row>
    <row r="33" spans="1:9" ht="15" customHeight="1" x14ac:dyDescent="0.25">
      <c r="A33" s="57">
        <f t="shared" si="11"/>
        <v>8</v>
      </c>
      <c r="B33" s="57">
        <f>500/'[1]Timing Calculation'!$B$28</f>
        <v>1.3372956909361151</v>
      </c>
      <c r="C33" s="57">
        <v>293.4560327198364</v>
      </c>
      <c r="D33" s="57">
        <v>66.351074478665026</v>
      </c>
      <c r="E33" s="57">
        <v>140.19289280149857</v>
      </c>
      <c r="F33" s="57">
        <f t="shared" si="10"/>
        <v>0.11674591381872283</v>
      </c>
      <c r="G33" s="57">
        <f t="shared" si="8"/>
        <v>500.1167459138187</v>
      </c>
      <c r="H33" s="57">
        <f t="shared" si="9"/>
        <v>373.97618888888661</v>
      </c>
      <c r="I33" s="71"/>
    </row>
    <row r="34" spans="1:9" ht="15" customHeight="1" x14ac:dyDescent="0.25">
      <c r="A34" s="57">
        <f t="shared" si="11"/>
        <v>9</v>
      </c>
      <c r="B34" s="57">
        <f>500/'[1]Timing Calculation'!$B$28</f>
        <v>1.3372956909361151</v>
      </c>
      <c r="C34" s="57">
        <v>293.4560327198364</v>
      </c>
      <c r="D34" s="57">
        <v>66.351074478665026</v>
      </c>
      <c r="E34" s="57">
        <v>140.19289280149857</v>
      </c>
      <c r="F34" s="57">
        <f t="shared" si="10"/>
        <v>0.11674591381872283</v>
      </c>
      <c r="G34" s="57">
        <f t="shared" si="8"/>
        <v>500.1167459138187</v>
      </c>
      <c r="H34" s="57">
        <f t="shared" si="9"/>
        <v>373.97618888888661</v>
      </c>
      <c r="I34" s="71"/>
    </row>
    <row r="35" spans="1:9" ht="15" customHeight="1" x14ac:dyDescent="0.25">
      <c r="A35" s="38">
        <v>1</v>
      </c>
      <c r="B35" s="38">
        <f>500/'[1]Timing Calculation'!$B$28</f>
        <v>1.3372956909361151</v>
      </c>
      <c r="C35" s="38">
        <f>1.2*$C$2*B35</f>
        <v>3.275304606240733E-2</v>
      </c>
      <c r="D35" s="38">
        <f>1.2*$D$2*B35</f>
        <v>3.275304606240733E-2</v>
      </c>
      <c r="E35" s="38">
        <f>1.2*$E$2*B35</f>
        <v>3.275304606240733E-2</v>
      </c>
      <c r="F35" s="38">
        <f>373.9761889*B35-SUM(C35:E35)</f>
        <v>500.0184867904934</v>
      </c>
      <c r="G35" s="38">
        <f t="shared" si="8"/>
        <v>500.11674592868064</v>
      </c>
      <c r="H35" s="38">
        <f t="shared" si="9"/>
        <v>373.97618890000001</v>
      </c>
      <c r="I35" s="71"/>
    </row>
    <row r="36" spans="1:9" ht="15" customHeight="1" x14ac:dyDescent="0.25">
      <c r="A36" s="38">
        <v>2</v>
      </c>
      <c r="B36" s="38">
        <f>500/'[1]Timing Calculation'!$B$28</f>
        <v>1.3372956909361151</v>
      </c>
      <c r="C36" s="38">
        <f t="shared" ref="C36:C43" si="12">1.2*$C$2*B36</f>
        <v>3.275304606240733E-2</v>
      </c>
      <c r="D36" s="38">
        <f t="shared" ref="D36:D43" si="13">1.2*$D$2*B36</f>
        <v>3.275304606240733E-2</v>
      </c>
      <c r="E36" s="38">
        <f t="shared" ref="E36:E43" si="14">1.2*$E$2*B36</f>
        <v>3.275304606240733E-2</v>
      </c>
      <c r="F36" s="38">
        <f t="shared" ref="F36:F43" si="15">373.9761889*B36-SUM(C36:E36)</f>
        <v>500.0184867904934</v>
      </c>
      <c r="G36" s="38">
        <f t="shared" si="8"/>
        <v>500.11674592868064</v>
      </c>
      <c r="H36" s="38">
        <f t="shared" si="9"/>
        <v>373.97618890000001</v>
      </c>
      <c r="I36" s="71"/>
    </row>
    <row r="37" spans="1:9" ht="15" customHeight="1" x14ac:dyDescent="0.25">
      <c r="A37" s="38">
        <v>3</v>
      </c>
      <c r="B37" s="38">
        <f>500/'[1]Timing Calculation'!$B$28</f>
        <v>1.3372956909361151</v>
      </c>
      <c r="C37" s="38">
        <f t="shared" si="12"/>
        <v>3.275304606240733E-2</v>
      </c>
      <c r="D37" s="38">
        <f t="shared" si="13"/>
        <v>3.275304606240733E-2</v>
      </c>
      <c r="E37" s="38">
        <f t="shared" si="14"/>
        <v>3.275304606240733E-2</v>
      </c>
      <c r="F37" s="38">
        <f t="shared" si="15"/>
        <v>500.0184867904934</v>
      </c>
      <c r="G37" s="38">
        <f t="shared" si="8"/>
        <v>500.11674592868064</v>
      </c>
      <c r="H37" s="38">
        <f t="shared" si="9"/>
        <v>373.97618890000001</v>
      </c>
      <c r="I37" s="71"/>
    </row>
    <row r="38" spans="1:9" ht="15" customHeight="1" x14ac:dyDescent="0.25">
      <c r="A38" s="38">
        <v>4</v>
      </c>
      <c r="B38" s="38">
        <f>500/'[1]Timing Calculation'!$B$28</f>
        <v>1.3372956909361151</v>
      </c>
      <c r="C38" s="38">
        <f t="shared" si="12"/>
        <v>3.275304606240733E-2</v>
      </c>
      <c r="D38" s="38">
        <f t="shared" si="13"/>
        <v>3.275304606240733E-2</v>
      </c>
      <c r="E38" s="38">
        <f t="shared" si="14"/>
        <v>3.275304606240733E-2</v>
      </c>
      <c r="F38" s="38">
        <f t="shared" si="15"/>
        <v>500.0184867904934</v>
      </c>
      <c r="G38" s="38">
        <f t="shared" si="8"/>
        <v>500.11674592868064</v>
      </c>
      <c r="H38" s="38">
        <f t="shared" si="9"/>
        <v>373.97618890000001</v>
      </c>
      <c r="I38" s="71"/>
    </row>
    <row r="39" spans="1:9" ht="15" customHeight="1" x14ac:dyDescent="0.25">
      <c r="A39" s="38">
        <v>5</v>
      </c>
      <c r="B39" s="38">
        <f>500/'[1]Timing Calculation'!$B$28</f>
        <v>1.3372956909361151</v>
      </c>
      <c r="C39" s="38">
        <f t="shared" si="12"/>
        <v>3.275304606240733E-2</v>
      </c>
      <c r="D39" s="38">
        <f t="shared" si="13"/>
        <v>3.275304606240733E-2</v>
      </c>
      <c r="E39" s="38">
        <f t="shared" si="14"/>
        <v>3.275304606240733E-2</v>
      </c>
      <c r="F39" s="38">
        <f t="shared" si="15"/>
        <v>500.0184867904934</v>
      </c>
      <c r="G39" s="38">
        <f t="shared" si="8"/>
        <v>500.11674592868064</v>
      </c>
      <c r="H39" s="38">
        <f t="shared" si="9"/>
        <v>373.97618890000001</v>
      </c>
      <c r="I39" s="71"/>
    </row>
    <row r="40" spans="1:9" ht="15" customHeight="1" x14ac:dyDescent="0.25">
      <c r="A40" s="38">
        <v>6</v>
      </c>
      <c r="B40" s="38">
        <f>500/'[1]Timing Calculation'!$B$28</f>
        <v>1.3372956909361151</v>
      </c>
      <c r="C40" s="38">
        <f t="shared" si="12"/>
        <v>3.275304606240733E-2</v>
      </c>
      <c r="D40" s="38">
        <f t="shared" si="13"/>
        <v>3.275304606240733E-2</v>
      </c>
      <c r="E40" s="38">
        <f t="shared" si="14"/>
        <v>3.275304606240733E-2</v>
      </c>
      <c r="F40" s="38">
        <f t="shared" si="15"/>
        <v>500.0184867904934</v>
      </c>
      <c r="G40" s="38">
        <f t="shared" si="8"/>
        <v>500.11674592868064</v>
      </c>
      <c r="H40" s="38">
        <f t="shared" si="9"/>
        <v>373.97618890000001</v>
      </c>
      <c r="I40" s="71"/>
    </row>
    <row r="41" spans="1:9" ht="15" customHeight="1" x14ac:dyDescent="0.25">
      <c r="A41" s="38">
        <v>7</v>
      </c>
      <c r="B41" s="38">
        <f>500/'[1]Timing Calculation'!$B$28</f>
        <v>1.3372956909361151</v>
      </c>
      <c r="C41" s="38">
        <f t="shared" si="12"/>
        <v>3.275304606240733E-2</v>
      </c>
      <c r="D41" s="38">
        <f t="shared" si="13"/>
        <v>3.275304606240733E-2</v>
      </c>
      <c r="E41" s="38">
        <f t="shared" si="14"/>
        <v>3.275304606240733E-2</v>
      </c>
      <c r="F41" s="38">
        <f t="shared" si="15"/>
        <v>500.0184867904934</v>
      </c>
      <c r="G41" s="38">
        <f t="shared" si="8"/>
        <v>500.11674592868064</v>
      </c>
      <c r="H41" s="38">
        <f t="shared" si="9"/>
        <v>373.97618890000001</v>
      </c>
      <c r="I41" s="71"/>
    </row>
    <row r="42" spans="1:9" ht="15" customHeight="1" x14ac:dyDescent="0.25">
      <c r="A42" s="38">
        <v>8</v>
      </c>
      <c r="B42" s="38">
        <f>500/'[1]Timing Calculation'!$B$28</f>
        <v>1.3372956909361151</v>
      </c>
      <c r="C42" s="38">
        <f t="shared" si="12"/>
        <v>3.275304606240733E-2</v>
      </c>
      <c r="D42" s="38">
        <f t="shared" si="13"/>
        <v>3.275304606240733E-2</v>
      </c>
      <c r="E42" s="38">
        <f t="shared" si="14"/>
        <v>3.275304606240733E-2</v>
      </c>
      <c r="F42" s="38">
        <f t="shared" si="15"/>
        <v>500.0184867904934</v>
      </c>
      <c r="G42" s="38">
        <f t="shared" si="8"/>
        <v>500.11674592868064</v>
      </c>
      <c r="H42" s="38">
        <f t="shared" si="9"/>
        <v>373.97618890000001</v>
      </c>
      <c r="I42" s="71"/>
    </row>
    <row r="43" spans="1:9" ht="15.6" customHeight="1" thickBot="1" x14ac:dyDescent="0.3">
      <c r="A43" s="38">
        <v>9</v>
      </c>
      <c r="B43" s="38">
        <f>500/'[1]Timing Calculation'!$B$28</f>
        <v>1.3372956909361151</v>
      </c>
      <c r="C43" s="38">
        <f t="shared" si="12"/>
        <v>3.275304606240733E-2</v>
      </c>
      <c r="D43" s="38">
        <f t="shared" si="13"/>
        <v>3.275304606240733E-2</v>
      </c>
      <c r="E43" s="38">
        <f t="shared" si="14"/>
        <v>3.275304606240733E-2</v>
      </c>
      <c r="F43" s="38">
        <f t="shared" si="15"/>
        <v>500.0184867904934</v>
      </c>
      <c r="G43" s="38">
        <f t="shared" si="8"/>
        <v>500.11674592868064</v>
      </c>
      <c r="H43" s="38">
        <f t="shared" si="9"/>
        <v>373.97618890000001</v>
      </c>
      <c r="I43" s="72"/>
    </row>
    <row r="47" spans="1:9" ht="15.6" thickBot="1" x14ac:dyDescent="0.3">
      <c r="A47" s="57" t="s">
        <v>66</v>
      </c>
      <c r="B47" s="57" t="s">
        <v>14</v>
      </c>
      <c r="C47" s="57" t="s">
        <v>1</v>
      </c>
      <c r="D47" s="57" t="s">
        <v>48</v>
      </c>
      <c r="E47" s="57" t="s">
        <v>2</v>
      </c>
      <c r="F47" s="57" t="s">
        <v>15</v>
      </c>
      <c r="G47" s="57" t="s">
        <v>9</v>
      </c>
      <c r="H47" s="57" t="s">
        <v>8</v>
      </c>
    </row>
    <row r="48" spans="1:9" ht="15" customHeight="1" x14ac:dyDescent="0.25">
      <c r="A48" s="57">
        <v>1</v>
      </c>
      <c r="B48" s="57">
        <f>500/'[1]Timing Calculation'!$B$29</f>
        <v>2.6745913818722302</v>
      </c>
      <c r="C48" s="57">
        <v>144.36619718309856</v>
      </c>
      <c r="D48" s="57">
        <v>217.69753605647324</v>
      </c>
      <c r="E48" s="57">
        <v>137.93626676042817</v>
      </c>
      <c r="F48" s="57">
        <f>(1.2*$F$2*B48)</f>
        <v>0.23349182763744566</v>
      </c>
      <c r="G48" s="57">
        <f t="shared" ref="G48:G65" si="16">SUM(C48:F48)</f>
        <v>500.23349182763741</v>
      </c>
      <c r="H48" s="57">
        <f t="shared" ref="H48:H65" si="17">G48/B48</f>
        <v>187.03174444444329</v>
      </c>
      <c r="I48" s="70" t="s">
        <v>81</v>
      </c>
    </row>
    <row r="49" spans="1:9" ht="15" customHeight="1" x14ac:dyDescent="0.25">
      <c r="A49" s="57">
        <f>A48+1</f>
        <v>2</v>
      </c>
      <c r="B49" s="57">
        <f>500/'[1]Timing Calculation'!$B$29</f>
        <v>2.6745913818722302</v>
      </c>
      <c r="C49" s="57">
        <v>144.36619718309856</v>
      </c>
      <c r="D49" s="57">
        <v>217.69753605647324</v>
      </c>
      <c r="E49" s="57">
        <v>137.93626676042817</v>
      </c>
      <c r="F49" s="57">
        <f t="shared" ref="F49:F56" si="18">(1.2*$F$2*B49)</f>
        <v>0.23349182763744566</v>
      </c>
      <c r="G49" s="57">
        <f t="shared" si="16"/>
        <v>500.23349182763741</v>
      </c>
      <c r="H49" s="57">
        <f t="shared" si="17"/>
        <v>187.03174444444329</v>
      </c>
      <c r="I49" s="71"/>
    </row>
    <row r="50" spans="1:9" ht="15" customHeight="1" x14ac:dyDescent="0.25">
      <c r="A50" s="57">
        <f t="shared" ref="A50:A56" si="19">A49+1</f>
        <v>3</v>
      </c>
      <c r="B50" s="57">
        <f>500/'[1]Timing Calculation'!$B$29</f>
        <v>2.6745913818722302</v>
      </c>
      <c r="C50" s="57">
        <v>144.36619718309856</v>
      </c>
      <c r="D50" s="57">
        <v>217.69753605647324</v>
      </c>
      <c r="E50" s="57">
        <v>137.93626676042817</v>
      </c>
      <c r="F50" s="57">
        <f t="shared" si="18"/>
        <v>0.23349182763744566</v>
      </c>
      <c r="G50" s="57">
        <f t="shared" si="16"/>
        <v>500.23349182763741</v>
      </c>
      <c r="H50" s="57">
        <f t="shared" si="17"/>
        <v>187.03174444444329</v>
      </c>
      <c r="I50" s="71"/>
    </row>
    <row r="51" spans="1:9" ht="15" customHeight="1" x14ac:dyDescent="0.25">
      <c r="A51" s="57">
        <f t="shared" si="19"/>
        <v>4</v>
      </c>
      <c r="B51" s="57">
        <f>500/'[1]Timing Calculation'!$B$29</f>
        <v>2.6745913818722302</v>
      </c>
      <c r="C51" s="57">
        <v>144.36619718309856</v>
      </c>
      <c r="D51" s="57">
        <v>286.66566943668732</v>
      </c>
      <c r="E51" s="57">
        <v>68.968133380214084</v>
      </c>
      <c r="F51" s="57">
        <f t="shared" si="18"/>
        <v>0.23349182763744566</v>
      </c>
      <c r="G51" s="57">
        <f t="shared" si="16"/>
        <v>500.23349182763747</v>
      </c>
      <c r="H51" s="57">
        <f t="shared" si="17"/>
        <v>187.03174444444332</v>
      </c>
      <c r="I51" s="71"/>
    </row>
    <row r="52" spans="1:9" ht="15" customHeight="1" x14ac:dyDescent="0.25">
      <c r="A52" s="57">
        <f t="shared" si="19"/>
        <v>5</v>
      </c>
      <c r="B52" s="57">
        <f>500/'[1]Timing Calculation'!$B$29</f>
        <v>2.6745913818722302</v>
      </c>
      <c r="C52" s="57">
        <v>144.36619718309856</v>
      </c>
      <c r="D52" s="57">
        <v>286.66566943668732</v>
      </c>
      <c r="E52" s="57">
        <v>68.968133380214084</v>
      </c>
      <c r="F52" s="57">
        <f t="shared" si="18"/>
        <v>0.23349182763744566</v>
      </c>
      <c r="G52" s="57">
        <f t="shared" si="16"/>
        <v>500.23349182763747</v>
      </c>
      <c r="H52" s="57">
        <f t="shared" si="17"/>
        <v>187.03174444444332</v>
      </c>
      <c r="I52" s="71"/>
    </row>
    <row r="53" spans="1:9" ht="15" customHeight="1" x14ac:dyDescent="0.25">
      <c r="A53" s="57">
        <f t="shared" si="19"/>
        <v>6</v>
      </c>
      <c r="B53" s="57">
        <f>500/'[1]Timing Calculation'!$B$29</f>
        <v>2.6745913818722302</v>
      </c>
      <c r="C53" s="57">
        <v>144.36619718309856</v>
      </c>
      <c r="D53" s="57">
        <v>286.66566943668732</v>
      </c>
      <c r="E53" s="57">
        <v>68.968133380214084</v>
      </c>
      <c r="F53" s="57">
        <f t="shared" si="18"/>
        <v>0.23349182763744566</v>
      </c>
      <c r="G53" s="57">
        <f t="shared" si="16"/>
        <v>500.23349182763747</v>
      </c>
      <c r="H53" s="57">
        <f t="shared" si="17"/>
        <v>187.03174444444332</v>
      </c>
      <c r="I53" s="71"/>
    </row>
    <row r="54" spans="1:9" ht="15" customHeight="1" x14ac:dyDescent="0.25">
      <c r="A54" s="57">
        <f t="shared" si="19"/>
        <v>7</v>
      </c>
      <c r="B54" s="57">
        <f>500/'[1]Timing Calculation'!$B$29</f>
        <v>2.6745913818722302</v>
      </c>
      <c r="C54" s="57">
        <v>293.4560327198364</v>
      </c>
      <c r="D54" s="57">
        <v>66.351074478665026</v>
      </c>
      <c r="E54" s="57">
        <v>140.19289280149857</v>
      </c>
      <c r="F54" s="57">
        <f t="shared" si="18"/>
        <v>0.23349182763744566</v>
      </c>
      <c r="G54" s="57">
        <f t="shared" si="16"/>
        <v>500.23349182763747</v>
      </c>
      <c r="H54" s="57">
        <f t="shared" si="17"/>
        <v>187.03174444444332</v>
      </c>
      <c r="I54" s="71"/>
    </row>
    <row r="55" spans="1:9" ht="15" customHeight="1" x14ac:dyDescent="0.25">
      <c r="A55" s="57">
        <f t="shared" si="19"/>
        <v>8</v>
      </c>
      <c r="B55" s="57">
        <f>500/'[1]Timing Calculation'!$B$29</f>
        <v>2.6745913818722302</v>
      </c>
      <c r="C55" s="57">
        <v>293.4560327198364</v>
      </c>
      <c r="D55" s="57">
        <v>66.351074478665026</v>
      </c>
      <c r="E55" s="57">
        <v>140.19289280149857</v>
      </c>
      <c r="F55" s="57">
        <f t="shared" si="18"/>
        <v>0.23349182763744566</v>
      </c>
      <c r="G55" s="57">
        <f t="shared" si="16"/>
        <v>500.23349182763747</v>
      </c>
      <c r="H55" s="57">
        <f t="shared" si="17"/>
        <v>187.03174444444332</v>
      </c>
      <c r="I55" s="71"/>
    </row>
    <row r="56" spans="1:9" ht="15" customHeight="1" x14ac:dyDescent="0.25">
      <c r="A56" s="57">
        <f t="shared" si="19"/>
        <v>9</v>
      </c>
      <c r="B56" s="57">
        <f>500/'[1]Timing Calculation'!$B$29</f>
        <v>2.6745913818722302</v>
      </c>
      <c r="C56" s="57">
        <v>293.4560327198364</v>
      </c>
      <c r="D56" s="57">
        <v>66.351074478665026</v>
      </c>
      <c r="E56" s="57">
        <v>140.19289280149857</v>
      </c>
      <c r="F56" s="57">
        <f t="shared" si="18"/>
        <v>0.23349182763744566</v>
      </c>
      <c r="G56" s="57">
        <f t="shared" si="16"/>
        <v>500.23349182763747</v>
      </c>
      <c r="H56" s="57">
        <f t="shared" si="17"/>
        <v>187.03174444444332</v>
      </c>
      <c r="I56" s="71"/>
    </row>
    <row r="57" spans="1:9" ht="15" customHeight="1" x14ac:dyDescent="0.25">
      <c r="A57" s="38">
        <v>1</v>
      </c>
      <c r="B57" s="38">
        <f>500/'[1]Timing Calculation'!$B$29</f>
        <v>2.6745913818722302</v>
      </c>
      <c r="C57" s="38">
        <f>1.2*$C$2*B57</f>
        <v>6.550609212481466E-2</v>
      </c>
      <c r="D57" s="38">
        <f>1.2*$D$2*B57</f>
        <v>6.550609212481466E-2</v>
      </c>
      <c r="E57" s="38">
        <f>1.2*$E$2*B57</f>
        <v>6.550609212481466E-2</v>
      </c>
      <c r="F57" s="38">
        <f>187.0317444*B57-SUM(C57:E57)</f>
        <v>500.03697343239537</v>
      </c>
      <c r="G57" s="38">
        <f t="shared" si="16"/>
        <v>500.2334917087698</v>
      </c>
      <c r="H57" s="38">
        <f t="shared" si="17"/>
        <v>187.03174440000001</v>
      </c>
      <c r="I57" s="71"/>
    </row>
    <row r="58" spans="1:9" ht="15" customHeight="1" x14ac:dyDescent="0.25">
      <c r="A58" s="38">
        <v>2</v>
      </c>
      <c r="B58" s="38">
        <f>500/'[1]Timing Calculation'!$B$29</f>
        <v>2.6745913818722302</v>
      </c>
      <c r="C58" s="38">
        <f t="shared" ref="C58:C65" si="20">1.2*$C$2*B58</f>
        <v>6.550609212481466E-2</v>
      </c>
      <c r="D58" s="38">
        <f t="shared" ref="D58:D65" si="21">1.2*$D$2*B58</f>
        <v>6.550609212481466E-2</v>
      </c>
      <c r="E58" s="38">
        <f t="shared" ref="E58:E65" si="22">1.2*$E$2*B58</f>
        <v>6.550609212481466E-2</v>
      </c>
      <c r="F58" s="38">
        <f t="shared" ref="F58:F65" si="23">187.0317444*B58-SUM(C58:E58)</f>
        <v>500.03697343239537</v>
      </c>
      <c r="G58" s="38">
        <f t="shared" si="16"/>
        <v>500.2334917087698</v>
      </c>
      <c r="H58" s="38">
        <f t="shared" si="17"/>
        <v>187.03174440000001</v>
      </c>
      <c r="I58" s="71"/>
    </row>
    <row r="59" spans="1:9" ht="15" customHeight="1" x14ac:dyDescent="0.25">
      <c r="A59" s="38">
        <v>3</v>
      </c>
      <c r="B59" s="38">
        <f>500/'[1]Timing Calculation'!$B$29</f>
        <v>2.6745913818722302</v>
      </c>
      <c r="C59" s="38">
        <f t="shared" si="20"/>
        <v>6.550609212481466E-2</v>
      </c>
      <c r="D59" s="38">
        <f t="shared" si="21"/>
        <v>6.550609212481466E-2</v>
      </c>
      <c r="E59" s="38">
        <f t="shared" si="22"/>
        <v>6.550609212481466E-2</v>
      </c>
      <c r="F59" s="38">
        <f t="shared" si="23"/>
        <v>500.03697343239537</v>
      </c>
      <c r="G59" s="38">
        <f t="shared" si="16"/>
        <v>500.2334917087698</v>
      </c>
      <c r="H59" s="38">
        <f t="shared" si="17"/>
        <v>187.03174440000001</v>
      </c>
      <c r="I59" s="71"/>
    </row>
    <row r="60" spans="1:9" ht="15" customHeight="1" x14ac:dyDescent="0.25">
      <c r="A60" s="38">
        <v>4</v>
      </c>
      <c r="B60" s="38">
        <f>500/'[1]Timing Calculation'!$B$29</f>
        <v>2.6745913818722302</v>
      </c>
      <c r="C60" s="38">
        <f t="shared" si="20"/>
        <v>6.550609212481466E-2</v>
      </c>
      <c r="D60" s="38">
        <f t="shared" si="21"/>
        <v>6.550609212481466E-2</v>
      </c>
      <c r="E60" s="38">
        <f t="shared" si="22"/>
        <v>6.550609212481466E-2</v>
      </c>
      <c r="F60" s="38">
        <f t="shared" si="23"/>
        <v>500.03697343239537</v>
      </c>
      <c r="G60" s="38">
        <f t="shared" si="16"/>
        <v>500.2334917087698</v>
      </c>
      <c r="H60" s="38">
        <f t="shared" si="17"/>
        <v>187.03174440000001</v>
      </c>
      <c r="I60" s="71"/>
    </row>
    <row r="61" spans="1:9" ht="15" customHeight="1" x14ac:dyDescent="0.25">
      <c r="A61" s="38">
        <v>5</v>
      </c>
      <c r="B61" s="38">
        <f>500/'[1]Timing Calculation'!$B$29</f>
        <v>2.6745913818722302</v>
      </c>
      <c r="C61" s="38">
        <f t="shared" si="20"/>
        <v>6.550609212481466E-2</v>
      </c>
      <c r="D61" s="38">
        <f t="shared" si="21"/>
        <v>6.550609212481466E-2</v>
      </c>
      <c r="E61" s="38">
        <f t="shared" si="22"/>
        <v>6.550609212481466E-2</v>
      </c>
      <c r="F61" s="38">
        <f t="shared" si="23"/>
        <v>500.03697343239537</v>
      </c>
      <c r="G61" s="38">
        <f t="shared" si="16"/>
        <v>500.2334917087698</v>
      </c>
      <c r="H61" s="38">
        <f t="shared" si="17"/>
        <v>187.03174440000001</v>
      </c>
      <c r="I61" s="71"/>
    </row>
    <row r="62" spans="1:9" ht="15" customHeight="1" x14ac:dyDescent="0.25">
      <c r="A62" s="38">
        <v>6</v>
      </c>
      <c r="B62" s="38">
        <f>500/'[1]Timing Calculation'!$B$29</f>
        <v>2.6745913818722302</v>
      </c>
      <c r="C62" s="38">
        <f t="shared" si="20"/>
        <v>6.550609212481466E-2</v>
      </c>
      <c r="D62" s="38">
        <f t="shared" si="21"/>
        <v>6.550609212481466E-2</v>
      </c>
      <c r="E62" s="38">
        <f t="shared" si="22"/>
        <v>6.550609212481466E-2</v>
      </c>
      <c r="F62" s="38">
        <f t="shared" si="23"/>
        <v>500.03697343239537</v>
      </c>
      <c r="G62" s="38">
        <f t="shared" si="16"/>
        <v>500.2334917087698</v>
      </c>
      <c r="H62" s="38">
        <f t="shared" si="17"/>
        <v>187.03174440000001</v>
      </c>
      <c r="I62" s="71"/>
    </row>
    <row r="63" spans="1:9" ht="15" customHeight="1" x14ac:dyDescent="0.25">
      <c r="A63" s="38">
        <v>7</v>
      </c>
      <c r="B63" s="38">
        <f>500/'[1]Timing Calculation'!$B$29</f>
        <v>2.6745913818722302</v>
      </c>
      <c r="C63" s="38">
        <f t="shared" si="20"/>
        <v>6.550609212481466E-2</v>
      </c>
      <c r="D63" s="38">
        <f t="shared" si="21"/>
        <v>6.550609212481466E-2</v>
      </c>
      <c r="E63" s="38">
        <f t="shared" si="22"/>
        <v>6.550609212481466E-2</v>
      </c>
      <c r="F63" s="38">
        <f t="shared" si="23"/>
        <v>500.03697343239537</v>
      </c>
      <c r="G63" s="38">
        <f t="shared" si="16"/>
        <v>500.2334917087698</v>
      </c>
      <c r="H63" s="38">
        <f t="shared" si="17"/>
        <v>187.03174440000001</v>
      </c>
      <c r="I63" s="71"/>
    </row>
    <row r="64" spans="1:9" ht="15" customHeight="1" x14ac:dyDescent="0.25">
      <c r="A64" s="38">
        <v>8</v>
      </c>
      <c r="B64" s="38">
        <f>500/'[1]Timing Calculation'!$B$29</f>
        <v>2.6745913818722302</v>
      </c>
      <c r="C64" s="38">
        <f t="shared" si="20"/>
        <v>6.550609212481466E-2</v>
      </c>
      <c r="D64" s="38">
        <f t="shared" si="21"/>
        <v>6.550609212481466E-2</v>
      </c>
      <c r="E64" s="38">
        <f t="shared" si="22"/>
        <v>6.550609212481466E-2</v>
      </c>
      <c r="F64" s="38">
        <f t="shared" si="23"/>
        <v>500.03697343239537</v>
      </c>
      <c r="G64" s="38">
        <f t="shared" si="16"/>
        <v>500.2334917087698</v>
      </c>
      <c r="H64" s="38">
        <f t="shared" si="17"/>
        <v>187.03174440000001</v>
      </c>
      <c r="I64" s="71"/>
    </row>
    <row r="65" spans="1:9" ht="15.6" customHeight="1" thickBot="1" x14ac:dyDescent="0.3">
      <c r="A65" s="38">
        <v>9</v>
      </c>
      <c r="B65" s="38">
        <f>500/'[1]Timing Calculation'!$B$29</f>
        <v>2.6745913818722302</v>
      </c>
      <c r="C65" s="38">
        <f t="shared" si="20"/>
        <v>6.550609212481466E-2</v>
      </c>
      <c r="D65" s="38">
        <f t="shared" si="21"/>
        <v>6.550609212481466E-2</v>
      </c>
      <c r="E65" s="38">
        <f t="shared" si="22"/>
        <v>6.550609212481466E-2</v>
      </c>
      <c r="F65" s="38">
        <f t="shared" si="23"/>
        <v>500.03697343239537</v>
      </c>
      <c r="G65" s="38">
        <f t="shared" si="16"/>
        <v>500.2334917087698</v>
      </c>
      <c r="H65" s="38">
        <f t="shared" si="17"/>
        <v>187.03174440000001</v>
      </c>
      <c r="I65" s="72"/>
    </row>
    <row r="69" spans="1:9" ht="15.6" thickBot="1" x14ac:dyDescent="0.3">
      <c r="A69" s="57" t="s">
        <v>66</v>
      </c>
      <c r="B69" s="57" t="s">
        <v>14</v>
      </c>
      <c r="C69" s="57" t="s">
        <v>1</v>
      </c>
      <c r="D69" s="57" t="s">
        <v>48</v>
      </c>
      <c r="E69" s="57" t="s">
        <v>2</v>
      </c>
      <c r="F69" s="57" t="s">
        <v>15</v>
      </c>
      <c r="G69" s="57" t="s">
        <v>9</v>
      </c>
      <c r="H69" s="57" t="s">
        <v>8</v>
      </c>
    </row>
    <row r="70" spans="1:9" ht="15" customHeight="1" x14ac:dyDescent="0.25">
      <c r="A70" s="57">
        <v>1</v>
      </c>
      <c r="B70" s="57">
        <f>500/'[1]Timing Calculation'!$B$30</f>
        <v>4.0118870728083449</v>
      </c>
      <c r="C70" s="57">
        <v>144.36619718309856</v>
      </c>
      <c r="D70" s="57">
        <v>217.69753605647324</v>
      </c>
      <c r="E70" s="57">
        <v>137.93626676042817</v>
      </c>
      <c r="F70" s="57">
        <f>(1.2*$F$2*B70)</f>
        <v>0.35023774145616848</v>
      </c>
      <c r="G70" s="57">
        <f t="shared" ref="G70:G87" si="24">SUM(C70:F70)</f>
        <v>500.35023774145611</v>
      </c>
      <c r="H70" s="57">
        <f t="shared" ref="H70:H87" si="25">G70/B70</f>
        <v>124.71692962962886</v>
      </c>
      <c r="I70" s="70" t="s">
        <v>82</v>
      </c>
    </row>
    <row r="71" spans="1:9" ht="15" customHeight="1" x14ac:dyDescent="0.25">
      <c r="A71" s="57">
        <f>A70+1</f>
        <v>2</v>
      </c>
      <c r="B71" s="57">
        <f>500/'[1]Timing Calculation'!$B$30</f>
        <v>4.0118870728083449</v>
      </c>
      <c r="C71" s="57">
        <v>144.36619718309856</v>
      </c>
      <c r="D71" s="57">
        <v>217.69753605647324</v>
      </c>
      <c r="E71" s="57">
        <v>137.93626676042817</v>
      </c>
      <c r="F71" s="57">
        <f t="shared" ref="F71:F78" si="26">(1.2*$F$2*B71)</f>
        <v>0.35023774145616848</v>
      </c>
      <c r="G71" s="57">
        <f t="shared" si="24"/>
        <v>500.35023774145611</v>
      </c>
      <c r="H71" s="57">
        <f t="shared" si="25"/>
        <v>124.71692962962886</v>
      </c>
      <c r="I71" s="71"/>
    </row>
    <row r="72" spans="1:9" ht="15" customHeight="1" x14ac:dyDescent="0.25">
      <c r="A72" s="57">
        <f t="shared" ref="A72:A78" si="27">A71+1</f>
        <v>3</v>
      </c>
      <c r="B72" s="57">
        <f>500/'[1]Timing Calculation'!$B$30</f>
        <v>4.0118870728083449</v>
      </c>
      <c r="C72" s="57">
        <v>144.36619718309856</v>
      </c>
      <c r="D72" s="57">
        <v>217.69753605647324</v>
      </c>
      <c r="E72" s="57">
        <v>137.93626676042817</v>
      </c>
      <c r="F72" s="57">
        <f t="shared" si="26"/>
        <v>0.35023774145616848</v>
      </c>
      <c r="G72" s="57">
        <f t="shared" si="24"/>
        <v>500.35023774145611</v>
      </c>
      <c r="H72" s="57">
        <f t="shared" si="25"/>
        <v>124.71692962962886</v>
      </c>
      <c r="I72" s="71"/>
    </row>
    <row r="73" spans="1:9" ht="15" customHeight="1" x14ac:dyDescent="0.25">
      <c r="A73" s="57">
        <f t="shared" si="27"/>
        <v>4</v>
      </c>
      <c r="B73" s="57">
        <f>500/'[1]Timing Calculation'!$B$30</f>
        <v>4.0118870728083449</v>
      </c>
      <c r="C73" s="57">
        <v>144.36619718309856</v>
      </c>
      <c r="D73" s="57">
        <v>286.66566943668732</v>
      </c>
      <c r="E73" s="57">
        <v>68.968133380214084</v>
      </c>
      <c r="F73" s="57">
        <f t="shared" si="26"/>
        <v>0.35023774145616848</v>
      </c>
      <c r="G73" s="57">
        <f t="shared" si="24"/>
        <v>500.35023774145617</v>
      </c>
      <c r="H73" s="57">
        <f t="shared" si="25"/>
        <v>124.71692962962888</v>
      </c>
      <c r="I73" s="71"/>
    </row>
    <row r="74" spans="1:9" ht="15" customHeight="1" x14ac:dyDescent="0.25">
      <c r="A74" s="57">
        <f t="shared" si="27"/>
        <v>5</v>
      </c>
      <c r="B74" s="57">
        <f>500/'[1]Timing Calculation'!$B$30</f>
        <v>4.0118870728083449</v>
      </c>
      <c r="C74" s="57">
        <v>144.36619718309856</v>
      </c>
      <c r="D74" s="57">
        <v>286.66566943668732</v>
      </c>
      <c r="E74" s="57">
        <v>68.968133380214084</v>
      </c>
      <c r="F74" s="57">
        <f t="shared" si="26"/>
        <v>0.35023774145616848</v>
      </c>
      <c r="G74" s="57">
        <f t="shared" si="24"/>
        <v>500.35023774145617</v>
      </c>
      <c r="H74" s="57">
        <f t="shared" si="25"/>
        <v>124.71692962962888</v>
      </c>
      <c r="I74" s="71"/>
    </row>
    <row r="75" spans="1:9" ht="15" customHeight="1" x14ac:dyDescent="0.25">
      <c r="A75" s="57">
        <f t="shared" si="27"/>
        <v>6</v>
      </c>
      <c r="B75" s="57">
        <f>500/'[1]Timing Calculation'!$B$30</f>
        <v>4.0118870728083449</v>
      </c>
      <c r="C75" s="57">
        <v>144.36619718309856</v>
      </c>
      <c r="D75" s="57">
        <v>286.66566943668732</v>
      </c>
      <c r="E75" s="57">
        <v>68.968133380214084</v>
      </c>
      <c r="F75" s="57">
        <f t="shared" si="26"/>
        <v>0.35023774145616848</v>
      </c>
      <c r="G75" s="57">
        <f t="shared" si="24"/>
        <v>500.35023774145617</v>
      </c>
      <c r="H75" s="57">
        <f t="shared" si="25"/>
        <v>124.71692962962888</v>
      </c>
      <c r="I75" s="71"/>
    </row>
    <row r="76" spans="1:9" ht="15" customHeight="1" x14ac:dyDescent="0.25">
      <c r="A76" s="57">
        <f t="shared" si="27"/>
        <v>7</v>
      </c>
      <c r="B76" s="57">
        <f>500/'[1]Timing Calculation'!$B$30</f>
        <v>4.0118870728083449</v>
      </c>
      <c r="C76" s="57">
        <v>293.4560327198364</v>
      </c>
      <c r="D76" s="57">
        <v>66.351074478665026</v>
      </c>
      <c r="E76" s="57">
        <v>140.19289280149857</v>
      </c>
      <c r="F76" s="57">
        <f t="shared" si="26"/>
        <v>0.35023774145616848</v>
      </c>
      <c r="G76" s="57">
        <f t="shared" si="24"/>
        <v>500.35023774145617</v>
      </c>
      <c r="H76" s="57">
        <f t="shared" si="25"/>
        <v>124.71692962962888</v>
      </c>
      <c r="I76" s="71"/>
    </row>
    <row r="77" spans="1:9" ht="15" customHeight="1" x14ac:dyDescent="0.25">
      <c r="A77" s="57">
        <f t="shared" si="27"/>
        <v>8</v>
      </c>
      <c r="B77" s="57">
        <f>500/'[1]Timing Calculation'!$B$30</f>
        <v>4.0118870728083449</v>
      </c>
      <c r="C77" s="57">
        <v>293.4560327198364</v>
      </c>
      <c r="D77" s="57">
        <v>66.351074478665026</v>
      </c>
      <c r="E77" s="57">
        <v>140.19289280149857</v>
      </c>
      <c r="F77" s="57">
        <f t="shared" si="26"/>
        <v>0.35023774145616848</v>
      </c>
      <c r="G77" s="57">
        <f t="shared" si="24"/>
        <v>500.35023774145617</v>
      </c>
      <c r="H77" s="57">
        <f t="shared" si="25"/>
        <v>124.71692962962888</v>
      </c>
      <c r="I77" s="71"/>
    </row>
    <row r="78" spans="1:9" ht="15" customHeight="1" x14ac:dyDescent="0.25">
      <c r="A78" s="57">
        <f t="shared" si="27"/>
        <v>9</v>
      </c>
      <c r="B78" s="57">
        <f>500/'[1]Timing Calculation'!$B$30</f>
        <v>4.0118870728083449</v>
      </c>
      <c r="C78" s="57">
        <v>293.4560327198364</v>
      </c>
      <c r="D78" s="57">
        <v>66.351074478665026</v>
      </c>
      <c r="E78" s="57">
        <v>140.19289280149857</v>
      </c>
      <c r="F78" s="57">
        <f t="shared" si="26"/>
        <v>0.35023774145616848</v>
      </c>
      <c r="G78" s="57">
        <f t="shared" si="24"/>
        <v>500.35023774145617</v>
      </c>
      <c r="H78" s="57">
        <f t="shared" si="25"/>
        <v>124.71692962962888</v>
      </c>
      <c r="I78" s="71"/>
    </row>
    <row r="79" spans="1:9" ht="15" customHeight="1" x14ac:dyDescent="0.25">
      <c r="A79" s="38">
        <v>1</v>
      </c>
      <c r="B79" s="38">
        <f>500/'[1]Timing Calculation'!$B$30</f>
        <v>4.0118870728083449</v>
      </c>
      <c r="C79" s="38">
        <f>1.2*$C$2*B79</f>
        <v>9.8259138187221984E-2</v>
      </c>
      <c r="D79" s="38">
        <f>1.2*$D$2*B79</f>
        <v>9.8259138187221984E-2</v>
      </c>
      <c r="E79" s="38">
        <f>1.2*$E$2*B79</f>
        <v>9.8259138187221984E-2</v>
      </c>
      <c r="F79" s="38">
        <f>124.7169296*B79-SUM(C79:E79)</f>
        <v>500.05546020802677</v>
      </c>
      <c r="G79" s="38">
        <f t="shared" si="24"/>
        <v>500.35023762258845</v>
      </c>
      <c r="H79" s="38">
        <f t="shared" si="25"/>
        <v>124.7169296</v>
      </c>
      <c r="I79" s="71"/>
    </row>
    <row r="80" spans="1:9" ht="15" customHeight="1" x14ac:dyDescent="0.25">
      <c r="A80" s="38">
        <v>2</v>
      </c>
      <c r="B80" s="38">
        <f>500/'[1]Timing Calculation'!$B$30</f>
        <v>4.0118870728083449</v>
      </c>
      <c r="C80" s="38">
        <f t="shared" ref="C80:C87" si="28">1.2*$C$2*B80</f>
        <v>9.8259138187221984E-2</v>
      </c>
      <c r="D80" s="38">
        <f t="shared" ref="D80:D87" si="29">1.2*$D$2*B80</f>
        <v>9.8259138187221984E-2</v>
      </c>
      <c r="E80" s="38">
        <f t="shared" ref="E80:E87" si="30">1.2*$E$2*B80</f>
        <v>9.8259138187221984E-2</v>
      </c>
      <c r="F80" s="38">
        <f t="shared" ref="F80:F87" si="31">124.7169296*B80-SUM(C80:E80)</f>
        <v>500.05546020802677</v>
      </c>
      <c r="G80" s="38">
        <f t="shared" si="24"/>
        <v>500.35023762258845</v>
      </c>
      <c r="H80" s="38">
        <f t="shared" si="25"/>
        <v>124.7169296</v>
      </c>
      <c r="I80" s="71"/>
    </row>
    <row r="81" spans="1:9" ht="15" customHeight="1" x14ac:dyDescent="0.25">
      <c r="A81" s="38">
        <v>3</v>
      </c>
      <c r="B81" s="38">
        <f>500/'[1]Timing Calculation'!$B$30</f>
        <v>4.0118870728083449</v>
      </c>
      <c r="C81" s="38">
        <f t="shared" si="28"/>
        <v>9.8259138187221984E-2</v>
      </c>
      <c r="D81" s="38">
        <f t="shared" si="29"/>
        <v>9.8259138187221984E-2</v>
      </c>
      <c r="E81" s="38">
        <f t="shared" si="30"/>
        <v>9.8259138187221984E-2</v>
      </c>
      <c r="F81" s="38">
        <f t="shared" si="31"/>
        <v>500.05546020802677</v>
      </c>
      <c r="G81" s="38">
        <f t="shared" si="24"/>
        <v>500.35023762258845</v>
      </c>
      <c r="H81" s="38">
        <f t="shared" si="25"/>
        <v>124.7169296</v>
      </c>
      <c r="I81" s="71"/>
    </row>
    <row r="82" spans="1:9" ht="15" customHeight="1" x14ac:dyDescent="0.25">
      <c r="A82" s="38">
        <v>4</v>
      </c>
      <c r="B82" s="38">
        <f>500/'[1]Timing Calculation'!$B$30</f>
        <v>4.0118870728083449</v>
      </c>
      <c r="C82" s="38">
        <f t="shared" si="28"/>
        <v>9.8259138187221984E-2</v>
      </c>
      <c r="D82" s="38">
        <f t="shared" si="29"/>
        <v>9.8259138187221984E-2</v>
      </c>
      <c r="E82" s="38">
        <f t="shared" si="30"/>
        <v>9.8259138187221984E-2</v>
      </c>
      <c r="F82" s="38">
        <f t="shared" si="31"/>
        <v>500.05546020802677</v>
      </c>
      <c r="G82" s="38">
        <f t="shared" si="24"/>
        <v>500.35023762258845</v>
      </c>
      <c r="H82" s="38">
        <f t="shared" si="25"/>
        <v>124.7169296</v>
      </c>
      <c r="I82" s="71"/>
    </row>
    <row r="83" spans="1:9" ht="15" customHeight="1" x14ac:dyDescent="0.25">
      <c r="A83" s="38">
        <v>5</v>
      </c>
      <c r="B83" s="38">
        <f>500/'[1]Timing Calculation'!$B$30</f>
        <v>4.0118870728083449</v>
      </c>
      <c r="C83" s="38">
        <f t="shared" si="28"/>
        <v>9.8259138187221984E-2</v>
      </c>
      <c r="D83" s="38">
        <f t="shared" si="29"/>
        <v>9.8259138187221984E-2</v>
      </c>
      <c r="E83" s="38">
        <f t="shared" si="30"/>
        <v>9.8259138187221984E-2</v>
      </c>
      <c r="F83" s="38">
        <f t="shared" si="31"/>
        <v>500.05546020802677</v>
      </c>
      <c r="G83" s="38">
        <f t="shared" si="24"/>
        <v>500.35023762258845</v>
      </c>
      <c r="H83" s="38">
        <f t="shared" si="25"/>
        <v>124.7169296</v>
      </c>
      <c r="I83" s="71"/>
    </row>
    <row r="84" spans="1:9" ht="15" customHeight="1" x14ac:dyDescent="0.25">
      <c r="A84" s="38">
        <v>6</v>
      </c>
      <c r="B84" s="38">
        <f>500/'[1]Timing Calculation'!$B$30</f>
        <v>4.0118870728083449</v>
      </c>
      <c r="C84" s="38">
        <f t="shared" si="28"/>
        <v>9.8259138187221984E-2</v>
      </c>
      <c r="D84" s="38">
        <f t="shared" si="29"/>
        <v>9.8259138187221984E-2</v>
      </c>
      <c r="E84" s="38">
        <f t="shared" si="30"/>
        <v>9.8259138187221984E-2</v>
      </c>
      <c r="F84" s="38">
        <f t="shared" si="31"/>
        <v>500.05546020802677</v>
      </c>
      <c r="G84" s="38">
        <f t="shared" si="24"/>
        <v>500.35023762258845</v>
      </c>
      <c r="H84" s="38">
        <f t="shared" si="25"/>
        <v>124.7169296</v>
      </c>
      <c r="I84" s="71"/>
    </row>
    <row r="85" spans="1:9" ht="15" customHeight="1" x14ac:dyDescent="0.25">
      <c r="A85" s="38">
        <v>7</v>
      </c>
      <c r="B85" s="38">
        <f>500/'[1]Timing Calculation'!$B$30</f>
        <v>4.0118870728083449</v>
      </c>
      <c r="C85" s="38">
        <f t="shared" si="28"/>
        <v>9.8259138187221984E-2</v>
      </c>
      <c r="D85" s="38">
        <f t="shared" si="29"/>
        <v>9.8259138187221984E-2</v>
      </c>
      <c r="E85" s="38">
        <f t="shared" si="30"/>
        <v>9.8259138187221984E-2</v>
      </c>
      <c r="F85" s="38">
        <f t="shared" si="31"/>
        <v>500.05546020802677</v>
      </c>
      <c r="G85" s="38">
        <f t="shared" si="24"/>
        <v>500.35023762258845</v>
      </c>
      <c r="H85" s="38">
        <f t="shared" si="25"/>
        <v>124.7169296</v>
      </c>
      <c r="I85" s="71"/>
    </row>
    <row r="86" spans="1:9" ht="15" customHeight="1" x14ac:dyDescent="0.25">
      <c r="A86" s="38">
        <v>8</v>
      </c>
      <c r="B86" s="38">
        <f>500/'[1]Timing Calculation'!$B$30</f>
        <v>4.0118870728083449</v>
      </c>
      <c r="C86" s="38">
        <f t="shared" si="28"/>
        <v>9.8259138187221984E-2</v>
      </c>
      <c r="D86" s="38">
        <f t="shared" si="29"/>
        <v>9.8259138187221984E-2</v>
      </c>
      <c r="E86" s="38">
        <f t="shared" si="30"/>
        <v>9.8259138187221984E-2</v>
      </c>
      <c r="F86" s="38">
        <f t="shared" si="31"/>
        <v>500.05546020802677</v>
      </c>
      <c r="G86" s="38">
        <f t="shared" si="24"/>
        <v>500.35023762258845</v>
      </c>
      <c r="H86" s="38">
        <f t="shared" si="25"/>
        <v>124.7169296</v>
      </c>
      <c r="I86" s="71"/>
    </row>
    <row r="87" spans="1:9" ht="15.6" customHeight="1" thickBot="1" x14ac:dyDescent="0.3">
      <c r="A87" s="38">
        <v>9</v>
      </c>
      <c r="B87" s="38">
        <f>500/'[1]Timing Calculation'!$B$30</f>
        <v>4.0118870728083449</v>
      </c>
      <c r="C87" s="38">
        <f t="shared" si="28"/>
        <v>9.8259138187221984E-2</v>
      </c>
      <c r="D87" s="38">
        <f t="shared" si="29"/>
        <v>9.8259138187221984E-2</v>
      </c>
      <c r="E87" s="38">
        <f t="shared" si="30"/>
        <v>9.8259138187221984E-2</v>
      </c>
      <c r="F87" s="38">
        <f t="shared" si="31"/>
        <v>500.05546020802677</v>
      </c>
      <c r="G87" s="38">
        <f t="shared" si="24"/>
        <v>500.35023762258845</v>
      </c>
      <c r="H87" s="38">
        <f t="shared" si="25"/>
        <v>124.7169296</v>
      </c>
      <c r="I87" s="72"/>
    </row>
    <row r="91" spans="1:9" ht="15.6" thickBot="1" x14ac:dyDescent="0.3">
      <c r="A91" s="57" t="s">
        <v>66</v>
      </c>
      <c r="B91" s="57" t="s">
        <v>14</v>
      </c>
      <c r="C91" s="57" t="s">
        <v>1</v>
      </c>
      <c r="D91" s="57" t="s">
        <v>48</v>
      </c>
      <c r="E91" s="57" t="s">
        <v>2</v>
      </c>
      <c r="F91" s="57" t="s">
        <v>15</v>
      </c>
      <c r="G91" s="57" t="s">
        <v>9</v>
      </c>
      <c r="H91" s="57" t="s">
        <v>8</v>
      </c>
    </row>
    <row r="92" spans="1:9" ht="15" customHeight="1" x14ac:dyDescent="0.25">
      <c r="A92" s="57">
        <v>1</v>
      </c>
      <c r="B92" s="57">
        <f>500/'[1]Timing Calculation'!$B$31</f>
        <v>5.3491827637444604</v>
      </c>
      <c r="C92" s="57">
        <v>144.36619718309856</v>
      </c>
      <c r="D92" s="57">
        <v>217.69753605647324</v>
      </c>
      <c r="E92" s="57">
        <v>137.93626676042817</v>
      </c>
      <c r="F92" s="57">
        <f>(1.2*$F$2*B92)</f>
        <v>0.46698365527489133</v>
      </c>
      <c r="G92" s="57">
        <f t="shared" ref="G92:G109" si="32">SUM(C92:F92)</f>
        <v>500.46698365527482</v>
      </c>
      <c r="H92" s="57">
        <f t="shared" ref="H92:H109" si="33">G92/B92</f>
        <v>93.559522222221645</v>
      </c>
      <c r="I92" s="70" t="s">
        <v>83</v>
      </c>
    </row>
    <row r="93" spans="1:9" ht="15" customHeight="1" x14ac:dyDescent="0.25">
      <c r="A93" s="57">
        <f>A92+1</f>
        <v>2</v>
      </c>
      <c r="B93" s="57">
        <f>500/'[1]Timing Calculation'!$B$31</f>
        <v>5.3491827637444604</v>
      </c>
      <c r="C93" s="57">
        <v>144.36619718309856</v>
      </c>
      <c r="D93" s="57">
        <v>217.69753605647324</v>
      </c>
      <c r="E93" s="57">
        <v>137.93626676042817</v>
      </c>
      <c r="F93" s="57">
        <f t="shared" ref="F93:F100" si="34">(1.2*$F$2*B93)</f>
        <v>0.46698365527489133</v>
      </c>
      <c r="G93" s="57">
        <f t="shared" si="32"/>
        <v>500.46698365527482</v>
      </c>
      <c r="H93" s="57">
        <f t="shared" si="33"/>
        <v>93.559522222221645</v>
      </c>
      <c r="I93" s="71"/>
    </row>
    <row r="94" spans="1:9" ht="15" customHeight="1" x14ac:dyDescent="0.25">
      <c r="A94" s="57">
        <f t="shared" ref="A94:A100" si="35">A93+1</f>
        <v>3</v>
      </c>
      <c r="B94" s="57">
        <f>500/'[1]Timing Calculation'!$B$31</f>
        <v>5.3491827637444604</v>
      </c>
      <c r="C94" s="57">
        <v>144.36619718309856</v>
      </c>
      <c r="D94" s="57">
        <v>217.69753605647324</v>
      </c>
      <c r="E94" s="57">
        <v>137.93626676042817</v>
      </c>
      <c r="F94" s="57">
        <f t="shared" si="34"/>
        <v>0.46698365527489133</v>
      </c>
      <c r="G94" s="57">
        <f t="shared" si="32"/>
        <v>500.46698365527482</v>
      </c>
      <c r="H94" s="57">
        <f t="shared" si="33"/>
        <v>93.559522222221645</v>
      </c>
      <c r="I94" s="71"/>
    </row>
    <row r="95" spans="1:9" ht="15" customHeight="1" x14ac:dyDescent="0.25">
      <c r="A95" s="57">
        <f t="shared" si="35"/>
        <v>4</v>
      </c>
      <c r="B95" s="57">
        <f>500/'[1]Timing Calculation'!$B$31</f>
        <v>5.3491827637444604</v>
      </c>
      <c r="C95" s="57">
        <v>144.36619718309856</v>
      </c>
      <c r="D95" s="57">
        <v>286.66566943668732</v>
      </c>
      <c r="E95" s="57">
        <v>68.968133380214084</v>
      </c>
      <c r="F95" s="57">
        <f t="shared" si="34"/>
        <v>0.46698365527489133</v>
      </c>
      <c r="G95" s="57">
        <f t="shared" si="32"/>
        <v>500.46698365527487</v>
      </c>
      <c r="H95" s="57">
        <f t="shared" si="33"/>
        <v>93.559522222221645</v>
      </c>
      <c r="I95" s="71"/>
    </row>
    <row r="96" spans="1:9" ht="15" customHeight="1" x14ac:dyDescent="0.25">
      <c r="A96" s="57">
        <f t="shared" si="35"/>
        <v>5</v>
      </c>
      <c r="B96" s="57">
        <f>500/'[1]Timing Calculation'!$B$31</f>
        <v>5.3491827637444604</v>
      </c>
      <c r="C96" s="57">
        <v>144.36619718309856</v>
      </c>
      <c r="D96" s="57">
        <v>286.66566943668732</v>
      </c>
      <c r="E96" s="57">
        <v>68.968133380214084</v>
      </c>
      <c r="F96" s="57">
        <f t="shared" si="34"/>
        <v>0.46698365527489133</v>
      </c>
      <c r="G96" s="57">
        <f t="shared" si="32"/>
        <v>500.46698365527487</v>
      </c>
      <c r="H96" s="57">
        <f t="shared" si="33"/>
        <v>93.559522222221645</v>
      </c>
      <c r="I96" s="71"/>
    </row>
    <row r="97" spans="1:9" ht="15" customHeight="1" x14ac:dyDescent="0.25">
      <c r="A97" s="57">
        <f t="shared" si="35"/>
        <v>6</v>
      </c>
      <c r="B97" s="57">
        <f>500/'[1]Timing Calculation'!$B$31</f>
        <v>5.3491827637444604</v>
      </c>
      <c r="C97" s="57">
        <v>144.36619718309856</v>
      </c>
      <c r="D97" s="57">
        <v>286.66566943668732</v>
      </c>
      <c r="E97" s="57">
        <v>68.968133380214084</v>
      </c>
      <c r="F97" s="57">
        <f t="shared" si="34"/>
        <v>0.46698365527489133</v>
      </c>
      <c r="G97" s="57">
        <f t="shared" si="32"/>
        <v>500.46698365527487</v>
      </c>
      <c r="H97" s="57">
        <f t="shared" si="33"/>
        <v>93.559522222221645</v>
      </c>
      <c r="I97" s="71"/>
    </row>
    <row r="98" spans="1:9" ht="15" customHeight="1" x14ac:dyDescent="0.25">
      <c r="A98" s="57">
        <f t="shared" si="35"/>
        <v>7</v>
      </c>
      <c r="B98" s="57">
        <f>500/'[1]Timing Calculation'!$B$31</f>
        <v>5.3491827637444604</v>
      </c>
      <c r="C98" s="57">
        <v>293.4560327198364</v>
      </c>
      <c r="D98" s="57">
        <v>66.351074478665026</v>
      </c>
      <c r="E98" s="57">
        <v>140.19289280149857</v>
      </c>
      <c r="F98" s="57">
        <f t="shared" si="34"/>
        <v>0.46698365527489133</v>
      </c>
      <c r="G98" s="57">
        <f t="shared" si="32"/>
        <v>500.46698365527487</v>
      </c>
      <c r="H98" s="57">
        <f t="shared" si="33"/>
        <v>93.559522222221645</v>
      </c>
      <c r="I98" s="71"/>
    </row>
    <row r="99" spans="1:9" ht="15" customHeight="1" x14ac:dyDescent="0.25">
      <c r="A99" s="57">
        <f t="shared" si="35"/>
        <v>8</v>
      </c>
      <c r="B99" s="57">
        <f>500/'[1]Timing Calculation'!$B$31</f>
        <v>5.3491827637444604</v>
      </c>
      <c r="C99" s="57">
        <v>293.4560327198364</v>
      </c>
      <c r="D99" s="57">
        <v>66.351074478665026</v>
      </c>
      <c r="E99" s="57">
        <v>140.19289280149857</v>
      </c>
      <c r="F99" s="57">
        <f t="shared" si="34"/>
        <v>0.46698365527489133</v>
      </c>
      <c r="G99" s="57">
        <f t="shared" si="32"/>
        <v>500.46698365527487</v>
      </c>
      <c r="H99" s="57">
        <f t="shared" si="33"/>
        <v>93.559522222221645</v>
      </c>
      <c r="I99" s="71"/>
    </row>
    <row r="100" spans="1:9" ht="15" customHeight="1" x14ac:dyDescent="0.25">
      <c r="A100" s="57">
        <f t="shared" si="35"/>
        <v>9</v>
      </c>
      <c r="B100" s="57">
        <f>500/'[1]Timing Calculation'!$B$31</f>
        <v>5.3491827637444604</v>
      </c>
      <c r="C100" s="57">
        <v>293.4560327198364</v>
      </c>
      <c r="D100" s="57">
        <v>66.351074478665026</v>
      </c>
      <c r="E100" s="57">
        <v>140.19289280149857</v>
      </c>
      <c r="F100" s="57">
        <f t="shared" si="34"/>
        <v>0.46698365527489133</v>
      </c>
      <c r="G100" s="57">
        <f t="shared" si="32"/>
        <v>500.46698365527487</v>
      </c>
      <c r="H100" s="57">
        <f t="shared" si="33"/>
        <v>93.559522222221645</v>
      </c>
      <c r="I100" s="71"/>
    </row>
    <row r="101" spans="1:9" ht="15" customHeight="1" x14ac:dyDescent="0.25">
      <c r="A101" s="38">
        <v>1</v>
      </c>
      <c r="B101" s="38">
        <f>500/'[1]Timing Calculation'!$B$31</f>
        <v>5.3491827637444604</v>
      </c>
      <c r="C101" s="38">
        <f>1.2*$C$2*B101</f>
        <v>0.13101218424962932</v>
      </c>
      <c r="D101" s="38">
        <f>1.2*$D$2*B101</f>
        <v>0.13101218424962932</v>
      </c>
      <c r="E101" s="38">
        <f>1.2*$E$2*B101</f>
        <v>0.13101218424962932</v>
      </c>
      <c r="F101" s="38">
        <f>93.55952222*B101-SUM(C101:E101)</f>
        <v>500.07394709064204</v>
      </c>
      <c r="G101" s="38">
        <f t="shared" si="32"/>
        <v>500.4669836433909</v>
      </c>
      <c r="H101" s="38">
        <f t="shared" si="33"/>
        <v>93.559522220000005</v>
      </c>
      <c r="I101" s="71"/>
    </row>
    <row r="102" spans="1:9" ht="15" customHeight="1" x14ac:dyDescent="0.25">
      <c r="A102" s="38">
        <v>2</v>
      </c>
      <c r="B102" s="38">
        <f>500/'[1]Timing Calculation'!$B$31</f>
        <v>5.3491827637444604</v>
      </c>
      <c r="C102" s="38">
        <f t="shared" ref="C102:C109" si="36">1.2*$C$2*B102</f>
        <v>0.13101218424962932</v>
      </c>
      <c r="D102" s="38">
        <f t="shared" ref="D102:D109" si="37">1.2*$D$2*B102</f>
        <v>0.13101218424962932</v>
      </c>
      <c r="E102" s="38">
        <f t="shared" ref="E102:E109" si="38">1.2*$E$2*B102</f>
        <v>0.13101218424962932</v>
      </c>
      <c r="F102" s="38">
        <f t="shared" ref="F102:F109" si="39">93.55952222*B102-SUM(C102:E102)</f>
        <v>500.07394709064204</v>
      </c>
      <c r="G102" s="38">
        <f t="shared" si="32"/>
        <v>500.4669836433909</v>
      </c>
      <c r="H102" s="38">
        <f t="shared" si="33"/>
        <v>93.559522220000005</v>
      </c>
      <c r="I102" s="71"/>
    </row>
    <row r="103" spans="1:9" ht="15" customHeight="1" x14ac:dyDescent="0.25">
      <c r="A103" s="38">
        <v>3</v>
      </c>
      <c r="B103" s="38">
        <f>500/'[1]Timing Calculation'!$B$31</f>
        <v>5.3491827637444604</v>
      </c>
      <c r="C103" s="38">
        <f t="shared" si="36"/>
        <v>0.13101218424962932</v>
      </c>
      <c r="D103" s="38">
        <f t="shared" si="37"/>
        <v>0.13101218424962932</v>
      </c>
      <c r="E103" s="38">
        <f t="shared" si="38"/>
        <v>0.13101218424962932</v>
      </c>
      <c r="F103" s="38">
        <f t="shared" si="39"/>
        <v>500.07394709064204</v>
      </c>
      <c r="G103" s="38">
        <f t="shared" si="32"/>
        <v>500.4669836433909</v>
      </c>
      <c r="H103" s="38">
        <f t="shared" si="33"/>
        <v>93.559522220000005</v>
      </c>
      <c r="I103" s="71"/>
    </row>
    <row r="104" spans="1:9" ht="15" customHeight="1" x14ac:dyDescent="0.25">
      <c r="A104" s="38">
        <v>4</v>
      </c>
      <c r="B104" s="38">
        <f>500/'[1]Timing Calculation'!$B$31</f>
        <v>5.3491827637444604</v>
      </c>
      <c r="C104" s="38">
        <f t="shared" si="36"/>
        <v>0.13101218424962932</v>
      </c>
      <c r="D104" s="38">
        <f t="shared" si="37"/>
        <v>0.13101218424962932</v>
      </c>
      <c r="E104" s="38">
        <f t="shared" si="38"/>
        <v>0.13101218424962932</v>
      </c>
      <c r="F104" s="38">
        <f t="shared" si="39"/>
        <v>500.07394709064204</v>
      </c>
      <c r="G104" s="38">
        <f t="shared" si="32"/>
        <v>500.4669836433909</v>
      </c>
      <c r="H104" s="38">
        <f t="shared" si="33"/>
        <v>93.559522220000005</v>
      </c>
      <c r="I104" s="71"/>
    </row>
    <row r="105" spans="1:9" ht="15" customHeight="1" x14ac:dyDescent="0.25">
      <c r="A105" s="38">
        <v>5</v>
      </c>
      <c r="B105" s="38">
        <f>500/'[1]Timing Calculation'!$B$31</f>
        <v>5.3491827637444604</v>
      </c>
      <c r="C105" s="38">
        <f t="shared" si="36"/>
        <v>0.13101218424962932</v>
      </c>
      <c r="D105" s="38">
        <f t="shared" si="37"/>
        <v>0.13101218424962932</v>
      </c>
      <c r="E105" s="38">
        <f t="shared" si="38"/>
        <v>0.13101218424962932</v>
      </c>
      <c r="F105" s="38">
        <f t="shared" si="39"/>
        <v>500.07394709064204</v>
      </c>
      <c r="G105" s="38">
        <f t="shared" si="32"/>
        <v>500.4669836433909</v>
      </c>
      <c r="H105" s="38">
        <f t="shared" si="33"/>
        <v>93.559522220000005</v>
      </c>
      <c r="I105" s="71"/>
    </row>
    <row r="106" spans="1:9" ht="15" customHeight="1" x14ac:dyDescent="0.25">
      <c r="A106" s="38">
        <v>6</v>
      </c>
      <c r="B106" s="38">
        <f>500/'[1]Timing Calculation'!$B$31</f>
        <v>5.3491827637444604</v>
      </c>
      <c r="C106" s="38">
        <f t="shared" si="36"/>
        <v>0.13101218424962932</v>
      </c>
      <c r="D106" s="38">
        <f t="shared" si="37"/>
        <v>0.13101218424962932</v>
      </c>
      <c r="E106" s="38">
        <f t="shared" si="38"/>
        <v>0.13101218424962932</v>
      </c>
      <c r="F106" s="38">
        <f t="shared" si="39"/>
        <v>500.07394709064204</v>
      </c>
      <c r="G106" s="38">
        <f t="shared" si="32"/>
        <v>500.4669836433909</v>
      </c>
      <c r="H106" s="38">
        <f t="shared" si="33"/>
        <v>93.559522220000005</v>
      </c>
      <c r="I106" s="71"/>
    </row>
    <row r="107" spans="1:9" ht="15" customHeight="1" x14ac:dyDescent="0.25">
      <c r="A107" s="38">
        <v>7</v>
      </c>
      <c r="B107" s="38">
        <f>500/'[1]Timing Calculation'!$B$31</f>
        <v>5.3491827637444604</v>
      </c>
      <c r="C107" s="38">
        <f t="shared" si="36"/>
        <v>0.13101218424962932</v>
      </c>
      <c r="D107" s="38">
        <f t="shared" si="37"/>
        <v>0.13101218424962932</v>
      </c>
      <c r="E107" s="38">
        <f t="shared" si="38"/>
        <v>0.13101218424962932</v>
      </c>
      <c r="F107" s="38">
        <f t="shared" si="39"/>
        <v>500.07394709064204</v>
      </c>
      <c r="G107" s="38">
        <f t="shared" si="32"/>
        <v>500.4669836433909</v>
      </c>
      <c r="H107" s="38">
        <f t="shared" si="33"/>
        <v>93.559522220000005</v>
      </c>
      <c r="I107" s="71"/>
    </row>
    <row r="108" spans="1:9" ht="15" customHeight="1" x14ac:dyDescent="0.25">
      <c r="A108" s="38">
        <v>8</v>
      </c>
      <c r="B108" s="38">
        <f>500/'[1]Timing Calculation'!$B$31</f>
        <v>5.3491827637444604</v>
      </c>
      <c r="C108" s="38">
        <f t="shared" si="36"/>
        <v>0.13101218424962932</v>
      </c>
      <c r="D108" s="38">
        <f t="shared" si="37"/>
        <v>0.13101218424962932</v>
      </c>
      <c r="E108" s="38">
        <f t="shared" si="38"/>
        <v>0.13101218424962932</v>
      </c>
      <c r="F108" s="38">
        <f t="shared" si="39"/>
        <v>500.07394709064204</v>
      </c>
      <c r="G108" s="38">
        <f t="shared" si="32"/>
        <v>500.4669836433909</v>
      </c>
      <c r="H108" s="38">
        <f t="shared" si="33"/>
        <v>93.559522220000005</v>
      </c>
      <c r="I108" s="71"/>
    </row>
    <row r="109" spans="1:9" ht="15.6" customHeight="1" thickBot="1" x14ac:dyDescent="0.3">
      <c r="A109" s="38">
        <v>9</v>
      </c>
      <c r="B109" s="38">
        <f>500/'[1]Timing Calculation'!$B$31</f>
        <v>5.3491827637444604</v>
      </c>
      <c r="C109" s="38">
        <f t="shared" si="36"/>
        <v>0.13101218424962932</v>
      </c>
      <c r="D109" s="38">
        <f t="shared" si="37"/>
        <v>0.13101218424962932</v>
      </c>
      <c r="E109" s="38">
        <f t="shared" si="38"/>
        <v>0.13101218424962932</v>
      </c>
      <c r="F109" s="38">
        <f t="shared" si="39"/>
        <v>500.07394709064204</v>
      </c>
      <c r="G109" s="38">
        <f t="shared" si="32"/>
        <v>500.4669836433909</v>
      </c>
      <c r="H109" s="38">
        <f t="shared" si="33"/>
        <v>93.559522220000005</v>
      </c>
      <c r="I109" s="72"/>
    </row>
  </sheetData>
  <mergeCells count="5">
    <mergeCell ref="I4:I21"/>
    <mergeCell ref="I26:I43"/>
    <mergeCell ref="I48:I65"/>
    <mergeCell ref="I70:I87"/>
    <mergeCell ref="I92:I109"/>
  </mergeCells>
  <conditionalFormatting sqref="H4:H21">
    <cfRule type="cellIs" priority="5" operator="notEqual">
      <formula>500.0873</formula>
    </cfRule>
  </conditionalFormatting>
  <conditionalFormatting sqref="H26:H43">
    <cfRule type="cellIs" priority="4" operator="notEqual">
      <formula>500.0873</formula>
    </cfRule>
  </conditionalFormatting>
  <conditionalFormatting sqref="H48:H65">
    <cfRule type="cellIs" priority="3" operator="notEqual">
      <formula>500.0873</formula>
    </cfRule>
  </conditionalFormatting>
  <conditionalFormatting sqref="H70:H87">
    <cfRule type="cellIs" priority="2" operator="notEqual">
      <formula>500.0873</formula>
    </cfRule>
  </conditionalFormatting>
  <conditionalFormatting sqref="H92:H109">
    <cfRule type="cellIs" priority="1" operator="notEqual">
      <formula>500.0873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530F-0B9C-4515-8B51-F50E177DD1DD}">
  <dimension ref="A1:I109"/>
  <sheetViews>
    <sheetView topLeftCell="A91" zoomScaleNormal="100" workbookViewId="0">
      <selection activeCell="B92" sqref="B92:F109"/>
    </sheetView>
  </sheetViews>
  <sheetFormatPr defaultColWidth="10.77734375" defaultRowHeight="15" x14ac:dyDescent="0.25"/>
  <cols>
    <col min="1" max="1" width="16.5546875" style="65" bestFit="1" customWidth="1"/>
    <col min="2" max="2" width="28.44140625" style="65" bestFit="1" customWidth="1"/>
    <col min="3" max="4" width="15.21875" style="65" bestFit="1" customWidth="1"/>
    <col min="5" max="5" width="15.77734375" style="65" bestFit="1" customWidth="1"/>
    <col min="6" max="6" width="15.21875" style="65" bestFit="1" customWidth="1"/>
    <col min="7" max="7" width="17.77734375" style="65" bestFit="1" customWidth="1"/>
    <col min="8" max="8" width="25.77734375" style="65" bestFit="1" customWidth="1"/>
    <col min="9" max="9" width="27" style="65" customWidth="1"/>
    <col min="10" max="16384" width="10.77734375" style="65"/>
  </cols>
  <sheetData>
    <row r="1" spans="1:9" x14ac:dyDescent="0.25">
      <c r="A1" s="57"/>
      <c r="B1" s="64" t="s">
        <v>18</v>
      </c>
      <c r="C1" s="64" t="s">
        <v>16</v>
      </c>
      <c r="D1" s="64" t="s">
        <v>16</v>
      </c>
      <c r="E1" s="64" t="s">
        <v>16</v>
      </c>
      <c r="F1" s="64" t="s">
        <v>28</v>
      </c>
      <c r="G1" s="57"/>
      <c r="H1" s="57"/>
    </row>
    <row r="2" spans="1:9" x14ac:dyDescent="0.25">
      <c r="A2" s="57"/>
      <c r="B2" s="64" t="s">
        <v>17</v>
      </c>
      <c r="C2" s="64">
        <f>20.41/1000</f>
        <v>2.0410000000000001E-2</v>
      </c>
      <c r="D2" s="64">
        <f>20.41/1000</f>
        <v>2.0410000000000001E-2</v>
      </c>
      <c r="E2" s="64">
        <f>20.41/1000</f>
        <v>2.0410000000000001E-2</v>
      </c>
      <c r="F2" s="64">
        <f>72.75/1000</f>
        <v>7.2749999999999995E-2</v>
      </c>
      <c r="G2" s="57" t="s">
        <v>13</v>
      </c>
      <c r="H2" s="57" t="s">
        <v>13</v>
      </c>
    </row>
    <row r="3" spans="1:9" ht="15.6" thickBot="1" x14ac:dyDescent="0.3">
      <c r="A3" s="57" t="s">
        <v>66</v>
      </c>
      <c r="B3" s="57" t="s">
        <v>14</v>
      </c>
      <c r="C3" s="57" t="s">
        <v>1</v>
      </c>
      <c r="D3" s="57" t="s">
        <v>48</v>
      </c>
      <c r="E3" s="57" t="s">
        <v>2</v>
      </c>
      <c r="F3" s="57" t="s">
        <v>15</v>
      </c>
      <c r="G3" s="57" t="s">
        <v>9</v>
      </c>
      <c r="H3" s="57" t="s">
        <v>8</v>
      </c>
    </row>
    <row r="4" spans="1:9" ht="15" customHeight="1" x14ac:dyDescent="0.25">
      <c r="A4" s="57">
        <v>1</v>
      </c>
      <c r="B4" s="57">
        <f>500/'[1]Timing Calculation'!$B$27</f>
        <v>1.3372956909361151</v>
      </c>
      <c r="C4" s="57">
        <v>144.36619718309856</v>
      </c>
      <c r="D4" s="57">
        <v>217.69753605647324</v>
      </c>
      <c r="E4" s="57">
        <v>137.93626676042817</v>
      </c>
      <c r="F4" s="57">
        <f>(1.2*$F$2*B4)</f>
        <v>0.11674591381872283</v>
      </c>
      <c r="G4" s="57">
        <f t="shared" ref="G4:G21" si="0">SUM(C4:F4)</f>
        <v>500.11674591381865</v>
      </c>
      <c r="H4" s="57">
        <f t="shared" ref="H4:H21" si="1">G4/B4</f>
        <v>373.97618888888655</v>
      </c>
      <c r="I4" s="70" t="s">
        <v>79</v>
      </c>
    </row>
    <row r="5" spans="1:9" ht="15" customHeight="1" x14ac:dyDescent="0.25">
      <c r="A5" s="38">
        <v>1</v>
      </c>
      <c r="B5" s="38">
        <f>500/'[1]Timing Calculation'!$B$27</f>
        <v>1.3372956909361151</v>
      </c>
      <c r="C5" s="38">
        <f>1.2*$C$2*B5</f>
        <v>3.275304606240733E-2</v>
      </c>
      <c r="D5" s="38">
        <f>1.2*$D$2*B5</f>
        <v>3.275304606240733E-2</v>
      </c>
      <c r="E5" s="38">
        <f>1.2*$E$2*B5</f>
        <v>3.275304606240733E-2</v>
      </c>
      <c r="F5" s="38">
        <f>373.9761889*B5-SUM(C5:E5)</f>
        <v>500.0184867904934</v>
      </c>
      <c r="G5" s="38">
        <f t="shared" si="0"/>
        <v>500.11674592868064</v>
      </c>
      <c r="H5" s="38">
        <f t="shared" si="1"/>
        <v>373.97618890000001</v>
      </c>
      <c r="I5" s="71"/>
    </row>
    <row r="6" spans="1:9" ht="15" customHeight="1" x14ac:dyDescent="0.25">
      <c r="A6" s="57">
        <f>A5+1</f>
        <v>2</v>
      </c>
      <c r="B6" s="57">
        <f>500/'[1]Timing Calculation'!$B$27</f>
        <v>1.3372956909361151</v>
      </c>
      <c r="C6" s="57">
        <v>144.36619718309856</v>
      </c>
      <c r="D6" s="57">
        <v>217.69753605647324</v>
      </c>
      <c r="E6" s="57">
        <v>137.93626676042817</v>
      </c>
      <c r="F6" s="57">
        <f>(1.2*$F$2*B6)</f>
        <v>0.11674591381872283</v>
      </c>
      <c r="G6" s="57">
        <f t="shared" si="0"/>
        <v>500.11674591381865</v>
      </c>
      <c r="H6" s="57">
        <f t="shared" si="1"/>
        <v>373.97618888888655</v>
      </c>
      <c r="I6" s="71"/>
    </row>
    <row r="7" spans="1:9" ht="15" customHeight="1" x14ac:dyDescent="0.25">
      <c r="A7" s="38">
        <v>2</v>
      </c>
      <c r="B7" s="38">
        <f>500/'[1]Timing Calculation'!$B$27</f>
        <v>1.3372956909361151</v>
      </c>
      <c r="C7" s="38">
        <f>1.2*$C$2*B7</f>
        <v>3.275304606240733E-2</v>
      </c>
      <c r="D7" s="38">
        <f>1.2*$D$2*B7</f>
        <v>3.275304606240733E-2</v>
      </c>
      <c r="E7" s="38">
        <f>1.2*$E$2*B7</f>
        <v>3.275304606240733E-2</v>
      </c>
      <c r="F7" s="38">
        <f>373.9761889*B7-SUM(C7:E7)</f>
        <v>500.0184867904934</v>
      </c>
      <c r="G7" s="38">
        <f t="shared" si="0"/>
        <v>500.11674592868064</v>
      </c>
      <c r="H7" s="38">
        <f t="shared" si="1"/>
        <v>373.97618890000001</v>
      </c>
      <c r="I7" s="71"/>
    </row>
    <row r="8" spans="1:9" ht="15" customHeight="1" x14ac:dyDescent="0.25">
      <c r="A8" s="57">
        <f>A7+1</f>
        <v>3</v>
      </c>
      <c r="B8" s="57">
        <f>500/'[1]Timing Calculation'!$B$27</f>
        <v>1.3372956909361151</v>
      </c>
      <c r="C8" s="57">
        <v>144.36619718309856</v>
      </c>
      <c r="D8" s="57">
        <v>217.69753605647324</v>
      </c>
      <c r="E8" s="57">
        <v>137.93626676042817</v>
      </c>
      <c r="F8" s="57">
        <f>(1.2*$F$2*B8)</f>
        <v>0.11674591381872283</v>
      </c>
      <c r="G8" s="57">
        <f t="shared" si="0"/>
        <v>500.11674591381865</v>
      </c>
      <c r="H8" s="57">
        <f t="shared" si="1"/>
        <v>373.97618888888655</v>
      </c>
      <c r="I8" s="71"/>
    </row>
    <row r="9" spans="1:9" ht="15" customHeight="1" x14ac:dyDescent="0.25">
      <c r="A9" s="38">
        <v>3</v>
      </c>
      <c r="B9" s="38">
        <f>500/'[1]Timing Calculation'!$B$27</f>
        <v>1.3372956909361151</v>
      </c>
      <c r="C9" s="38">
        <f>1.2*$C$2*B9</f>
        <v>3.275304606240733E-2</v>
      </c>
      <c r="D9" s="38">
        <f>1.2*$D$2*B9</f>
        <v>3.275304606240733E-2</v>
      </c>
      <c r="E9" s="38">
        <f>1.2*$E$2*B9</f>
        <v>3.275304606240733E-2</v>
      </c>
      <c r="F9" s="38">
        <f>373.9761889*B9-SUM(C9:E9)</f>
        <v>500.0184867904934</v>
      </c>
      <c r="G9" s="38">
        <f t="shared" si="0"/>
        <v>500.11674592868064</v>
      </c>
      <c r="H9" s="38">
        <f t="shared" si="1"/>
        <v>373.97618890000001</v>
      </c>
      <c r="I9" s="71"/>
    </row>
    <row r="10" spans="1:9" ht="15" customHeight="1" x14ac:dyDescent="0.25">
      <c r="A10" s="57">
        <f>A9+1</f>
        <v>4</v>
      </c>
      <c r="B10" s="57">
        <f>500/'[1]Timing Calculation'!$B$27</f>
        <v>1.3372956909361151</v>
      </c>
      <c r="C10" s="57">
        <v>144.36619718309856</v>
      </c>
      <c r="D10" s="57">
        <v>286.66566943668732</v>
      </c>
      <c r="E10" s="57">
        <v>68.968133380214084</v>
      </c>
      <c r="F10" s="57">
        <f>(1.2*$F$2*B10)</f>
        <v>0.11674591381872283</v>
      </c>
      <c r="G10" s="57">
        <f t="shared" si="0"/>
        <v>500.1167459138187</v>
      </c>
      <c r="H10" s="57">
        <f t="shared" si="1"/>
        <v>373.97618888888661</v>
      </c>
      <c r="I10" s="71"/>
    </row>
    <row r="11" spans="1:9" ht="15" customHeight="1" x14ac:dyDescent="0.25">
      <c r="A11" s="38">
        <v>4</v>
      </c>
      <c r="B11" s="38">
        <f>500/'[1]Timing Calculation'!$B$27</f>
        <v>1.3372956909361151</v>
      </c>
      <c r="C11" s="38">
        <f>1.2*$C$2*B11</f>
        <v>3.275304606240733E-2</v>
      </c>
      <c r="D11" s="38">
        <f>1.2*$D$2*B11</f>
        <v>3.275304606240733E-2</v>
      </c>
      <c r="E11" s="38">
        <f>1.2*$E$2*B11</f>
        <v>3.275304606240733E-2</v>
      </c>
      <c r="F11" s="38">
        <f>373.9761889*B11-SUM(C11:E11)</f>
        <v>500.0184867904934</v>
      </c>
      <c r="G11" s="38">
        <f t="shared" si="0"/>
        <v>500.11674592868064</v>
      </c>
      <c r="H11" s="38">
        <f t="shared" si="1"/>
        <v>373.97618890000001</v>
      </c>
      <c r="I11" s="71"/>
    </row>
    <row r="12" spans="1:9" ht="15" customHeight="1" x14ac:dyDescent="0.25">
      <c r="A12" s="57">
        <f>A11+1</f>
        <v>5</v>
      </c>
      <c r="B12" s="57">
        <f>500/'[1]Timing Calculation'!$B$27</f>
        <v>1.3372956909361151</v>
      </c>
      <c r="C12" s="57">
        <v>144.36619718309856</v>
      </c>
      <c r="D12" s="57">
        <v>286.66566943668732</v>
      </c>
      <c r="E12" s="57">
        <v>68.968133380214084</v>
      </c>
      <c r="F12" s="57">
        <f>(1.2*$F$2*B12)</f>
        <v>0.11674591381872283</v>
      </c>
      <c r="G12" s="57">
        <f t="shared" si="0"/>
        <v>500.1167459138187</v>
      </c>
      <c r="H12" s="57">
        <f t="shared" si="1"/>
        <v>373.97618888888661</v>
      </c>
      <c r="I12" s="71"/>
    </row>
    <row r="13" spans="1:9" ht="15" customHeight="1" x14ac:dyDescent="0.25">
      <c r="A13" s="38">
        <v>5</v>
      </c>
      <c r="B13" s="38">
        <f>500/'[1]Timing Calculation'!$B$27</f>
        <v>1.3372956909361151</v>
      </c>
      <c r="C13" s="38">
        <f>1.2*$C$2*B13</f>
        <v>3.275304606240733E-2</v>
      </c>
      <c r="D13" s="38">
        <f>1.2*$D$2*B13</f>
        <v>3.275304606240733E-2</v>
      </c>
      <c r="E13" s="38">
        <f>1.2*$E$2*B13</f>
        <v>3.275304606240733E-2</v>
      </c>
      <c r="F13" s="38">
        <f>373.9761889*B13-SUM(C13:E13)</f>
        <v>500.0184867904934</v>
      </c>
      <c r="G13" s="38">
        <f t="shared" si="0"/>
        <v>500.11674592868064</v>
      </c>
      <c r="H13" s="38">
        <f t="shared" si="1"/>
        <v>373.97618890000001</v>
      </c>
      <c r="I13" s="71"/>
    </row>
    <row r="14" spans="1:9" ht="15" customHeight="1" x14ac:dyDescent="0.25">
      <c r="A14" s="57">
        <f>A13+1</f>
        <v>6</v>
      </c>
      <c r="B14" s="57">
        <f>500/'[1]Timing Calculation'!$B$27</f>
        <v>1.3372956909361151</v>
      </c>
      <c r="C14" s="57">
        <v>144.36619718309856</v>
      </c>
      <c r="D14" s="57">
        <v>286.66566943668732</v>
      </c>
      <c r="E14" s="57">
        <v>68.968133380214084</v>
      </c>
      <c r="F14" s="57">
        <f>(1.2*$F$2*B14)</f>
        <v>0.11674591381872283</v>
      </c>
      <c r="G14" s="57">
        <f t="shared" si="0"/>
        <v>500.1167459138187</v>
      </c>
      <c r="H14" s="57">
        <f t="shared" si="1"/>
        <v>373.97618888888661</v>
      </c>
      <c r="I14" s="71"/>
    </row>
    <row r="15" spans="1:9" ht="15" customHeight="1" x14ac:dyDescent="0.25">
      <c r="A15" s="38">
        <v>6</v>
      </c>
      <c r="B15" s="38">
        <f>500/'[1]Timing Calculation'!$B$27</f>
        <v>1.3372956909361151</v>
      </c>
      <c r="C15" s="38">
        <f>1.2*$C$2*B15</f>
        <v>3.275304606240733E-2</v>
      </c>
      <c r="D15" s="38">
        <f>1.2*$D$2*B15</f>
        <v>3.275304606240733E-2</v>
      </c>
      <c r="E15" s="38">
        <f>1.2*$E$2*B15</f>
        <v>3.275304606240733E-2</v>
      </c>
      <c r="F15" s="38">
        <f>373.9761889*B15-SUM(C15:E15)</f>
        <v>500.0184867904934</v>
      </c>
      <c r="G15" s="38">
        <f t="shared" si="0"/>
        <v>500.11674592868064</v>
      </c>
      <c r="H15" s="38">
        <f t="shared" si="1"/>
        <v>373.97618890000001</v>
      </c>
      <c r="I15" s="71"/>
    </row>
    <row r="16" spans="1:9" ht="15" customHeight="1" x14ac:dyDescent="0.25">
      <c r="A16" s="57">
        <f>A15+1</f>
        <v>7</v>
      </c>
      <c r="B16" s="57">
        <f>500/'[1]Timing Calculation'!$B$27</f>
        <v>1.3372956909361151</v>
      </c>
      <c r="C16" s="57">
        <v>293.4560327198364</v>
      </c>
      <c r="D16" s="57">
        <v>66.351074478665026</v>
      </c>
      <c r="E16" s="57">
        <v>140.19289280149857</v>
      </c>
      <c r="F16" s="57">
        <f>(1.2*$F$2*B16)</f>
        <v>0.11674591381872283</v>
      </c>
      <c r="G16" s="57">
        <f t="shared" si="0"/>
        <v>500.1167459138187</v>
      </c>
      <c r="H16" s="57">
        <f t="shared" si="1"/>
        <v>373.97618888888661</v>
      </c>
      <c r="I16" s="71"/>
    </row>
    <row r="17" spans="1:9" ht="15" customHeight="1" x14ac:dyDescent="0.25">
      <c r="A17" s="38">
        <v>7</v>
      </c>
      <c r="B17" s="38">
        <f>500/'[1]Timing Calculation'!$B$27</f>
        <v>1.3372956909361151</v>
      </c>
      <c r="C17" s="38">
        <f>1.2*$C$2*B17</f>
        <v>3.275304606240733E-2</v>
      </c>
      <c r="D17" s="38">
        <f>1.2*$D$2*B17</f>
        <v>3.275304606240733E-2</v>
      </c>
      <c r="E17" s="38">
        <f>1.2*$E$2*B17</f>
        <v>3.275304606240733E-2</v>
      </c>
      <c r="F17" s="38">
        <f>373.9761889*B17-SUM(C17:E17)</f>
        <v>500.0184867904934</v>
      </c>
      <c r="G17" s="38">
        <f t="shared" si="0"/>
        <v>500.11674592868064</v>
      </c>
      <c r="H17" s="38">
        <f t="shared" si="1"/>
        <v>373.97618890000001</v>
      </c>
      <c r="I17" s="71"/>
    </row>
    <row r="18" spans="1:9" ht="15" customHeight="1" x14ac:dyDescent="0.25">
      <c r="A18" s="57">
        <f>A17+1</f>
        <v>8</v>
      </c>
      <c r="B18" s="57">
        <f>500/'[1]Timing Calculation'!$B$27</f>
        <v>1.3372956909361151</v>
      </c>
      <c r="C18" s="57">
        <v>293.4560327198364</v>
      </c>
      <c r="D18" s="57">
        <v>66.351074478665026</v>
      </c>
      <c r="E18" s="57">
        <v>140.19289280149857</v>
      </c>
      <c r="F18" s="57">
        <f>(1.2*$F$2*B18)</f>
        <v>0.11674591381872283</v>
      </c>
      <c r="G18" s="57">
        <f t="shared" si="0"/>
        <v>500.1167459138187</v>
      </c>
      <c r="H18" s="57">
        <f t="shared" si="1"/>
        <v>373.97618888888661</v>
      </c>
      <c r="I18" s="71"/>
    </row>
    <row r="19" spans="1:9" ht="15" customHeight="1" x14ac:dyDescent="0.25">
      <c r="A19" s="38">
        <v>8</v>
      </c>
      <c r="B19" s="38">
        <f>500/'[1]Timing Calculation'!$B$27</f>
        <v>1.3372956909361151</v>
      </c>
      <c r="C19" s="38">
        <f>1.2*$C$2*B19</f>
        <v>3.275304606240733E-2</v>
      </c>
      <c r="D19" s="38">
        <f>1.2*$D$2*B19</f>
        <v>3.275304606240733E-2</v>
      </c>
      <c r="E19" s="38">
        <f>1.2*$E$2*B19</f>
        <v>3.275304606240733E-2</v>
      </c>
      <c r="F19" s="38">
        <f>373.9761889*B19-SUM(C19:E19)</f>
        <v>500.0184867904934</v>
      </c>
      <c r="G19" s="38">
        <f t="shared" si="0"/>
        <v>500.11674592868064</v>
      </c>
      <c r="H19" s="38">
        <f t="shared" si="1"/>
        <v>373.97618890000001</v>
      </c>
      <c r="I19" s="71"/>
    </row>
    <row r="20" spans="1:9" ht="15" customHeight="1" x14ac:dyDescent="0.25">
      <c r="A20" s="57">
        <f>A19+1</f>
        <v>9</v>
      </c>
      <c r="B20" s="57">
        <f>500/'[1]Timing Calculation'!$B$27</f>
        <v>1.3372956909361151</v>
      </c>
      <c r="C20" s="57">
        <v>293.4560327198364</v>
      </c>
      <c r="D20" s="57">
        <v>66.351074478665026</v>
      </c>
      <c r="E20" s="57">
        <v>140.19289280149857</v>
      </c>
      <c r="F20" s="57">
        <f>(1.2*$F$2*B20)</f>
        <v>0.11674591381872283</v>
      </c>
      <c r="G20" s="57">
        <f t="shared" si="0"/>
        <v>500.1167459138187</v>
      </c>
      <c r="H20" s="57">
        <f t="shared" si="1"/>
        <v>373.97618888888661</v>
      </c>
      <c r="I20" s="71"/>
    </row>
    <row r="21" spans="1:9" ht="15" customHeight="1" thickBot="1" x14ac:dyDescent="0.3">
      <c r="A21" s="38">
        <v>9</v>
      </c>
      <c r="B21" s="38">
        <f>500/'[1]Timing Calculation'!$B$27</f>
        <v>1.3372956909361151</v>
      </c>
      <c r="C21" s="38">
        <f>1.2*$C$2*B21</f>
        <v>3.275304606240733E-2</v>
      </c>
      <c r="D21" s="38">
        <f>1.2*$D$2*B21</f>
        <v>3.275304606240733E-2</v>
      </c>
      <c r="E21" s="38">
        <f>1.2*$E$2*B21</f>
        <v>3.275304606240733E-2</v>
      </c>
      <c r="F21" s="38">
        <f>373.9761889*B21-SUM(C21:E21)</f>
        <v>500.0184867904934</v>
      </c>
      <c r="G21" s="38">
        <f t="shared" si="0"/>
        <v>500.11674592868064</v>
      </c>
      <c r="H21" s="38">
        <f t="shared" si="1"/>
        <v>373.97618890000001</v>
      </c>
      <c r="I21" s="72"/>
    </row>
    <row r="25" spans="1:9" ht="15.6" thickBot="1" x14ac:dyDescent="0.3">
      <c r="A25" s="57" t="s">
        <v>66</v>
      </c>
      <c r="B25" s="57" t="s">
        <v>14</v>
      </c>
      <c r="C25" s="57" t="s">
        <v>1</v>
      </c>
      <c r="D25" s="57" t="s">
        <v>48</v>
      </c>
      <c r="E25" s="57" t="s">
        <v>2</v>
      </c>
      <c r="F25" s="57" t="s">
        <v>15</v>
      </c>
      <c r="G25" s="57" t="s">
        <v>9</v>
      </c>
      <c r="H25" s="57" t="s">
        <v>8</v>
      </c>
    </row>
    <row r="26" spans="1:9" ht="15" customHeight="1" x14ac:dyDescent="0.25">
      <c r="A26" s="57">
        <v>1</v>
      </c>
      <c r="B26" s="57">
        <f>500/'[1]Timing Calculation'!$B$28</f>
        <v>1.3372956909361151</v>
      </c>
      <c r="C26" s="57">
        <v>144.36619718309856</v>
      </c>
      <c r="D26" s="57">
        <v>217.69753605647324</v>
      </c>
      <c r="E26" s="57">
        <v>137.93626676042817</v>
      </c>
      <c r="F26" s="57">
        <f>(1.2*$F$2*B26)</f>
        <v>0.11674591381872283</v>
      </c>
      <c r="G26" s="57">
        <f t="shared" ref="G26:G43" si="2">SUM(C26:F26)</f>
        <v>500.11674591381865</v>
      </c>
      <c r="H26" s="57">
        <f t="shared" ref="H26:H43" si="3">G26/B26</f>
        <v>373.97618888888655</v>
      </c>
      <c r="I26" s="70" t="s">
        <v>80</v>
      </c>
    </row>
    <row r="27" spans="1:9" ht="15" customHeight="1" x14ac:dyDescent="0.25">
      <c r="A27" s="38">
        <v>1</v>
      </c>
      <c r="B27" s="38">
        <f>500/'[1]Timing Calculation'!$B$28</f>
        <v>1.3372956909361151</v>
      </c>
      <c r="C27" s="38">
        <f>1.2*$C$2*B27</f>
        <v>3.275304606240733E-2</v>
      </c>
      <c r="D27" s="38">
        <f>1.2*$D$2*B27</f>
        <v>3.275304606240733E-2</v>
      </c>
      <c r="E27" s="38">
        <f>1.2*$E$2*B27</f>
        <v>3.275304606240733E-2</v>
      </c>
      <c r="F27" s="38">
        <f>373.9761889*B27-SUM(C27:E27)</f>
        <v>500.0184867904934</v>
      </c>
      <c r="G27" s="38">
        <f t="shared" si="2"/>
        <v>500.11674592868064</v>
      </c>
      <c r="H27" s="38">
        <f t="shared" si="3"/>
        <v>373.97618890000001</v>
      </c>
      <c r="I27" s="71"/>
    </row>
    <row r="28" spans="1:9" ht="15" customHeight="1" x14ac:dyDescent="0.25">
      <c r="A28" s="57">
        <f>A27+1</f>
        <v>2</v>
      </c>
      <c r="B28" s="57">
        <f>500/'[1]Timing Calculation'!$B$28</f>
        <v>1.3372956909361151</v>
      </c>
      <c r="C28" s="57">
        <v>144.36619718309856</v>
      </c>
      <c r="D28" s="57">
        <v>217.69753605647324</v>
      </c>
      <c r="E28" s="57">
        <v>137.93626676042817</v>
      </c>
      <c r="F28" s="57">
        <f>(1.2*$F$2*B28)</f>
        <v>0.11674591381872283</v>
      </c>
      <c r="G28" s="57">
        <f t="shared" si="2"/>
        <v>500.11674591381865</v>
      </c>
      <c r="H28" s="57">
        <f t="shared" si="3"/>
        <v>373.97618888888655</v>
      </c>
      <c r="I28" s="71"/>
    </row>
    <row r="29" spans="1:9" ht="15" customHeight="1" x14ac:dyDescent="0.25">
      <c r="A29" s="38">
        <v>2</v>
      </c>
      <c r="B29" s="38">
        <f>500/'[1]Timing Calculation'!$B$28</f>
        <v>1.3372956909361151</v>
      </c>
      <c r="C29" s="38">
        <f>1.2*$C$2*B29</f>
        <v>3.275304606240733E-2</v>
      </c>
      <c r="D29" s="38">
        <f>1.2*$D$2*B29</f>
        <v>3.275304606240733E-2</v>
      </c>
      <c r="E29" s="38">
        <f>1.2*$E$2*B29</f>
        <v>3.275304606240733E-2</v>
      </c>
      <c r="F29" s="38">
        <f>373.9761889*B29-SUM(C29:E29)</f>
        <v>500.0184867904934</v>
      </c>
      <c r="G29" s="38">
        <f t="shared" si="2"/>
        <v>500.11674592868064</v>
      </c>
      <c r="H29" s="38">
        <f t="shared" si="3"/>
        <v>373.97618890000001</v>
      </c>
      <c r="I29" s="71"/>
    </row>
    <row r="30" spans="1:9" ht="15" customHeight="1" x14ac:dyDescent="0.25">
      <c r="A30" s="57">
        <f>A29+1</f>
        <v>3</v>
      </c>
      <c r="B30" s="57">
        <f>500/'[1]Timing Calculation'!$B$28</f>
        <v>1.3372956909361151</v>
      </c>
      <c r="C30" s="57">
        <v>144.36619718309856</v>
      </c>
      <c r="D30" s="57">
        <v>217.69753605647324</v>
      </c>
      <c r="E30" s="57">
        <v>137.93626676042817</v>
      </c>
      <c r="F30" s="57">
        <f>(1.2*$F$2*B30)</f>
        <v>0.11674591381872283</v>
      </c>
      <c r="G30" s="57">
        <f t="shared" si="2"/>
        <v>500.11674591381865</v>
      </c>
      <c r="H30" s="57">
        <f t="shared" si="3"/>
        <v>373.97618888888655</v>
      </c>
      <c r="I30" s="71"/>
    </row>
    <row r="31" spans="1:9" ht="15" customHeight="1" x14ac:dyDescent="0.25">
      <c r="A31" s="38">
        <v>3</v>
      </c>
      <c r="B31" s="38">
        <f>500/'[1]Timing Calculation'!$B$28</f>
        <v>1.3372956909361151</v>
      </c>
      <c r="C31" s="38">
        <f>1.2*$C$2*B31</f>
        <v>3.275304606240733E-2</v>
      </c>
      <c r="D31" s="38">
        <f>1.2*$D$2*B31</f>
        <v>3.275304606240733E-2</v>
      </c>
      <c r="E31" s="38">
        <f>1.2*$E$2*B31</f>
        <v>3.275304606240733E-2</v>
      </c>
      <c r="F31" s="38">
        <f>373.9761889*B31-SUM(C31:E31)</f>
        <v>500.0184867904934</v>
      </c>
      <c r="G31" s="38">
        <f t="shared" si="2"/>
        <v>500.11674592868064</v>
      </c>
      <c r="H31" s="38">
        <f t="shared" si="3"/>
        <v>373.97618890000001</v>
      </c>
      <c r="I31" s="71"/>
    </row>
    <row r="32" spans="1:9" ht="15" customHeight="1" x14ac:dyDescent="0.25">
      <c r="A32" s="57">
        <f>A31+1</f>
        <v>4</v>
      </c>
      <c r="B32" s="57">
        <f>500/'[1]Timing Calculation'!$B$28</f>
        <v>1.3372956909361151</v>
      </c>
      <c r="C32" s="57">
        <v>144.36619718309856</v>
      </c>
      <c r="D32" s="57">
        <v>286.66566943668732</v>
      </c>
      <c r="E32" s="57">
        <v>68.968133380214084</v>
      </c>
      <c r="F32" s="57">
        <f>(1.2*$F$2*B32)</f>
        <v>0.11674591381872283</v>
      </c>
      <c r="G32" s="57">
        <f t="shared" si="2"/>
        <v>500.1167459138187</v>
      </c>
      <c r="H32" s="57">
        <f t="shared" si="3"/>
        <v>373.97618888888661</v>
      </c>
      <c r="I32" s="71"/>
    </row>
    <row r="33" spans="1:9" ht="15" customHeight="1" x14ac:dyDescent="0.25">
      <c r="A33" s="38">
        <v>4</v>
      </c>
      <c r="B33" s="38">
        <f>500/'[1]Timing Calculation'!$B$28</f>
        <v>1.3372956909361151</v>
      </c>
      <c r="C33" s="38">
        <f>1.2*$C$2*B33</f>
        <v>3.275304606240733E-2</v>
      </c>
      <c r="D33" s="38">
        <f>1.2*$D$2*B33</f>
        <v>3.275304606240733E-2</v>
      </c>
      <c r="E33" s="38">
        <f>1.2*$E$2*B33</f>
        <v>3.275304606240733E-2</v>
      </c>
      <c r="F33" s="38">
        <f>373.9761889*B33-SUM(C33:E33)</f>
        <v>500.0184867904934</v>
      </c>
      <c r="G33" s="38">
        <f t="shared" si="2"/>
        <v>500.11674592868064</v>
      </c>
      <c r="H33" s="38">
        <f t="shared" si="3"/>
        <v>373.97618890000001</v>
      </c>
      <c r="I33" s="71"/>
    </row>
    <row r="34" spans="1:9" ht="15" customHeight="1" x14ac:dyDescent="0.25">
      <c r="A34" s="57">
        <f>A33+1</f>
        <v>5</v>
      </c>
      <c r="B34" s="57">
        <f>500/'[1]Timing Calculation'!$B$28</f>
        <v>1.3372956909361151</v>
      </c>
      <c r="C34" s="57">
        <v>144.36619718309856</v>
      </c>
      <c r="D34" s="57">
        <v>286.66566943668732</v>
      </c>
      <c r="E34" s="57">
        <v>68.968133380214084</v>
      </c>
      <c r="F34" s="57">
        <f>(1.2*$F$2*B34)</f>
        <v>0.11674591381872283</v>
      </c>
      <c r="G34" s="57">
        <f t="shared" si="2"/>
        <v>500.1167459138187</v>
      </c>
      <c r="H34" s="57">
        <f t="shared" si="3"/>
        <v>373.97618888888661</v>
      </c>
      <c r="I34" s="71"/>
    </row>
    <row r="35" spans="1:9" ht="15" customHeight="1" x14ac:dyDescent="0.25">
      <c r="A35" s="38">
        <v>5</v>
      </c>
      <c r="B35" s="38">
        <f>500/'[1]Timing Calculation'!$B$28</f>
        <v>1.3372956909361151</v>
      </c>
      <c r="C35" s="38">
        <f>1.2*$C$2*B35</f>
        <v>3.275304606240733E-2</v>
      </c>
      <c r="D35" s="38">
        <f>1.2*$D$2*B35</f>
        <v>3.275304606240733E-2</v>
      </c>
      <c r="E35" s="38">
        <f>1.2*$E$2*B35</f>
        <v>3.275304606240733E-2</v>
      </c>
      <c r="F35" s="38">
        <f>373.9761889*B35-SUM(C35:E35)</f>
        <v>500.0184867904934</v>
      </c>
      <c r="G35" s="38">
        <f t="shared" si="2"/>
        <v>500.11674592868064</v>
      </c>
      <c r="H35" s="38">
        <f t="shared" si="3"/>
        <v>373.97618890000001</v>
      </c>
      <c r="I35" s="71"/>
    </row>
    <row r="36" spans="1:9" ht="15" customHeight="1" x14ac:dyDescent="0.25">
      <c r="A36" s="57">
        <f>A35+1</f>
        <v>6</v>
      </c>
      <c r="B36" s="57">
        <f>500/'[1]Timing Calculation'!$B$28</f>
        <v>1.3372956909361151</v>
      </c>
      <c r="C36" s="57">
        <v>144.36619718309856</v>
      </c>
      <c r="D36" s="57">
        <v>286.66566943668732</v>
      </c>
      <c r="E36" s="57">
        <v>68.968133380214084</v>
      </c>
      <c r="F36" s="57">
        <f>(1.2*$F$2*B36)</f>
        <v>0.11674591381872283</v>
      </c>
      <c r="G36" s="57">
        <f t="shared" si="2"/>
        <v>500.1167459138187</v>
      </c>
      <c r="H36" s="57">
        <f t="shared" si="3"/>
        <v>373.97618888888661</v>
      </c>
      <c r="I36" s="71"/>
    </row>
    <row r="37" spans="1:9" ht="15" customHeight="1" x14ac:dyDescent="0.25">
      <c r="A37" s="38">
        <v>6</v>
      </c>
      <c r="B37" s="38">
        <f>500/'[1]Timing Calculation'!$B$28</f>
        <v>1.3372956909361151</v>
      </c>
      <c r="C37" s="38">
        <f>1.2*$C$2*B37</f>
        <v>3.275304606240733E-2</v>
      </c>
      <c r="D37" s="38">
        <f>1.2*$D$2*B37</f>
        <v>3.275304606240733E-2</v>
      </c>
      <c r="E37" s="38">
        <f>1.2*$E$2*B37</f>
        <v>3.275304606240733E-2</v>
      </c>
      <c r="F37" s="38">
        <f>373.9761889*B37-SUM(C37:E37)</f>
        <v>500.0184867904934</v>
      </c>
      <c r="G37" s="38">
        <f t="shared" si="2"/>
        <v>500.11674592868064</v>
      </c>
      <c r="H37" s="38">
        <f t="shared" si="3"/>
        <v>373.97618890000001</v>
      </c>
      <c r="I37" s="71"/>
    </row>
    <row r="38" spans="1:9" ht="15" customHeight="1" x14ac:dyDescent="0.25">
      <c r="A38" s="57">
        <f>A37+1</f>
        <v>7</v>
      </c>
      <c r="B38" s="57">
        <f>500/'[1]Timing Calculation'!$B$28</f>
        <v>1.3372956909361151</v>
      </c>
      <c r="C38" s="57">
        <v>293.4560327198364</v>
      </c>
      <c r="D38" s="57">
        <v>66.351074478665026</v>
      </c>
      <c r="E38" s="57">
        <v>140.19289280149857</v>
      </c>
      <c r="F38" s="57">
        <f>(1.2*$F$2*B38)</f>
        <v>0.11674591381872283</v>
      </c>
      <c r="G38" s="57">
        <f t="shared" si="2"/>
        <v>500.1167459138187</v>
      </c>
      <c r="H38" s="57">
        <f t="shared" si="3"/>
        <v>373.97618888888661</v>
      </c>
      <c r="I38" s="71"/>
    </row>
    <row r="39" spans="1:9" ht="15" customHeight="1" x14ac:dyDescent="0.25">
      <c r="A39" s="38">
        <v>7</v>
      </c>
      <c r="B39" s="38">
        <f>500/'[1]Timing Calculation'!$B$28</f>
        <v>1.3372956909361151</v>
      </c>
      <c r="C39" s="38">
        <f>1.2*$C$2*B39</f>
        <v>3.275304606240733E-2</v>
      </c>
      <c r="D39" s="38">
        <f>1.2*$D$2*B39</f>
        <v>3.275304606240733E-2</v>
      </c>
      <c r="E39" s="38">
        <f>1.2*$E$2*B39</f>
        <v>3.275304606240733E-2</v>
      </c>
      <c r="F39" s="38">
        <f>373.9761889*B39-SUM(C39:E39)</f>
        <v>500.0184867904934</v>
      </c>
      <c r="G39" s="38">
        <f t="shared" si="2"/>
        <v>500.11674592868064</v>
      </c>
      <c r="H39" s="38">
        <f t="shared" si="3"/>
        <v>373.97618890000001</v>
      </c>
      <c r="I39" s="71"/>
    </row>
    <row r="40" spans="1:9" ht="15" customHeight="1" x14ac:dyDescent="0.25">
      <c r="A40" s="57">
        <f>A39+1</f>
        <v>8</v>
      </c>
      <c r="B40" s="57">
        <f>500/'[1]Timing Calculation'!$B$28</f>
        <v>1.3372956909361151</v>
      </c>
      <c r="C40" s="57">
        <v>293.4560327198364</v>
      </c>
      <c r="D40" s="57">
        <v>66.351074478665026</v>
      </c>
      <c r="E40" s="57">
        <v>140.19289280149857</v>
      </c>
      <c r="F40" s="57">
        <f>(1.2*$F$2*B40)</f>
        <v>0.11674591381872283</v>
      </c>
      <c r="G40" s="57">
        <f t="shared" si="2"/>
        <v>500.1167459138187</v>
      </c>
      <c r="H40" s="57">
        <f t="shared" si="3"/>
        <v>373.97618888888661</v>
      </c>
      <c r="I40" s="71"/>
    </row>
    <row r="41" spans="1:9" ht="15" customHeight="1" x14ac:dyDescent="0.25">
      <c r="A41" s="38">
        <v>8</v>
      </c>
      <c r="B41" s="38">
        <f>500/'[1]Timing Calculation'!$B$28</f>
        <v>1.3372956909361151</v>
      </c>
      <c r="C41" s="38">
        <f>1.2*$C$2*B41</f>
        <v>3.275304606240733E-2</v>
      </c>
      <c r="D41" s="38">
        <f>1.2*$D$2*B41</f>
        <v>3.275304606240733E-2</v>
      </c>
      <c r="E41" s="38">
        <f>1.2*$E$2*B41</f>
        <v>3.275304606240733E-2</v>
      </c>
      <c r="F41" s="38">
        <f>373.9761889*B41-SUM(C41:E41)</f>
        <v>500.0184867904934</v>
      </c>
      <c r="G41" s="38">
        <f t="shared" si="2"/>
        <v>500.11674592868064</v>
      </c>
      <c r="H41" s="38">
        <f t="shared" si="3"/>
        <v>373.97618890000001</v>
      </c>
      <c r="I41" s="71"/>
    </row>
    <row r="42" spans="1:9" ht="15" customHeight="1" x14ac:dyDescent="0.25">
      <c r="A42" s="57">
        <f>A41+1</f>
        <v>9</v>
      </c>
      <c r="B42" s="57">
        <f>500/'[1]Timing Calculation'!$B$28</f>
        <v>1.3372956909361151</v>
      </c>
      <c r="C42" s="57">
        <v>293.4560327198364</v>
      </c>
      <c r="D42" s="57">
        <v>66.351074478665026</v>
      </c>
      <c r="E42" s="57">
        <v>140.19289280149857</v>
      </c>
      <c r="F42" s="57">
        <f>(1.2*$F$2*B42)</f>
        <v>0.11674591381872283</v>
      </c>
      <c r="G42" s="57">
        <f t="shared" si="2"/>
        <v>500.1167459138187</v>
      </c>
      <c r="H42" s="57">
        <f t="shared" si="3"/>
        <v>373.97618888888661</v>
      </c>
      <c r="I42" s="71"/>
    </row>
    <row r="43" spans="1:9" ht="15.6" customHeight="1" thickBot="1" x14ac:dyDescent="0.3">
      <c r="A43" s="38">
        <v>9</v>
      </c>
      <c r="B43" s="38">
        <f>500/'[1]Timing Calculation'!$B$28</f>
        <v>1.3372956909361151</v>
      </c>
      <c r="C43" s="38">
        <f>1.2*$C$2*B43</f>
        <v>3.275304606240733E-2</v>
      </c>
      <c r="D43" s="38">
        <f>1.2*$D$2*B43</f>
        <v>3.275304606240733E-2</v>
      </c>
      <c r="E43" s="38">
        <f>1.2*$E$2*B43</f>
        <v>3.275304606240733E-2</v>
      </c>
      <c r="F43" s="38">
        <f>373.9761889*B43-SUM(C43:E43)</f>
        <v>500.0184867904934</v>
      </c>
      <c r="G43" s="38">
        <f t="shared" si="2"/>
        <v>500.11674592868064</v>
      </c>
      <c r="H43" s="38">
        <f t="shared" si="3"/>
        <v>373.97618890000001</v>
      </c>
      <c r="I43" s="72"/>
    </row>
    <row r="47" spans="1:9" ht="15.6" thickBot="1" x14ac:dyDescent="0.3">
      <c r="A47" s="57" t="s">
        <v>66</v>
      </c>
      <c r="B47" s="57" t="s">
        <v>14</v>
      </c>
      <c r="C47" s="57" t="s">
        <v>1</v>
      </c>
      <c r="D47" s="57" t="s">
        <v>48</v>
      </c>
      <c r="E47" s="57" t="s">
        <v>2</v>
      </c>
      <c r="F47" s="57" t="s">
        <v>15</v>
      </c>
      <c r="G47" s="57" t="s">
        <v>9</v>
      </c>
      <c r="H47" s="57" t="s">
        <v>8</v>
      </c>
    </row>
    <row r="48" spans="1:9" ht="15" customHeight="1" x14ac:dyDescent="0.25">
      <c r="A48" s="57">
        <v>1</v>
      </c>
      <c r="B48" s="57">
        <f>500/'[1]Timing Calculation'!$B$29</f>
        <v>2.6745913818722302</v>
      </c>
      <c r="C48" s="57">
        <v>144.36619718309856</v>
      </c>
      <c r="D48" s="57">
        <v>217.69753605647324</v>
      </c>
      <c r="E48" s="57">
        <v>137.93626676042817</v>
      </c>
      <c r="F48" s="57">
        <f>(1.2*$F$2*B48)</f>
        <v>0.23349182763744566</v>
      </c>
      <c r="G48" s="57">
        <f t="shared" ref="G48:G65" si="4">SUM(C48:F48)</f>
        <v>500.23349182763741</v>
      </c>
      <c r="H48" s="57">
        <f t="shared" ref="H48:H65" si="5">G48/B48</f>
        <v>187.03174444444329</v>
      </c>
      <c r="I48" s="70" t="s">
        <v>81</v>
      </c>
    </row>
    <row r="49" spans="1:9" ht="15" customHeight="1" x14ac:dyDescent="0.25">
      <c r="A49" s="38">
        <v>1</v>
      </c>
      <c r="B49" s="38">
        <f>500/'[1]Timing Calculation'!$B$29</f>
        <v>2.6745913818722302</v>
      </c>
      <c r="C49" s="38">
        <f>1.2*$C$2*B49</f>
        <v>6.550609212481466E-2</v>
      </c>
      <c r="D49" s="38">
        <f>1.2*$D$2*B49</f>
        <v>6.550609212481466E-2</v>
      </c>
      <c r="E49" s="38">
        <f>1.2*$E$2*B49</f>
        <v>6.550609212481466E-2</v>
      </c>
      <c r="F49" s="38">
        <f>187.0317444*B49-SUM(C49:E49)</f>
        <v>500.03697343239537</v>
      </c>
      <c r="G49" s="38">
        <f t="shared" si="4"/>
        <v>500.2334917087698</v>
      </c>
      <c r="H49" s="38">
        <f t="shared" si="5"/>
        <v>187.03174440000001</v>
      </c>
      <c r="I49" s="71"/>
    </row>
    <row r="50" spans="1:9" ht="15" customHeight="1" x14ac:dyDescent="0.25">
      <c r="A50" s="57">
        <f>A49+1</f>
        <v>2</v>
      </c>
      <c r="B50" s="57">
        <f>500/'[1]Timing Calculation'!$B$29</f>
        <v>2.6745913818722302</v>
      </c>
      <c r="C50" s="57">
        <v>144.36619718309856</v>
      </c>
      <c r="D50" s="57">
        <v>217.69753605647324</v>
      </c>
      <c r="E50" s="57">
        <v>137.93626676042817</v>
      </c>
      <c r="F50" s="57">
        <f>(1.2*$F$2*B50)</f>
        <v>0.23349182763744566</v>
      </c>
      <c r="G50" s="57">
        <f t="shared" si="4"/>
        <v>500.23349182763741</v>
      </c>
      <c r="H50" s="57">
        <f t="shared" si="5"/>
        <v>187.03174444444329</v>
      </c>
      <c r="I50" s="71"/>
    </row>
    <row r="51" spans="1:9" ht="15" customHeight="1" x14ac:dyDescent="0.25">
      <c r="A51" s="38">
        <v>2</v>
      </c>
      <c r="B51" s="38">
        <f>500/'[1]Timing Calculation'!$B$29</f>
        <v>2.6745913818722302</v>
      </c>
      <c r="C51" s="38">
        <f>1.2*$C$2*B51</f>
        <v>6.550609212481466E-2</v>
      </c>
      <c r="D51" s="38">
        <f>1.2*$D$2*B51</f>
        <v>6.550609212481466E-2</v>
      </c>
      <c r="E51" s="38">
        <f>1.2*$E$2*B51</f>
        <v>6.550609212481466E-2</v>
      </c>
      <c r="F51" s="38">
        <f>187.0317444*B51-SUM(C51:E51)</f>
        <v>500.03697343239537</v>
      </c>
      <c r="G51" s="38">
        <f t="shared" si="4"/>
        <v>500.2334917087698</v>
      </c>
      <c r="H51" s="38">
        <f t="shared" si="5"/>
        <v>187.03174440000001</v>
      </c>
      <c r="I51" s="71"/>
    </row>
    <row r="52" spans="1:9" ht="15" customHeight="1" x14ac:dyDescent="0.25">
      <c r="A52" s="57">
        <f>A51+1</f>
        <v>3</v>
      </c>
      <c r="B52" s="57">
        <f>500/'[1]Timing Calculation'!$B$29</f>
        <v>2.6745913818722302</v>
      </c>
      <c r="C52" s="57">
        <v>144.36619718309856</v>
      </c>
      <c r="D52" s="57">
        <v>217.69753605647324</v>
      </c>
      <c r="E52" s="57">
        <v>137.93626676042817</v>
      </c>
      <c r="F52" s="57">
        <f>(1.2*$F$2*B52)</f>
        <v>0.23349182763744566</v>
      </c>
      <c r="G52" s="57">
        <f t="shared" si="4"/>
        <v>500.23349182763741</v>
      </c>
      <c r="H52" s="57">
        <f t="shared" si="5"/>
        <v>187.03174444444329</v>
      </c>
      <c r="I52" s="71"/>
    </row>
    <row r="53" spans="1:9" ht="15" customHeight="1" x14ac:dyDescent="0.25">
      <c r="A53" s="38">
        <v>3</v>
      </c>
      <c r="B53" s="38">
        <f>500/'[1]Timing Calculation'!$B$29</f>
        <v>2.6745913818722302</v>
      </c>
      <c r="C53" s="38">
        <f>1.2*$C$2*B53</f>
        <v>6.550609212481466E-2</v>
      </c>
      <c r="D53" s="38">
        <f>1.2*$D$2*B53</f>
        <v>6.550609212481466E-2</v>
      </c>
      <c r="E53" s="38">
        <f>1.2*$E$2*B53</f>
        <v>6.550609212481466E-2</v>
      </c>
      <c r="F53" s="38">
        <f>187.0317444*B53-SUM(C53:E53)</f>
        <v>500.03697343239537</v>
      </c>
      <c r="G53" s="38">
        <f t="shared" si="4"/>
        <v>500.2334917087698</v>
      </c>
      <c r="H53" s="38">
        <f t="shared" si="5"/>
        <v>187.03174440000001</v>
      </c>
      <c r="I53" s="71"/>
    </row>
    <row r="54" spans="1:9" ht="15" customHeight="1" x14ac:dyDescent="0.25">
      <c r="A54" s="57">
        <f>A53+1</f>
        <v>4</v>
      </c>
      <c r="B54" s="57">
        <f>500/'[1]Timing Calculation'!$B$29</f>
        <v>2.6745913818722302</v>
      </c>
      <c r="C54" s="57">
        <v>144.36619718309856</v>
      </c>
      <c r="D54" s="57">
        <v>286.66566943668732</v>
      </c>
      <c r="E54" s="57">
        <v>68.968133380214084</v>
      </c>
      <c r="F54" s="57">
        <f>(1.2*$F$2*B54)</f>
        <v>0.23349182763744566</v>
      </c>
      <c r="G54" s="57">
        <f t="shared" si="4"/>
        <v>500.23349182763747</v>
      </c>
      <c r="H54" s="57">
        <f t="shared" si="5"/>
        <v>187.03174444444332</v>
      </c>
      <c r="I54" s="71"/>
    </row>
    <row r="55" spans="1:9" ht="15" customHeight="1" x14ac:dyDescent="0.25">
      <c r="A55" s="38">
        <v>4</v>
      </c>
      <c r="B55" s="38">
        <f>500/'[1]Timing Calculation'!$B$29</f>
        <v>2.6745913818722302</v>
      </c>
      <c r="C55" s="38">
        <f>1.2*$C$2*B55</f>
        <v>6.550609212481466E-2</v>
      </c>
      <c r="D55" s="38">
        <f>1.2*$D$2*B55</f>
        <v>6.550609212481466E-2</v>
      </c>
      <c r="E55" s="38">
        <f>1.2*$E$2*B55</f>
        <v>6.550609212481466E-2</v>
      </c>
      <c r="F55" s="38">
        <f>187.0317444*B55-SUM(C55:E55)</f>
        <v>500.03697343239537</v>
      </c>
      <c r="G55" s="38">
        <f t="shared" si="4"/>
        <v>500.2334917087698</v>
      </c>
      <c r="H55" s="38">
        <f t="shared" si="5"/>
        <v>187.03174440000001</v>
      </c>
      <c r="I55" s="71"/>
    </row>
    <row r="56" spans="1:9" ht="15" customHeight="1" x14ac:dyDescent="0.25">
      <c r="A56" s="57">
        <f>A55+1</f>
        <v>5</v>
      </c>
      <c r="B56" s="57">
        <f>500/'[1]Timing Calculation'!$B$29</f>
        <v>2.6745913818722302</v>
      </c>
      <c r="C56" s="57">
        <v>144.36619718309856</v>
      </c>
      <c r="D56" s="57">
        <v>286.66566943668732</v>
      </c>
      <c r="E56" s="57">
        <v>68.968133380214084</v>
      </c>
      <c r="F56" s="57">
        <f>(1.2*$F$2*B56)</f>
        <v>0.23349182763744566</v>
      </c>
      <c r="G56" s="57">
        <f t="shared" si="4"/>
        <v>500.23349182763747</v>
      </c>
      <c r="H56" s="57">
        <f t="shared" si="5"/>
        <v>187.03174444444332</v>
      </c>
      <c r="I56" s="71"/>
    </row>
    <row r="57" spans="1:9" ht="15" customHeight="1" x14ac:dyDescent="0.25">
      <c r="A57" s="38">
        <v>5</v>
      </c>
      <c r="B57" s="38">
        <f>500/'[1]Timing Calculation'!$B$29</f>
        <v>2.6745913818722302</v>
      </c>
      <c r="C57" s="38">
        <f>1.2*$C$2*B57</f>
        <v>6.550609212481466E-2</v>
      </c>
      <c r="D57" s="38">
        <f>1.2*$D$2*B57</f>
        <v>6.550609212481466E-2</v>
      </c>
      <c r="E57" s="38">
        <f>1.2*$E$2*B57</f>
        <v>6.550609212481466E-2</v>
      </c>
      <c r="F57" s="38">
        <f>187.0317444*B57-SUM(C57:E57)</f>
        <v>500.03697343239537</v>
      </c>
      <c r="G57" s="38">
        <f t="shared" si="4"/>
        <v>500.2334917087698</v>
      </c>
      <c r="H57" s="38">
        <f t="shared" si="5"/>
        <v>187.03174440000001</v>
      </c>
      <c r="I57" s="71"/>
    </row>
    <row r="58" spans="1:9" ht="15" customHeight="1" x14ac:dyDescent="0.25">
      <c r="A58" s="57">
        <f>A57+1</f>
        <v>6</v>
      </c>
      <c r="B58" s="57">
        <f>500/'[1]Timing Calculation'!$B$29</f>
        <v>2.6745913818722302</v>
      </c>
      <c r="C58" s="57">
        <v>144.36619718309856</v>
      </c>
      <c r="D58" s="57">
        <v>286.66566943668732</v>
      </c>
      <c r="E58" s="57">
        <v>68.968133380214084</v>
      </c>
      <c r="F58" s="57">
        <f>(1.2*$F$2*B58)</f>
        <v>0.23349182763744566</v>
      </c>
      <c r="G58" s="57">
        <f t="shared" si="4"/>
        <v>500.23349182763747</v>
      </c>
      <c r="H58" s="57">
        <f t="shared" si="5"/>
        <v>187.03174444444332</v>
      </c>
      <c r="I58" s="71"/>
    </row>
    <row r="59" spans="1:9" ht="15" customHeight="1" x14ac:dyDescent="0.25">
      <c r="A59" s="38">
        <v>6</v>
      </c>
      <c r="B59" s="38">
        <f>500/'[1]Timing Calculation'!$B$29</f>
        <v>2.6745913818722302</v>
      </c>
      <c r="C59" s="38">
        <f>1.2*$C$2*B59</f>
        <v>6.550609212481466E-2</v>
      </c>
      <c r="D59" s="38">
        <f>1.2*$D$2*B59</f>
        <v>6.550609212481466E-2</v>
      </c>
      <c r="E59" s="38">
        <f>1.2*$E$2*B59</f>
        <v>6.550609212481466E-2</v>
      </c>
      <c r="F59" s="38">
        <f>187.0317444*B59-SUM(C59:E59)</f>
        <v>500.03697343239537</v>
      </c>
      <c r="G59" s="38">
        <f t="shared" si="4"/>
        <v>500.2334917087698</v>
      </c>
      <c r="H59" s="38">
        <f t="shared" si="5"/>
        <v>187.03174440000001</v>
      </c>
      <c r="I59" s="71"/>
    </row>
    <row r="60" spans="1:9" ht="15" customHeight="1" x14ac:dyDescent="0.25">
      <c r="A60" s="57">
        <f>A59+1</f>
        <v>7</v>
      </c>
      <c r="B60" s="57">
        <f>500/'[1]Timing Calculation'!$B$29</f>
        <v>2.6745913818722302</v>
      </c>
      <c r="C60" s="57">
        <v>293.4560327198364</v>
      </c>
      <c r="D60" s="57">
        <v>66.351074478665026</v>
      </c>
      <c r="E60" s="57">
        <v>140.19289280149857</v>
      </c>
      <c r="F60" s="57">
        <f>(1.2*$F$2*B60)</f>
        <v>0.23349182763744566</v>
      </c>
      <c r="G60" s="57">
        <f t="shared" si="4"/>
        <v>500.23349182763747</v>
      </c>
      <c r="H60" s="57">
        <f t="shared" si="5"/>
        <v>187.03174444444332</v>
      </c>
      <c r="I60" s="71"/>
    </row>
    <row r="61" spans="1:9" ht="15" customHeight="1" x14ac:dyDescent="0.25">
      <c r="A61" s="38">
        <v>7</v>
      </c>
      <c r="B61" s="38">
        <f>500/'[1]Timing Calculation'!$B$29</f>
        <v>2.6745913818722302</v>
      </c>
      <c r="C61" s="38">
        <f>1.2*$C$2*B61</f>
        <v>6.550609212481466E-2</v>
      </c>
      <c r="D61" s="38">
        <f>1.2*$D$2*B61</f>
        <v>6.550609212481466E-2</v>
      </c>
      <c r="E61" s="38">
        <f>1.2*$E$2*B61</f>
        <v>6.550609212481466E-2</v>
      </c>
      <c r="F61" s="38">
        <f>187.0317444*B61-SUM(C61:E61)</f>
        <v>500.03697343239537</v>
      </c>
      <c r="G61" s="38">
        <f t="shared" si="4"/>
        <v>500.2334917087698</v>
      </c>
      <c r="H61" s="38">
        <f t="shared" si="5"/>
        <v>187.03174440000001</v>
      </c>
      <c r="I61" s="71"/>
    </row>
    <row r="62" spans="1:9" ht="15" customHeight="1" x14ac:dyDescent="0.25">
      <c r="A62" s="57">
        <f>A61+1</f>
        <v>8</v>
      </c>
      <c r="B62" s="57">
        <f>500/'[1]Timing Calculation'!$B$29</f>
        <v>2.6745913818722302</v>
      </c>
      <c r="C62" s="57">
        <v>293.4560327198364</v>
      </c>
      <c r="D62" s="57">
        <v>66.351074478665026</v>
      </c>
      <c r="E62" s="57">
        <v>140.19289280149857</v>
      </c>
      <c r="F62" s="57">
        <f>(1.2*$F$2*B62)</f>
        <v>0.23349182763744566</v>
      </c>
      <c r="G62" s="57">
        <f t="shared" si="4"/>
        <v>500.23349182763747</v>
      </c>
      <c r="H62" s="57">
        <f t="shared" si="5"/>
        <v>187.03174444444332</v>
      </c>
      <c r="I62" s="71"/>
    </row>
    <row r="63" spans="1:9" ht="15" customHeight="1" x14ac:dyDescent="0.25">
      <c r="A63" s="38">
        <v>8</v>
      </c>
      <c r="B63" s="38">
        <f>500/'[1]Timing Calculation'!$B$29</f>
        <v>2.6745913818722302</v>
      </c>
      <c r="C63" s="38">
        <f>1.2*$C$2*B63</f>
        <v>6.550609212481466E-2</v>
      </c>
      <c r="D63" s="38">
        <f>1.2*$D$2*B63</f>
        <v>6.550609212481466E-2</v>
      </c>
      <c r="E63" s="38">
        <f>1.2*$E$2*B63</f>
        <v>6.550609212481466E-2</v>
      </c>
      <c r="F63" s="38">
        <f>187.0317444*B63-SUM(C63:E63)</f>
        <v>500.03697343239537</v>
      </c>
      <c r="G63" s="38">
        <f t="shared" si="4"/>
        <v>500.2334917087698</v>
      </c>
      <c r="H63" s="38">
        <f t="shared" si="5"/>
        <v>187.03174440000001</v>
      </c>
      <c r="I63" s="71"/>
    </row>
    <row r="64" spans="1:9" ht="15" customHeight="1" x14ac:dyDescent="0.25">
      <c r="A64" s="57">
        <f>A63+1</f>
        <v>9</v>
      </c>
      <c r="B64" s="57">
        <f>500/'[1]Timing Calculation'!$B$29</f>
        <v>2.6745913818722302</v>
      </c>
      <c r="C64" s="57">
        <v>293.4560327198364</v>
      </c>
      <c r="D64" s="57">
        <v>66.351074478665026</v>
      </c>
      <c r="E64" s="57">
        <v>140.19289280149857</v>
      </c>
      <c r="F64" s="57">
        <f>(1.2*$F$2*B64)</f>
        <v>0.23349182763744566</v>
      </c>
      <c r="G64" s="57">
        <f t="shared" si="4"/>
        <v>500.23349182763747</v>
      </c>
      <c r="H64" s="57">
        <f t="shared" si="5"/>
        <v>187.03174444444332</v>
      </c>
      <c r="I64" s="71"/>
    </row>
    <row r="65" spans="1:9" ht="15.6" customHeight="1" thickBot="1" x14ac:dyDescent="0.3">
      <c r="A65" s="38">
        <v>9</v>
      </c>
      <c r="B65" s="38">
        <f>500/'[1]Timing Calculation'!$B$29</f>
        <v>2.6745913818722302</v>
      </c>
      <c r="C65" s="38">
        <f>1.2*$C$2*B65</f>
        <v>6.550609212481466E-2</v>
      </c>
      <c r="D65" s="38">
        <f>1.2*$D$2*B65</f>
        <v>6.550609212481466E-2</v>
      </c>
      <c r="E65" s="38">
        <f>1.2*$E$2*B65</f>
        <v>6.550609212481466E-2</v>
      </c>
      <c r="F65" s="38">
        <f>187.0317444*B65-SUM(C65:E65)</f>
        <v>500.03697343239537</v>
      </c>
      <c r="G65" s="38">
        <f t="shared" si="4"/>
        <v>500.2334917087698</v>
      </c>
      <c r="H65" s="38">
        <f t="shared" si="5"/>
        <v>187.03174440000001</v>
      </c>
      <c r="I65" s="72"/>
    </row>
    <row r="69" spans="1:9" ht="15.6" thickBot="1" x14ac:dyDescent="0.3">
      <c r="A69" s="57" t="s">
        <v>66</v>
      </c>
      <c r="B69" s="57" t="s">
        <v>14</v>
      </c>
      <c r="C69" s="57" t="s">
        <v>1</v>
      </c>
      <c r="D69" s="57" t="s">
        <v>48</v>
      </c>
      <c r="E69" s="57" t="s">
        <v>2</v>
      </c>
      <c r="F69" s="57" t="s">
        <v>15</v>
      </c>
      <c r="G69" s="57" t="s">
        <v>9</v>
      </c>
      <c r="H69" s="57" t="s">
        <v>8</v>
      </c>
    </row>
    <row r="70" spans="1:9" ht="15" customHeight="1" x14ac:dyDescent="0.25">
      <c r="A70" s="57">
        <v>1</v>
      </c>
      <c r="B70" s="57">
        <f>500/'[1]Timing Calculation'!$B$30</f>
        <v>4.0118870728083449</v>
      </c>
      <c r="C70" s="57">
        <v>144.36619718309856</v>
      </c>
      <c r="D70" s="57">
        <v>217.69753605647324</v>
      </c>
      <c r="E70" s="57">
        <v>137.93626676042817</v>
      </c>
      <c r="F70" s="57">
        <f>(1.2*$F$2*B70)</f>
        <v>0.35023774145616848</v>
      </c>
      <c r="G70" s="57">
        <f t="shared" ref="G70:G87" si="6">SUM(C70:F70)</f>
        <v>500.35023774145611</v>
      </c>
      <c r="H70" s="57">
        <f t="shared" ref="H70:H87" si="7">G70/B70</f>
        <v>124.71692962962886</v>
      </c>
      <c r="I70" s="70" t="s">
        <v>82</v>
      </c>
    </row>
    <row r="71" spans="1:9" ht="15" customHeight="1" x14ac:dyDescent="0.25">
      <c r="A71" s="38">
        <v>1</v>
      </c>
      <c r="B71" s="38">
        <f>500/'[1]Timing Calculation'!$B$30</f>
        <v>4.0118870728083449</v>
      </c>
      <c r="C71" s="38">
        <f>1.2*$C$2*B71</f>
        <v>9.8259138187221984E-2</v>
      </c>
      <c r="D71" s="38">
        <f>1.2*$D$2*B71</f>
        <v>9.8259138187221984E-2</v>
      </c>
      <c r="E71" s="38">
        <f>1.2*$E$2*B71</f>
        <v>9.8259138187221984E-2</v>
      </c>
      <c r="F71" s="38">
        <f>124.7169296*B71-SUM(C71:E71)</f>
        <v>500.05546020802677</v>
      </c>
      <c r="G71" s="38">
        <f t="shared" si="6"/>
        <v>500.35023762258845</v>
      </c>
      <c r="H71" s="38">
        <f t="shared" si="7"/>
        <v>124.7169296</v>
      </c>
      <c r="I71" s="71"/>
    </row>
    <row r="72" spans="1:9" ht="15" customHeight="1" x14ac:dyDescent="0.25">
      <c r="A72" s="57">
        <f>A71+1</f>
        <v>2</v>
      </c>
      <c r="B72" s="57">
        <f>500/'[1]Timing Calculation'!$B$30</f>
        <v>4.0118870728083449</v>
      </c>
      <c r="C72" s="57">
        <v>144.36619718309856</v>
      </c>
      <c r="D72" s="57">
        <v>217.69753605647324</v>
      </c>
      <c r="E72" s="57">
        <v>137.93626676042817</v>
      </c>
      <c r="F72" s="57">
        <f>(1.2*$F$2*B72)</f>
        <v>0.35023774145616848</v>
      </c>
      <c r="G72" s="57">
        <f t="shared" si="6"/>
        <v>500.35023774145611</v>
      </c>
      <c r="H72" s="57">
        <f t="shared" si="7"/>
        <v>124.71692962962886</v>
      </c>
      <c r="I72" s="71"/>
    </row>
    <row r="73" spans="1:9" ht="15" customHeight="1" x14ac:dyDescent="0.25">
      <c r="A73" s="38">
        <v>2</v>
      </c>
      <c r="B73" s="38">
        <f>500/'[1]Timing Calculation'!$B$30</f>
        <v>4.0118870728083449</v>
      </c>
      <c r="C73" s="38">
        <f>1.2*$C$2*B73</f>
        <v>9.8259138187221984E-2</v>
      </c>
      <c r="D73" s="38">
        <f>1.2*$D$2*B73</f>
        <v>9.8259138187221984E-2</v>
      </c>
      <c r="E73" s="38">
        <f>1.2*$E$2*B73</f>
        <v>9.8259138187221984E-2</v>
      </c>
      <c r="F73" s="38">
        <f>124.7169296*B73-SUM(C73:E73)</f>
        <v>500.05546020802677</v>
      </c>
      <c r="G73" s="38">
        <f t="shared" si="6"/>
        <v>500.35023762258845</v>
      </c>
      <c r="H73" s="38">
        <f t="shared" si="7"/>
        <v>124.7169296</v>
      </c>
      <c r="I73" s="71"/>
    </row>
    <row r="74" spans="1:9" ht="15" customHeight="1" x14ac:dyDescent="0.25">
      <c r="A74" s="57">
        <f>A73+1</f>
        <v>3</v>
      </c>
      <c r="B74" s="57">
        <f>500/'[1]Timing Calculation'!$B$30</f>
        <v>4.0118870728083449</v>
      </c>
      <c r="C74" s="57">
        <v>144.36619718309856</v>
      </c>
      <c r="D74" s="57">
        <v>217.69753605647324</v>
      </c>
      <c r="E74" s="57">
        <v>137.93626676042817</v>
      </c>
      <c r="F74" s="57">
        <f>(1.2*$F$2*B74)</f>
        <v>0.35023774145616848</v>
      </c>
      <c r="G74" s="57">
        <f t="shared" si="6"/>
        <v>500.35023774145611</v>
      </c>
      <c r="H74" s="57">
        <f t="shared" si="7"/>
        <v>124.71692962962886</v>
      </c>
      <c r="I74" s="71"/>
    </row>
    <row r="75" spans="1:9" ht="15" customHeight="1" x14ac:dyDescent="0.25">
      <c r="A75" s="38">
        <v>3</v>
      </c>
      <c r="B75" s="38">
        <f>500/'[1]Timing Calculation'!$B$30</f>
        <v>4.0118870728083449</v>
      </c>
      <c r="C75" s="38">
        <f>1.2*$C$2*B75</f>
        <v>9.8259138187221984E-2</v>
      </c>
      <c r="D75" s="38">
        <f>1.2*$D$2*B75</f>
        <v>9.8259138187221984E-2</v>
      </c>
      <c r="E75" s="38">
        <f>1.2*$E$2*B75</f>
        <v>9.8259138187221984E-2</v>
      </c>
      <c r="F75" s="38">
        <f>124.7169296*B75-SUM(C75:E75)</f>
        <v>500.05546020802677</v>
      </c>
      <c r="G75" s="38">
        <f t="shared" si="6"/>
        <v>500.35023762258845</v>
      </c>
      <c r="H75" s="38">
        <f t="shared" si="7"/>
        <v>124.7169296</v>
      </c>
      <c r="I75" s="71"/>
    </row>
    <row r="76" spans="1:9" ht="15" customHeight="1" x14ac:dyDescent="0.25">
      <c r="A76" s="57">
        <f>A75+1</f>
        <v>4</v>
      </c>
      <c r="B76" s="57">
        <f>500/'[1]Timing Calculation'!$B$30</f>
        <v>4.0118870728083449</v>
      </c>
      <c r="C76" s="57">
        <v>144.36619718309856</v>
      </c>
      <c r="D76" s="57">
        <v>286.66566943668732</v>
      </c>
      <c r="E76" s="57">
        <v>68.968133380214084</v>
      </c>
      <c r="F76" s="57">
        <f>(1.2*$F$2*B76)</f>
        <v>0.35023774145616848</v>
      </c>
      <c r="G76" s="57">
        <f t="shared" si="6"/>
        <v>500.35023774145617</v>
      </c>
      <c r="H76" s="57">
        <f t="shared" si="7"/>
        <v>124.71692962962888</v>
      </c>
      <c r="I76" s="71"/>
    </row>
    <row r="77" spans="1:9" ht="15" customHeight="1" x14ac:dyDescent="0.25">
      <c r="A77" s="38">
        <v>4</v>
      </c>
      <c r="B77" s="38">
        <f>500/'[1]Timing Calculation'!$B$30</f>
        <v>4.0118870728083449</v>
      </c>
      <c r="C77" s="38">
        <f>1.2*$C$2*B77</f>
        <v>9.8259138187221984E-2</v>
      </c>
      <c r="D77" s="38">
        <f>1.2*$D$2*B77</f>
        <v>9.8259138187221984E-2</v>
      </c>
      <c r="E77" s="38">
        <f>1.2*$E$2*B77</f>
        <v>9.8259138187221984E-2</v>
      </c>
      <c r="F77" s="38">
        <f>124.7169296*B77-SUM(C77:E77)</f>
        <v>500.05546020802677</v>
      </c>
      <c r="G77" s="38">
        <f t="shared" si="6"/>
        <v>500.35023762258845</v>
      </c>
      <c r="H77" s="38">
        <f t="shared" si="7"/>
        <v>124.7169296</v>
      </c>
      <c r="I77" s="71"/>
    </row>
    <row r="78" spans="1:9" ht="15" customHeight="1" x14ac:dyDescent="0.25">
      <c r="A78" s="57">
        <f>A77+1</f>
        <v>5</v>
      </c>
      <c r="B78" s="57">
        <f>500/'[1]Timing Calculation'!$B$30</f>
        <v>4.0118870728083449</v>
      </c>
      <c r="C78" s="57">
        <v>144.36619718309856</v>
      </c>
      <c r="D78" s="57">
        <v>286.66566943668732</v>
      </c>
      <c r="E78" s="57">
        <v>68.968133380214084</v>
      </c>
      <c r="F78" s="57">
        <f>(1.2*$F$2*B78)</f>
        <v>0.35023774145616848</v>
      </c>
      <c r="G78" s="57">
        <f t="shared" si="6"/>
        <v>500.35023774145617</v>
      </c>
      <c r="H78" s="57">
        <f t="shared" si="7"/>
        <v>124.71692962962888</v>
      </c>
      <c r="I78" s="71"/>
    </row>
    <row r="79" spans="1:9" ht="15" customHeight="1" x14ac:dyDescent="0.25">
      <c r="A79" s="38">
        <v>5</v>
      </c>
      <c r="B79" s="38">
        <f>500/'[1]Timing Calculation'!$B$30</f>
        <v>4.0118870728083449</v>
      </c>
      <c r="C79" s="38">
        <f>1.2*$C$2*B79</f>
        <v>9.8259138187221984E-2</v>
      </c>
      <c r="D79" s="38">
        <f>1.2*$D$2*B79</f>
        <v>9.8259138187221984E-2</v>
      </c>
      <c r="E79" s="38">
        <f>1.2*$E$2*B79</f>
        <v>9.8259138187221984E-2</v>
      </c>
      <c r="F79" s="38">
        <f>124.7169296*B79-SUM(C79:E79)</f>
        <v>500.05546020802677</v>
      </c>
      <c r="G79" s="38">
        <f t="shared" si="6"/>
        <v>500.35023762258845</v>
      </c>
      <c r="H79" s="38">
        <f t="shared" si="7"/>
        <v>124.7169296</v>
      </c>
      <c r="I79" s="71"/>
    </row>
    <row r="80" spans="1:9" ht="15" customHeight="1" x14ac:dyDescent="0.25">
      <c r="A80" s="57">
        <f>A79+1</f>
        <v>6</v>
      </c>
      <c r="B80" s="57">
        <f>500/'[1]Timing Calculation'!$B$30</f>
        <v>4.0118870728083449</v>
      </c>
      <c r="C80" s="57">
        <v>144.36619718309856</v>
      </c>
      <c r="D80" s="57">
        <v>286.66566943668732</v>
      </c>
      <c r="E80" s="57">
        <v>68.968133380214084</v>
      </c>
      <c r="F80" s="57">
        <f>(1.2*$F$2*B80)</f>
        <v>0.35023774145616848</v>
      </c>
      <c r="G80" s="57">
        <f t="shared" si="6"/>
        <v>500.35023774145617</v>
      </c>
      <c r="H80" s="57">
        <f t="shared" si="7"/>
        <v>124.71692962962888</v>
      </c>
      <c r="I80" s="71"/>
    </row>
    <row r="81" spans="1:9" ht="15" customHeight="1" x14ac:dyDescent="0.25">
      <c r="A81" s="38">
        <v>6</v>
      </c>
      <c r="B81" s="38">
        <f>500/'[1]Timing Calculation'!$B$30</f>
        <v>4.0118870728083449</v>
      </c>
      <c r="C81" s="38">
        <f>1.2*$C$2*B81</f>
        <v>9.8259138187221984E-2</v>
      </c>
      <c r="D81" s="38">
        <f>1.2*$D$2*B81</f>
        <v>9.8259138187221984E-2</v>
      </c>
      <c r="E81" s="38">
        <f>1.2*$E$2*B81</f>
        <v>9.8259138187221984E-2</v>
      </c>
      <c r="F81" s="38">
        <f>124.7169296*B81-SUM(C81:E81)</f>
        <v>500.05546020802677</v>
      </c>
      <c r="G81" s="38">
        <f t="shared" si="6"/>
        <v>500.35023762258845</v>
      </c>
      <c r="H81" s="38">
        <f t="shared" si="7"/>
        <v>124.7169296</v>
      </c>
      <c r="I81" s="71"/>
    </row>
    <row r="82" spans="1:9" ht="15" customHeight="1" x14ac:dyDescent="0.25">
      <c r="A82" s="57">
        <f>A81+1</f>
        <v>7</v>
      </c>
      <c r="B82" s="57">
        <f>500/'[1]Timing Calculation'!$B$30</f>
        <v>4.0118870728083449</v>
      </c>
      <c r="C82" s="57">
        <v>293.4560327198364</v>
      </c>
      <c r="D82" s="57">
        <v>66.351074478665026</v>
      </c>
      <c r="E82" s="57">
        <v>140.19289280149857</v>
      </c>
      <c r="F82" s="57">
        <f>(1.2*$F$2*B82)</f>
        <v>0.35023774145616848</v>
      </c>
      <c r="G82" s="57">
        <f t="shared" si="6"/>
        <v>500.35023774145617</v>
      </c>
      <c r="H82" s="57">
        <f t="shared" si="7"/>
        <v>124.71692962962888</v>
      </c>
      <c r="I82" s="71"/>
    </row>
    <row r="83" spans="1:9" ht="15" customHeight="1" x14ac:dyDescent="0.25">
      <c r="A83" s="38">
        <v>7</v>
      </c>
      <c r="B83" s="38">
        <f>500/'[1]Timing Calculation'!$B$30</f>
        <v>4.0118870728083449</v>
      </c>
      <c r="C83" s="38">
        <f>1.2*$C$2*B83</f>
        <v>9.8259138187221984E-2</v>
      </c>
      <c r="D83" s="38">
        <f>1.2*$D$2*B83</f>
        <v>9.8259138187221984E-2</v>
      </c>
      <c r="E83" s="38">
        <f>1.2*$E$2*B83</f>
        <v>9.8259138187221984E-2</v>
      </c>
      <c r="F83" s="38">
        <f>124.7169296*B83-SUM(C83:E83)</f>
        <v>500.05546020802677</v>
      </c>
      <c r="G83" s="38">
        <f t="shared" si="6"/>
        <v>500.35023762258845</v>
      </c>
      <c r="H83" s="38">
        <f t="shared" si="7"/>
        <v>124.7169296</v>
      </c>
      <c r="I83" s="71"/>
    </row>
    <row r="84" spans="1:9" ht="15" customHeight="1" x14ac:dyDescent="0.25">
      <c r="A84" s="57">
        <f>A83+1</f>
        <v>8</v>
      </c>
      <c r="B84" s="57">
        <f>500/'[1]Timing Calculation'!$B$30</f>
        <v>4.0118870728083449</v>
      </c>
      <c r="C84" s="57">
        <v>293.4560327198364</v>
      </c>
      <c r="D84" s="57">
        <v>66.351074478665026</v>
      </c>
      <c r="E84" s="57">
        <v>140.19289280149857</v>
      </c>
      <c r="F84" s="57">
        <f>(1.2*$F$2*B84)</f>
        <v>0.35023774145616848</v>
      </c>
      <c r="G84" s="57">
        <f t="shared" si="6"/>
        <v>500.35023774145617</v>
      </c>
      <c r="H84" s="57">
        <f t="shared" si="7"/>
        <v>124.71692962962888</v>
      </c>
      <c r="I84" s="71"/>
    </row>
    <row r="85" spans="1:9" ht="15" customHeight="1" x14ac:dyDescent="0.25">
      <c r="A85" s="38">
        <v>8</v>
      </c>
      <c r="B85" s="38">
        <f>500/'[1]Timing Calculation'!$B$30</f>
        <v>4.0118870728083449</v>
      </c>
      <c r="C85" s="38">
        <f>1.2*$C$2*B85</f>
        <v>9.8259138187221984E-2</v>
      </c>
      <c r="D85" s="38">
        <f>1.2*$D$2*B85</f>
        <v>9.8259138187221984E-2</v>
      </c>
      <c r="E85" s="38">
        <f>1.2*$E$2*B85</f>
        <v>9.8259138187221984E-2</v>
      </c>
      <c r="F85" s="38">
        <f>124.7169296*B85-SUM(C85:E85)</f>
        <v>500.05546020802677</v>
      </c>
      <c r="G85" s="38">
        <f t="shared" si="6"/>
        <v>500.35023762258845</v>
      </c>
      <c r="H85" s="38">
        <f t="shared" si="7"/>
        <v>124.7169296</v>
      </c>
      <c r="I85" s="71"/>
    </row>
    <row r="86" spans="1:9" ht="15" customHeight="1" x14ac:dyDescent="0.25">
      <c r="A86" s="57">
        <f>A85+1</f>
        <v>9</v>
      </c>
      <c r="B86" s="57">
        <f>500/'[1]Timing Calculation'!$B$30</f>
        <v>4.0118870728083449</v>
      </c>
      <c r="C86" s="57">
        <v>293.4560327198364</v>
      </c>
      <c r="D86" s="57">
        <v>66.351074478665026</v>
      </c>
      <c r="E86" s="57">
        <v>140.19289280149857</v>
      </c>
      <c r="F86" s="57">
        <f>(1.2*$F$2*B86)</f>
        <v>0.35023774145616848</v>
      </c>
      <c r="G86" s="57">
        <f t="shared" si="6"/>
        <v>500.35023774145617</v>
      </c>
      <c r="H86" s="57">
        <f t="shared" si="7"/>
        <v>124.71692962962888</v>
      </c>
      <c r="I86" s="71"/>
    </row>
    <row r="87" spans="1:9" ht="15.6" customHeight="1" thickBot="1" x14ac:dyDescent="0.3">
      <c r="A87" s="38">
        <v>9</v>
      </c>
      <c r="B87" s="38">
        <f>500/'[1]Timing Calculation'!$B$30</f>
        <v>4.0118870728083449</v>
      </c>
      <c r="C87" s="38">
        <f>1.2*$C$2*B87</f>
        <v>9.8259138187221984E-2</v>
      </c>
      <c r="D87" s="38">
        <f>1.2*$D$2*B87</f>
        <v>9.8259138187221984E-2</v>
      </c>
      <c r="E87" s="38">
        <f>1.2*$E$2*B87</f>
        <v>9.8259138187221984E-2</v>
      </c>
      <c r="F87" s="38">
        <f>124.7169296*B87-SUM(C87:E87)</f>
        <v>500.05546020802677</v>
      </c>
      <c r="G87" s="38">
        <f t="shared" si="6"/>
        <v>500.35023762258845</v>
      </c>
      <c r="H87" s="38">
        <f t="shared" si="7"/>
        <v>124.7169296</v>
      </c>
      <c r="I87" s="72"/>
    </row>
    <row r="91" spans="1:9" ht="15.6" thickBot="1" x14ac:dyDescent="0.3">
      <c r="A91" s="57" t="s">
        <v>66</v>
      </c>
      <c r="B91" s="57" t="s">
        <v>14</v>
      </c>
      <c r="C91" s="57" t="s">
        <v>1</v>
      </c>
      <c r="D91" s="57" t="s">
        <v>48</v>
      </c>
      <c r="E91" s="57" t="s">
        <v>2</v>
      </c>
      <c r="F91" s="57" t="s">
        <v>15</v>
      </c>
      <c r="G91" s="57" t="s">
        <v>9</v>
      </c>
      <c r="H91" s="57" t="s">
        <v>8</v>
      </c>
    </row>
    <row r="92" spans="1:9" ht="15" customHeight="1" x14ac:dyDescent="0.25">
      <c r="A92" s="57">
        <v>1</v>
      </c>
      <c r="B92" s="57">
        <f>500/'[1]Timing Calculation'!$B$31</f>
        <v>5.3491827637444604</v>
      </c>
      <c r="C92" s="57">
        <v>144.36619718309856</v>
      </c>
      <c r="D92" s="57">
        <v>217.69753605647324</v>
      </c>
      <c r="E92" s="57">
        <v>137.93626676042817</v>
      </c>
      <c r="F92" s="57">
        <f>(1.2*$F$2*B92)</f>
        <v>0.46698365527489133</v>
      </c>
      <c r="G92" s="57">
        <f t="shared" ref="G92:G109" si="8">SUM(C92:F92)</f>
        <v>500.46698365527482</v>
      </c>
      <c r="H92" s="57">
        <f t="shared" ref="H92:H109" si="9">G92/B92</f>
        <v>93.559522222221645</v>
      </c>
      <c r="I92" s="70" t="s">
        <v>83</v>
      </c>
    </row>
    <row r="93" spans="1:9" ht="15" customHeight="1" x14ac:dyDescent="0.25">
      <c r="A93" s="38">
        <v>1</v>
      </c>
      <c r="B93" s="38">
        <f>500/'[1]Timing Calculation'!$B$31</f>
        <v>5.3491827637444604</v>
      </c>
      <c r="C93" s="38">
        <f>1.2*$C$2*B93</f>
        <v>0.13101218424962932</v>
      </c>
      <c r="D93" s="38">
        <f>1.2*$D$2*B93</f>
        <v>0.13101218424962932</v>
      </c>
      <c r="E93" s="38">
        <f>1.2*$E$2*B93</f>
        <v>0.13101218424962932</v>
      </c>
      <c r="F93" s="38">
        <f>93.55952222*B93-SUM(C93:E93)</f>
        <v>500.07394709064204</v>
      </c>
      <c r="G93" s="38">
        <f t="shared" si="8"/>
        <v>500.4669836433909</v>
      </c>
      <c r="H93" s="38">
        <f t="shared" si="9"/>
        <v>93.559522220000005</v>
      </c>
      <c r="I93" s="71"/>
    </row>
    <row r="94" spans="1:9" ht="15" customHeight="1" x14ac:dyDescent="0.25">
      <c r="A94" s="57">
        <f>A93+1</f>
        <v>2</v>
      </c>
      <c r="B94" s="57">
        <f>500/'[1]Timing Calculation'!$B$31</f>
        <v>5.3491827637444604</v>
      </c>
      <c r="C94" s="57">
        <v>144.36619718309856</v>
      </c>
      <c r="D94" s="57">
        <v>217.69753605647324</v>
      </c>
      <c r="E94" s="57">
        <v>137.93626676042817</v>
      </c>
      <c r="F94" s="57">
        <f>(1.2*$F$2*B94)</f>
        <v>0.46698365527489133</v>
      </c>
      <c r="G94" s="57">
        <f t="shared" si="8"/>
        <v>500.46698365527482</v>
      </c>
      <c r="H94" s="57">
        <f t="shared" si="9"/>
        <v>93.559522222221645</v>
      </c>
      <c r="I94" s="71"/>
    </row>
    <row r="95" spans="1:9" ht="15" customHeight="1" x14ac:dyDescent="0.25">
      <c r="A95" s="38">
        <v>2</v>
      </c>
      <c r="B95" s="38">
        <f>500/'[1]Timing Calculation'!$B$31</f>
        <v>5.3491827637444604</v>
      </c>
      <c r="C95" s="38">
        <f>1.2*$C$2*B95</f>
        <v>0.13101218424962932</v>
      </c>
      <c r="D95" s="38">
        <f>1.2*$D$2*B95</f>
        <v>0.13101218424962932</v>
      </c>
      <c r="E95" s="38">
        <f>1.2*$E$2*B95</f>
        <v>0.13101218424962932</v>
      </c>
      <c r="F95" s="38">
        <f>93.55952222*B95-SUM(C95:E95)</f>
        <v>500.07394709064204</v>
      </c>
      <c r="G95" s="38">
        <f t="shared" si="8"/>
        <v>500.4669836433909</v>
      </c>
      <c r="H95" s="38">
        <f t="shared" si="9"/>
        <v>93.559522220000005</v>
      </c>
      <c r="I95" s="71"/>
    </row>
    <row r="96" spans="1:9" ht="15" customHeight="1" x14ac:dyDescent="0.25">
      <c r="A96" s="57">
        <f>A95+1</f>
        <v>3</v>
      </c>
      <c r="B96" s="57">
        <f>500/'[1]Timing Calculation'!$B$31</f>
        <v>5.3491827637444604</v>
      </c>
      <c r="C96" s="57">
        <v>144.36619718309856</v>
      </c>
      <c r="D96" s="57">
        <v>217.69753605647324</v>
      </c>
      <c r="E96" s="57">
        <v>137.93626676042817</v>
      </c>
      <c r="F96" s="57">
        <f>(1.2*$F$2*B96)</f>
        <v>0.46698365527489133</v>
      </c>
      <c r="G96" s="57">
        <f t="shared" si="8"/>
        <v>500.46698365527482</v>
      </c>
      <c r="H96" s="57">
        <f t="shared" si="9"/>
        <v>93.559522222221645</v>
      </c>
      <c r="I96" s="71"/>
    </row>
    <row r="97" spans="1:9" ht="15" customHeight="1" x14ac:dyDescent="0.25">
      <c r="A97" s="38">
        <v>3</v>
      </c>
      <c r="B97" s="38">
        <f>500/'[1]Timing Calculation'!$B$31</f>
        <v>5.3491827637444604</v>
      </c>
      <c r="C97" s="38">
        <f>1.2*$C$2*B97</f>
        <v>0.13101218424962932</v>
      </c>
      <c r="D97" s="38">
        <f>1.2*$D$2*B97</f>
        <v>0.13101218424962932</v>
      </c>
      <c r="E97" s="38">
        <f>1.2*$E$2*B97</f>
        <v>0.13101218424962932</v>
      </c>
      <c r="F97" s="38">
        <f>93.55952222*B97-SUM(C97:E97)</f>
        <v>500.07394709064204</v>
      </c>
      <c r="G97" s="38">
        <f t="shared" si="8"/>
        <v>500.4669836433909</v>
      </c>
      <c r="H97" s="38">
        <f t="shared" si="9"/>
        <v>93.559522220000005</v>
      </c>
      <c r="I97" s="71"/>
    </row>
    <row r="98" spans="1:9" ht="15" customHeight="1" x14ac:dyDescent="0.25">
      <c r="A98" s="57">
        <f>A97+1</f>
        <v>4</v>
      </c>
      <c r="B98" s="57">
        <f>500/'[1]Timing Calculation'!$B$31</f>
        <v>5.3491827637444604</v>
      </c>
      <c r="C98" s="57">
        <v>144.36619718309856</v>
      </c>
      <c r="D98" s="57">
        <v>286.66566943668732</v>
      </c>
      <c r="E98" s="57">
        <v>68.968133380214084</v>
      </c>
      <c r="F98" s="57">
        <f>(1.2*$F$2*B98)</f>
        <v>0.46698365527489133</v>
      </c>
      <c r="G98" s="57">
        <f t="shared" si="8"/>
        <v>500.46698365527487</v>
      </c>
      <c r="H98" s="57">
        <f t="shared" si="9"/>
        <v>93.559522222221645</v>
      </c>
      <c r="I98" s="71"/>
    </row>
    <row r="99" spans="1:9" ht="15" customHeight="1" x14ac:dyDescent="0.25">
      <c r="A99" s="38">
        <v>4</v>
      </c>
      <c r="B99" s="38">
        <f>500/'[1]Timing Calculation'!$B$31</f>
        <v>5.3491827637444604</v>
      </c>
      <c r="C99" s="38">
        <f>1.2*$C$2*B99</f>
        <v>0.13101218424962932</v>
      </c>
      <c r="D99" s="38">
        <f>1.2*$D$2*B99</f>
        <v>0.13101218424962932</v>
      </c>
      <c r="E99" s="38">
        <f>1.2*$E$2*B99</f>
        <v>0.13101218424962932</v>
      </c>
      <c r="F99" s="38">
        <f>93.55952222*B99-SUM(C99:E99)</f>
        <v>500.07394709064204</v>
      </c>
      <c r="G99" s="38">
        <f t="shared" si="8"/>
        <v>500.4669836433909</v>
      </c>
      <c r="H99" s="38">
        <f t="shared" si="9"/>
        <v>93.559522220000005</v>
      </c>
      <c r="I99" s="71"/>
    </row>
    <row r="100" spans="1:9" ht="15" customHeight="1" x14ac:dyDescent="0.25">
      <c r="A100" s="57">
        <f>A99+1</f>
        <v>5</v>
      </c>
      <c r="B100" s="57">
        <f>500/'[1]Timing Calculation'!$B$31</f>
        <v>5.3491827637444604</v>
      </c>
      <c r="C100" s="57">
        <v>144.36619718309856</v>
      </c>
      <c r="D100" s="57">
        <v>286.66566943668732</v>
      </c>
      <c r="E100" s="57">
        <v>68.968133380214084</v>
      </c>
      <c r="F100" s="57">
        <f>(1.2*$F$2*B100)</f>
        <v>0.46698365527489133</v>
      </c>
      <c r="G100" s="57">
        <f t="shared" si="8"/>
        <v>500.46698365527487</v>
      </c>
      <c r="H100" s="57">
        <f t="shared" si="9"/>
        <v>93.559522222221645</v>
      </c>
      <c r="I100" s="71"/>
    </row>
    <row r="101" spans="1:9" ht="15" customHeight="1" x14ac:dyDescent="0.25">
      <c r="A101" s="38">
        <v>5</v>
      </c>
      <c r="B101" s="38">
        <f>500/'[1]Timing Calculation'!$B$31</f>
        <v>5.3491827637444604</v>
      </c>
      <c r="C101" s="38">
        <f>1.2*$C$2*B101</f>
        <v>0.13101218424962932</v>
      </c>
      <c r="D101" s="38">
        <f>1.2*$D$2*B101</f>
        <v>0.13101218424962932</v>
      </c>
      <c r="E101" s="38">
        <f>1.2*$E$2*B101</f>
        <v>0.13101218424962932</v>
      </c>
      <c r="F101" s="38">
        <f>93.55952222*B101-SUM(C101:E101)</f>
        <v>500.07394709064204</v>
      </c>
      <c r="G101" s="38">
        <f t="shared" si="8"/>
        <v>500.4669836433909</v>
      </c>
      <c r="H101" s="38">
        <f t="shared" si="9"/>
        <v>93.559522220000005</v>
      </c>
      <c r="I101" s="71"/>
    </row>
    <row r="102" spans="1:9" ht="15" customHeight="1" x14ac:dyDescent="0.25">
      <c r="A102" s="57">
        <f>A101+1</f>
        <v>6</v>
      </c>
      <c r="B102" s="57">
        <f>500/'[1]Timing Calculation'!$B$31</f>
        <v>5.3491827637444604</v>
      </c>
      <c r="C102" s="57">
        <v>144.36619718309856</v>
      </c>
      <c r="D102" s="57">
        <v>286.66566943668732</v>
      </c>
      <c r="E102" s="57">
        <v>68.968133380214084</v>
      </c>
      <c r="F102" s="57">
        <f>(1.2*$F$2*B102)</f>
        <v>0.46698365527489133</v>
      </c>
      <c r="G102" s="57">
        <f t="shared" si="8"/>
        <v>500.46698365527487</v>
      </c>
      <c r="H102" s="57">
        <f t="shared" si="9"/>
        <v>93.559522222221645</v>
      </c>
      <c r="I102" s="71"/>
    </row>
    <row r="103" spans="1:9" ht="15" customHeight="1" x14ac:dyDescent="0.25">
      <c r="A103" s="38">
        <v>6</v>
      </c>
      <c r="B103" s="38">
        <f>500/'[1]Timing Calculation'!$B$31</f>
        <v>5.3491827637444604</v>
      </c>
      <c r="C103" s="38">
        <f>1.2*$C$2*B103</f>
        <v>0.13101218424962932</v>
      </c>
      <c r="D103" s="38">
        <f>1.2*$D$2*B103</f>
        <v>0.13101218424962932</v>
      </c>
      <c r="E103" s="38">
        <f>1.2*$E$2*B103</f>
        <v>0.13101218424962932</v>
      </c>
      <c r="F103" s="38">
        <f>93.55952222*B103-SUM(C103:E103)</f>
        <v>500.07394709064204</v>
      </c>
      <c r="G103" s="38">
        <f t="shared" si="8"/>
        <v>500.4669836433909</v>
      </c>
      <c r="H103" s="38">
        <f t="shared" si="9"/>
        <v>93.559522220000005</v>
      </c>
      <c r="I103" s="71"/>
    </row>
    <row r="104" spans="1:9" ht="15" customHeight="1" x14ac:dyDescent="0.25">
      <c r="A104" s="57">
        <f>A103+1</f>
        <v>7</v>
      </c>
      <c r="B104" s="57">
        <f>500/'[1]Timing Calculation'!$B$31</f>
        <v>5.3491827637444604</v>
      </c>
      <c r="C104" s="57">
        <v>293.4560327198364</v>
      </c>
      <c r="D104" s="57">
        <v>66.351074478665026</v>
      </c>
      <c r="E104" s="57">
        <v>140.19289280149857</v>
      </c>
      <c r="F104" s="57">
        <f>(1.2*$F$2*B104)</f>
        <v>0.46698365527489133</v>
      </c>
      <c r="G104" s="57">
        <f t="shared" si="8"/>
        <v>500.46698365527487</v>
      </c>
      <c r="H104" s="57">
        <f t="shared" si="9"/>
        <v>93.559522222221645</v>
      </c>
      <c r="I104" s="71"/>
    </row>
    <row r="105" spans="1:9" ht="15" customHeight="1" x14ac:dyDescent="0.25">
      <c r="A105" s="38">
        <v>7</v>
      </c>
      <c r="B105" s="38">
        <f>500/'[1]Timing Calculation'!$B$31</f>
        <v>5.3491827637444604</v>
      </c>
      <c r="C105" s="38">
        <f>1.2*$C$2*B105</f>
        <v>0.13101218424962932</v>
      </c>
      <c r="D105" s="38">
        <f>1.2*$D$2*B105</f>
        <v>0.13101218424962932</v>
      </c>
      <c r="E105" s="38">
        <f>1.2*$E$2*B105</f>
        <v>0.13101218424962932</v>
      </c>
      <c r="F105" s="38">
        <f>93.55952222*B105-SUM(C105:E105)</f>
        <v>500.07394709064204</v>
      </c>
      <c r="G105" s="38">
        <f t="shared" si="8"/>
        <v>500.4669836433909</v>
      </c>
      <c r="H105" s="38">
        <f t="shared" si="9"/>
        <v>93.559522220000005</v>
      </c>
      <c r="I105" s="71"/>
    </row>
    <row r="106" spans="1:9" ht="15" customHeight="1" x14ac:dyDescent="0.25">
      <c r="A106" s="57">
        <f>A105+1</f>
        <v>8</v>
      </c>
      <c r="B106" s="57">
        <f>500/'[1]Timing Calculation'!$B$31</f>
        <v>5.3491827637444604</v>
      </c>
      <c r="C106" s="57">
        <v>293.4560327198364</v>
      </c>
      <c r="D106" s="57">
        <v>66.351074478665026</v>
      </c>
      <c r="E106" s="57">
        <v>140.19289280149857</v>
      </c>
      <c r="F106" s="57">
        <f>(1.2*$F$2*B106)</f>
        <v>0.46698365527489133</v>
      </c>
      <c r="G106" s="57">
        <f t="shared" si="8"/>
        <v>500.46698365527487</v>
      </c>
      <c r="H106" s="57">
        <f t="shared" si="9"/>
        <v>93.559522222221645</v>
      </c>
      <c r="I106" s="71"/>
    </row>
    <row r="107" spans="1:9" ht="15" customHeight="1" x14ac:dyDescent="0.25">
      <c r="A107" s="38">
        <v>8</v>
      </c>
      <c r="B107" s="38">
        <f>500/'[1]Timing Calculation'!$B$31</f>
        <v>5.3491827637444604</v>
      </c>
      <c r="C107" s="38">
        <f>1.2*$C$2*B107</f>
        <v>0.13101218424962932</v>
      </c>
      <c r="D107" s="38">
        <f>1.2*$D$2*B107</f>
        <v>0.13101218424962932</v>
      </c>
      <c r="E107" s="38">
        <f>1.2*$E$2*B107</f>
        <v>0.13101218424962932</v>
      </c>
      <c r="F107" s="38">
        <f>93.55952222*B107-SUM(C107:E107)</f>
        <v>500.07394709064204</v>
      </c>
      <c r="G107" s="38">
        <f t="shared" si="8"/>
        <v>500.4669836433909</v>
      </c>
      <c r="H107" s="38">
        <f t="shared" si="9"/>
        <v>93.559522220000005</v>
      </c>
      <c r="I107" s="71"/>
    </row>
    <row r="108" spans="1:9" ht="15" customHeight="1" x14ac:dyDescent="0.25">
      <c r="A108" s="57">
        <f>A107+1</f>
        <v>9</v>
      </c>
      <c r="B108" s="57">
        <f>500/'[1]Timing Calculation'!$B$31</f>
        <v>5.3491827637444604</v>
      </c>
      <c r="C108" s="57">
        <v>293.4560327198364</v>
      </c>
      <c r="D108" s="57">
        <v>66.351074478665026</v>
      </c>
      <c r="E108" s="57">
        <v>140.19289280149857</v>
      </c>
      <c r="F108" s="57">
        <f>(1.2*$F$2*B108)</f>
        <v>0.46698365527489133</v>
      </c>
      <c r="G108" s="57">
        <f t="shared" si="8"/>
        <v>500.46698365527487</v>
      </c>
      <c r="H108" s="57">
        <f t="shared" si="9"/>
        <v>93.559522222221645</v>
      </c>
      <c r="I108" s="71"/>
    </row>
    <row r="109" spans="1:9" ht="15.6" customHeight="1" thickBot="1" x14ac:dyDescent="0.3">
      <c r="A109" s="38">
        <v>9</v>
      </c>
      <c r="B109" s="38">
        <f>500/'[1]Timing Calculation'!$B$31</f>
        <v>5.3491827637444604</v>
      </c>
      <c r="C109" s="38">
        <f>1.2*$C$2*B109</f>
        <v>0.13101218424962932</v>
      </c>
      <c r="D109" s="38">
        <f>1.2*$D$2*B109</f>
        <v>0.13101218424962932</v>
      </c>
      <c r="E109" s="38">
        <f>1.2*$E$2*B109</f>
        <v>0.13101218424962932</v>
      </c>
      <c r="F109" s="38">
        <f>93.55952222*B109-SUM(C109:E109)</f>
        <v>500.07394709064204</v>
      </c>
      <c r="G109" s="38">
        <f t="shared" si="8"/>
        <v>500.4669836433909</v>
      </c>
      <c r="H109" s="38">
        <f t="shared" si="9"/>
        <v>93.559522220000005</v>
      </c>
      <c r="I109" s="72"/>
    </row>
  </sheetData>
  <sortState xmlns:xlrd2="http://schemas.microsoft.com/office/spreadsheetml/2017/richdata2" ref="A92:H109">
    <sortCondition ref="A92:A109"/>
  </sortState>
  <mergeCells count="5">
    <mergeCell ref="I4:I21"/>
    <mergeCell ref="I26:I43"/>
    <mergeCell ref="I48:I65"/>
    <mergeCell ref="I70:I87"/>
    <mergeCell ref="I92:I109"/>
  </mergeCells>
  <conditionalFormatting sqref="H4:H21">
    <cfRule type="cellIs" priority="5" operator="notEqual">
      <formula>500.0873</formula>
    </cfRule>
  </conditionalFormatting>
  <conditionalFormatting sqref="H26:H43">
    <cfRule type="cellIs" priority="4" operator="notEqual">
      <formula>500.0873</formula>
    </cfRule>
  </conditionalFormatting>
  <conditionalFormatting sqref="H48:H65">
    <cfRule type="cellIs" priority="3" operator="notEqual">
      <formula>500.0873</formula>
    </cfRule>
  </conditionalFormatting>
  <conditionalFormatting sqref="H70:H87">
    <cfRule type="cellIs" priority="2" operator="notEqual">
      <formula>500.0873</formula>
    </cfRule>
  </conditionalFormatting>
  <conditionalFormatting sqref="H92:H109">
    <cfRule type="cellIs" priority="1" operator="notEqual">
      <formula>500.0873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B32C-BF4B-4001-8203-1B58C4DC38AC}">
  <dimension ref="A1:AF32"/>
  <sheetViews>
    <sheetView topLeftCell="E16" zoomScale="115" zoomScaleNormal="115" workbookViewId="0">
      <selection activeCell="C39" sqref="C39"/>
    </sheetView>
  </sheetViews>
  <sheetFormatPr defaultColWidth="8.6640625" defaultRowHeight="15" x14ac:dyDescent="0.3"/>
  <cols>
    <col min="1" max="1" width="53" style="7" bestFit="1" customWidth="1"/>
    <col min="2" max="2" width="26" style="7" bestFit="1" customWidth="1"/>
    <col min="3" max="3" width="75.44140625" style="7" bestFit="1" customWidth="1"/>
    <col min="4" max="4" width="50.44140625" style="7" bestFit="1" customWidth="1"/>
    <col min="5" max="5" width="68.6640625" style="7" bestFit="1" customWidth="1"/>
    <col min="6" max="6" width="92.44140625" style="7" bestFit="1" customWidth="1"/>
    <col min="7" max="7" width="66.5546875" style="7" bestFit="1" customWidth="1"/>
    <col min="8" max="8" width="15.21875" style="7" bestFit="1" customWidth="1"/>
    <col min="9" max="9" width="12" style="7" customWidth="1"/>
    <col min="10" max="10" width="58" style="7" bestFit="1" customWidth="1"/>
    <col min="11" max="11" width="15.21875" style="7" bestFit="1" customWidth="1"/>
    <col min="12" max="12" width="4.109375" style="7" bestFit="1" customWidth="1"/>
    <col min="13" max="13" width="12.44140625" style="7" customWidth="1"/>
    <col min="14" max="14" width="16.21875" style="7" customWidth="1"/>
    <col min="15" max="15" width="8.44140625" style="7" bestFit="1" customWidth="1"/>
    <col min="16" max="18" width="18.88671875" style="7" customWidth="1"/>
    <col min="19" max="19" width="8.77734375" style="7" bestFit="1" customWidth="1"/>
    <col min="20" max="20" width="25.77734375" style="7" bestFit="1" customWidth="1"/>
    <col min="21" max="21" width="8.21875" style="7" customWidth="1"/>
    <col min="22" max="23" width="15.88671875" style="7" customWidth="1"/>
    <col min="24" max="24" width="18.77734375" style="7" customWidth="1"/>
    <col min="25" max="25" width="8.77734375" style="7" bestFit="1" customWidth="1"/>
    <col min="26" max="26" width="17.6640625" style="7" bestFit="1" customWidth="1"/>
    <col min="27" max="27" width="17.6640625" style="7" customWidth="1"/>
    <col min="28" max="28" width="31.6640625" style="7" bestFit="1" customWidth="1"/>
    <col min="29" max="29" width="8.5546875" style="7" bestFit="1" customWidth="1"/>
    <col min="30" max="30" width="8.33203125" style="7" bestFit="1" customWidth="1"/>
    <col min="31" max="16384" width="8.6640625" style="7"/>
  </cols>
  <sheetData>
    <row r="1" spans="1:32" x14ac:dyDescent="0.3">
      <c r="A1" s="5" t="s">
        <v>31</v>
      </c>
      <c r="B1" s="39">
        <v>11.216666666666599</v>
      </c>
      <c r="C1" s="5"/>
      <c r="F1" s="9"/>
      <c r="G1" s="9"/>
      <c r="L1" s="5"/>
      <c r="P1" s="73"/>
      <c r="Q1" s="73"/>
      <c r="R1" s="73"/>
      <c r="V1" s="73"/>
      <c r="W1" s="73"/>
      <c r="X1" s="73"/>
    </row>
    <row r="2" spans="1:32" x14ac:dyDescent="0.3">
      <c r="A2" s="7" t="s">
        <v>36</v>
      </c>
      <c r="B2" s="7">
        <f>B1/B14</f>
        <v>1428.1503560112656</v>
      </c>
      <c r="C2" s="5"/>
      <c r="F2" s="5"/>
      <c r="L2" s="5"/>
    </row>
    <row r="3" spans="1:32" x14ac:dyDescent="0.3">
      <c r="A3" s="7" t="s">
        <v>37</v>
      </c>
      <c r="B3" s="7">
        <f>B2/100</f>
        <v>14.281503560112656</v>
      </c>
      <c r="C3" s="5"/>
      <c r="F3" s="5"/>
      <c r="L3" s="5"/>
    </row>
    <row r="4" spans="1:32" x14ac:dyDescent="0.3">
      <c r="C4" s="5"/>
      <c r="F4" s="5"/>
      <c r="L4" s="5"/>
    </row>
    <row r="5" spans="1:32" x14ac:dyDescent="0.3">
      <c r="A5" s="7" t="s">
        <v>38</v>
      </c>
      <c r="B5" s="7">
        <f>B6/B14</f>
        <v>76.394372684109754</v>
      </c>
      <c r="C5" s="5"/>
      <c r="F5" s="9"/>
      <c r="G5" s="9"/>
      <c r="L5" s="5"/>
    </row>
    <row r="6" spans="1:32" x14ac:dyDescent="0.3">
      <c r="A6" s="7" t="s">
        <v>39</v>
      </c>
      <c r="B6" s="5">
        <v>0.6</v>
      </c>
      <c r="C6" s="5"/>
      <c r="F6" s="5"/>
      <c r="G6" s="3"/>
      <c r="L6" s="5"/>
    </row>
    <row r="7" spans="1:32" x14ac:dyDescent="0.3">
      <c r="B7" s="5"/>
      <c r="C7" s="5"/>
      <c r="F7" s="5"/>
      <c r="G7" s="3"/>
      <c r="J7" s="5"/>
      <c r="K7" s="5"/>
      <c r="L7" s="5"/>
      <c r="AD7" s="2"/>
      <c r="AE7" s="2"/>
      <c r="AF7" s="2"/>
    </row>
    <row r="8" spans="1:32" x14ac:dyDescent="0.3">
      <c r="A8" s="7" t="s">
        <v>40</v>
      </c>
      <c r="B8" s="5">
        <f>B9/B14</f>
        <v>144.30048173660933</v>
      </c>
      <c r="C8" s="5"/>
      <c r="F8" s="9"/>
      <c r="G8" s="9"/>
      <c r="AD8" s="2"/>
      <c r="AE8" s="2"/>
      <c r="AF8" s="2"/>
    </row>
    <row r="9" spans="1:32" x14ac:dyDescent="0.3">
      <c r="A9" s="7" t="s">
        <v>41</v>
      </c>
      <c r="B9" s="5">
        <v>1.133333333333</v>
      </c>
      <c r="C9" s="5"/>
      <c r="F9" s="5"/>
      <c r="AD9" s="2"/>
      <c r="AE9" s="2"/>
      <c r="AF9" s="2"/>
    </row>
    <row r="10" spans="1:32" x14ac:dyDescent="0.3">
      <c r="A10" s="5"/>
      <c r="B10" s="5"/>
      <c r="C10" s="8"/>
      <c r="F10" s="5"/>
      <c r="AD10" s="2"/>
      <c r="AE10" s="2"/>
      <c r="AF10" s="2"/>
    </row>
    <row r="11" spans="1:32" x14ac:dyDescent="0.3">
      <c r="A11" s="5" t="s">
        <v>32</v>
      </c>
      <c r="B11" s="5">
        <v>1</v>
      </c>
      <c r="C11" s="5"/>
      <c r="F11" s="5"/>
      <c r="G11" s="5"/>
      <c r="H11" s="5"/>
    </row>
    <row r="12" spans="1:32" x14ac:dyDescent="0.3">
      <c r="A12" s="5" t="s">
        <v>33</v>
      </c>
      <c r="B12" s="5">
        <f>B11/10</f>
        <v>0.1</v>
      </c>
      <c r="C12" s="5"/>
      <c r="G12" s="5"/>
      <c r="H12" s="5"/>
    </row>
    <row r="13" spans="1:32" x14ac:dyDescent="0.3">
      <c r="A13" s="7" t="s">
        <v>34</v>
      </c>
      <c r="B13" s="5">
        <f>B12/2</f>
        <v>0.05</v>
      </c>
      <c r="C13" s="5"/>
      <c r="F13" s="9"/>
      <c r="G13" s="9"/>
      <c r="H13" s="5"/>
    </row>
    <row r="14" spans="1:32" x14ac:dyDescent="0.3">
      <c r="A14" s="7" t="s">
        <v>35</v>
      </c>
      <c r="B14" s="5">
        <f>PI()*(B13^2)</f>
        <v>7.8539816339744835E-3</v>
      </c>
      <c r="C14" s="5"/>
      <c r="F14" s="9"/>
      <c r="G14" s="4"/>
      <c r="H14" s="5"/>
    </row>
    <row r="15" spans="1:32" x14ac:dyDescent="0.3">
      <c r="A15" s="5"/>
      <c r="B15" s="5"/>
      <c r="C15" s="5"/>
      <c r="F15" s="9"/>
      <c r="G15" s="9"/>
    </row>
    <row r="16" spans="1:32" x14ac:dyDescent="0.3">
      <c r="A16" s="6" t="s">
        <v>49</v>
      </c>
      <c r="B16" s="5">
        <v>500</v>
      </c>
      <c r="C16" s="5"/>
      <c r="G16" s="9"/>
    </row>
    <row r="17" spans="1:27" x14ac:dyDescent="0.3">
      <c r="A17" s="6" t="s">
        <v>50</v>
      </c>
      <c r="B17" s="5">
        <f>B16/1000</f>
        <v>0.5</v>
      </c>
      <c r="C17" s="5"/>
    </row>
    <row r="18" spans="1:27" x14ac:dyDescent="0.3">
      <c r="A18" s="12" t="s">
        <v>55</v>
      </c>
      <c r="B18" s="5">
        <f>500</f>
        <v>500</v>
      </c>
      <c r="C18" s="5"/>
      <c r="F18" s="9"/>
      <c r="G18" s="9"/>
    </row>
    <row r="19" spans="1:27" x14ac:dyDescent="0.3">
      <c r="A19" s="12" t="s">
        <v>56</v>
      </c>
      <c r="B19" s="7">
        <f>B18/1000</f>
        <v>0.5</v>
      </c>
    </row>
    <row r="20" spans="1:27" x14ac:dyDescent="0.3">
      <c r="A20" s="35" t="s">
        <v>62</v>
      </c>
      <c r="B20" s="5">
        <f>(B17+B19)*9</f>
        <v>9</v>
      </c>
    </row>
    <row r="21" spans="1:27" x14ac:dyDescent="0.3">
      <c r="A21" s="35" t="s">
        <v>63</v>
      </c>
      <c r="B21" s="5">
        <f>B20*1000</f>
        <v>9000</v>
      </c>
    </row>
    <row r="22" spans="1:27" x14ac:dyDescent="0.3">
      <c r="A22" s="5"/>
      <c r="B22" s="5"/>
    </row>
    <row r="23" spans="1:27" x14ac:dyDescent="0.3">
      <c r="A23" s="7" t="s">
        <v>43</v>
      </c>
      <c r="B23" s="7">
        <f>B6+B1</f>
        <v>11.816666666666599</v>
      </c>
    </row>
    <row r="25" spans="1:27" ht="15.6" thickBot="1" x14ac:dyDescent="0.35">
      <c r="G25" s="23" t="s">
        <v>57</v>
      </c>
    </row>
    <row r="26" spans="1:27" ht="15" customHeight="1" x14ac:dyDescent="0.3">
      <c r="A26" s="13" t="s">
        <v>30</v>
      </c>
      <c r="B26" s="14" t="s">
        <v>8</v>
      </c>
      <c r="C26" s="14" t="s">
        <v>47</v>
      </c>
      <c r="D26" s="14" t="s">
        <v>42</v>
      </c>
      <c r="E26" s="14" t="s">
        <v>44</v>
      </c>
      <c r="F26" s="14" t="s">
        <v>46</v>
      </c>
      <c r="G26" s="15" t="s">
        <v>45</v>
      </c>
      <c r="L26" s="2"/>
      <c r="M26" s="2"/>
      <c r="N26" s="2"/>
      <c r="T26" s="2"/>
      <c r="V26" s="2"/>
      <c r="W26" s="2"/>
      <c r="X26" s="2"/>
      <c r="Y26" s="2"/>
      <c r="Z26" s="2"/>
      <c r="AA26" s="2"/>
    </row>
    <row r="27" spans="1:27" x14ac:dyDescent="0.3">
      <c r="A27" s="16">
        <v>0</v>
      </c>
      <c r="B27" s="34">
        <f>B28</f>
        <v>373.88888888888664</v>
      </c>
      <c r="C27" s="34">
        <f t="shared" ref="C27:C31" si="0">($B$6*1000)/B27</f>
        <v>1.604754829123338</v>
      </c>
      <c r="D27" s="10">
        <f>$B$21/B27</f>
        <v>24.071322436850071</v>
      </c>
      <c r="E27" s="34">
        <f>$B$23-$B$20</f>
        <v>2.8166666666665989</v>
      </c>
      <c r="F27" s="34">
        <f>(E27*1000)/B27</f>
        <v>7.5334323922732667</v>
      </c>
      <c r="G27" s="17" t="s">
        <v>54</v>
      </c>
      <c r="L27" s="2"/>
      <c r="M27" s="2"/>
      <c r="N27" s="2"/>
      <c r="T27" s="2"/>
      <c r="V27" s="2"/>
      <c r="W27" s="2"/>
      <c r="X27" s="2"/>
      <c r="Y27" s="2"/>
      <c r="Z27" s="2"/>
      <c r="AA27" s="2"/>
    </row>
    <row r="28" spans="1:27" ht="15.45" customHeight="1" x14ac:dyDescent="0.3">
      <c r="A28" s="16">
        <f>A27+30</f>
        <v>30</v>
      </c>
      <c r="B28" s="34">
        <f t="shared" ref="B28:B31" si="1">($B$1*1000)/A28</f>
        <v>373.88888888888664</v>
      </c>
      <c r="C28" s="34">
        <f t="shared" si="0"/>
        <v>1.604754829123338</v>
      </c>
      <c r="D28" s="10">
        <f>$B$21/B28</f>
        <v>24.071322436850071</v>
      </c>
      <c r="E28" s="34">
        <f>$B$23-$B$20</f>
        <v>2.8166666666665989</v>
      </c>
      <c r="F28" s="34">
        <f t="shared" ref="F28:F31" si="2">(E28*1000)/B28</f>
        <v>7.5334323922732667</v>
      </c>
      <c r="G28" s="18">
        <f t="shared" ref="G28:G31" si="3">F28+D28-C28</f>
        <v>30</v>
      </c>
      <c r="L28" s="2"/>
      <c r="M28" s="2"/>
      <c r="N28" s="2"/>
      <c r="T28" s="2"/>
      <c r="Z28" s="2"/>
    </row>
    <row r="29" spans="1:27" x14ac:dyDescent="0.3">
      <c r="A29" s="16">
        <f t="shared" ref="A29:A31" si="4">A28+30</f>
        <v>60</v>
      </c>
      <c r="B29" s="34">
        <f t="shared" si="1"/>
        <v>186.94444444444332</v>
      </c>
      <c r="C29" s="34">
        <f t="shared" si="0"/>
        <v>3.209509658246676</v>
      </c>
      <c r="D29" s="10">
        <f>$B$21/B29</f>
        <v>48.142644873700142</v>
      </c>
      <c r="E29" s="34">
        <f>$B$23-$B$20</f>
        <v>2.8166666666665989</v>
      </c>
      <c r="F29" s="34">
        <f t="shared" si="2"/>
        <v>15.066864784546533</v>
      </c>
      <c r="G29" s="18">
        <f t="shared" si="3"/>
        <v>60</v>
      </c>
      <c r="L29" s="2"/>
      <c r="M29" s="2"/>
      <c r="N29" s="2"/>
      <c r="T29" s="2"/>
      <c r="Z29" s="2"/>
    </row>
    <row r="30" spans="1:27" x14ac:dyDescent="0.3">
      <c r="A30" s="16">
        <f t="shared" si="4"/>
        <v>90</v>
      </c>
      <c r="B30" s="34">
        <f t="shared" si="1"/>
        <v>124.62962962962888</v>
      </c>
      <c r="C30" s="34">
        <f t="shared" si="0"/>
        <v>4.8142644873700142</v>
      </c>
      <c r="D30" s="10">
        <f>$B$21/B30</f>
        <v>72.213967310550217</v>
      </c>
      <c r="E30" s="34">
        <f>$B$23-$B$20</f>
        <v>2.8166666666665989</v>
      </c>
      <c r="F30" s="34">
        <f t="shared" si="2"/>
        <v>22.600297176819797</v>
      </c>
      <c r="G30" s="18">
        <f t="shared" si="3"/>
        <v>90</v>
      </c>
      <c r="L30" s="2"/>
      <c r="M30" s="2"/>
      <c r="N30" s="2"/>
    </row>
    <row r="31" spans="1:27" ht="15.6" thickBot="1" x14ac:dyDescent="0.35">
      <c r="A31" s="19">
        <f t="shared" si="4"/>
        <v>120</v>
      </c>
      <c r="B31" s="20">
        <f t="shared" si="1"/>
        <v>93.47222222222166</v>
      </c>
      <c r="C31" s="20">
        <f t="shared" si="0"/>
        <v>6.419019316493352</v>
      </c>
      <c r="D31" s="21">
        <f>$B$21/B31</f>
        <v>96.285289747400284</v>
      </c>
      <c r="E31" s="20">
        <f>$B$23-$B$20</f>
        <v>2.8166666666665989</v>
      </c>
      <c r="F31" s="20">
        <f t="shared" si="2"/>
        <v>30.133729569093067</v>
      </c>
      <c r="G31" s="22">
        <f t="shared" si="3"/>
        <v>120</v>
      </c>
      <c r="L31" s="2"/>
      <c r="M31" s="2"/>
      <c r="N31" s="2"/>
    </row>
    <row r="32" spans="1:27" x14ac:dyDescent="0.3">
      <c r="B32" s="11"/>
    </row>
  </sheetData>
  <mergeCells count="2">
    <mergeCell ref="P1:R1"/>
    <mergeCell ref="V1:X1"/>
  </mergeCells>
  <phoneticPr fontId="14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93C5-E37A-4A76-93B0-27E61DC544E0}">
  <dimension ref="A1:J834"/>
  <sheetViews>
    <sheetView tabSelected="1" topLeftCell="A115" zoomScale="85" zoomScaleNormal="85" workbookViewId="0">
      <selection activeCell="F141" sqref="F141"/>
    </sheetView>
  </sheetViews>
  <sheetFormatPr defaultColWidth="8.77734375" defaultRowHeight="15" x14ac:dyDescent="0.3"/>
  <cols>
    <col min="1" max="1" width="14.6640625" style="1" bestFit="1" customWidth="1"/>
    <col min="2" max="2" width="35" style="1" bestFit="1" customWidth="1"/>
    <col min="3" max="3" width="30.109375" style="49" bestFit="1" customWidth="1"/>
    <col min="4" max="7" width="16.109375" style="49" bestFit="1" customWidth="1"/>
    <col min="8" max="8" width="18.88671875" style="49" bestFit="1" customWidth="1"/>
    <col min="9" max="9" width="27.6640625" style="49" bestFit="1" customWidth="1"/>
    <col min="10" max="10" width="27.21875" style="49" bestFit="1" customWidth="1"/>
    <col min="11" max="11" width="12.88671875" style="49" bestFit="1" customWidth="1"/>
    <col min="12" max="12" width="12.77734375" style="49" bestFit="1" customWidth="1"/>
    <col min="13" max="13" width="24.5546875" style="49" bestFit="1" customWidth="1"/>
    <col min="14" max="16384" width="8.77734375" style="49"/>
  </cols>
  <sheetData>
    <row r="1" spans="1:10" ht="15.45" customHeight="1" x14ac:dyDescent="0.3"/>
    <row r="2" spans="1:10" ht="15.45" customHeight="1" x14ac:dyDescent="0.3"/>
    <row r="3" spans="1:10" ht="15.45" customHeight="1" x14ac:dyDescent="0.3"/>
    <row r="4" spans="1:10" ht="15.45" customHeight="1" x14ac:dyDescent="0.3">
      <c r="A4" s="49"/>
      <c r="B4" s="49"/>
      <c r="C4" s="51" t="s">
        <v>18</v>
      </c>
      <c r="D4" s="51" t="s">
        <v>16</v>
      </c>
      <c r="E4" s="51" t="s">
        <v>16</v>
      </c>
      <c r="F4" s="51" t="s">
        <v>16</v>
      </c>
      <c r="G4" s="51" t="s">
        <v>28</v>
      </c>
    </row>
    <row r="5" spans="1:10" ht="18" customHeight="1" x14ac:dyDescent="0.3">
      <c r="A5" s="49"/>
      <c r="B5" s="49"/>
      <c r="C5" s="51" t="s">
        <v>17</v>
      </c>
      <c r="D5" s="51">
        <f>20.41/1000</f>
        <v>2.0410000000000001E-2</v>
      </c>
      <c r="E5" s="51">
        <f>20.41/1000</f>
        <v>2.0410000000000001E-2</v>
      </c>
      <c r="F5" s="51">
        <f>20.41/1000</f>
        <v>2.0410000000000001E-2</v>
      </c>
      <c r="G5" s="51">
        <f>72.75/1000</f>
        <v>7.2749999999999995E-2</v>
      </c>
    </row>
    <row r="6" spans="1:10" ht="16.05" customHeight="1" thickBot="1" x14ac:dyDescent="0.35">
      <c r="A6" s="49"/>
      <c r="B6" s="49"/>
      <c r="C6" s="74" t="s">
        <v>23</v>
      </c>
      <c r="D6" s="74"/>
      <c r="E6" s="74"/>
      <c r="F6" s="74"/>
      <c r="G6" s="74"/>
    </row>
    <row r="7" spans="1:10" ht="15.45" customHeight="1" x14ac:dyDescent="0.3">
      <c r="A7" s="52"/>
      <c r="B7" s="53"/>
      <c r="C7" s="53"/>
      <c r="D7" s="53" t="s">
        <v>20</v>
      </c>
      <c r="E7" s="53" t="s">
        <v>21</v>
      </c>
      <c r="F7" s="53" t="s">
        <v>19</v>
      </c>
      <c r="G7" s="53" t="s">
        <v>24</v>
      </c>
      <c r="H7" s="53" t="s">
        <v>13</v>
      </c>
      <c r="I7" s="54" t="s">
        <v>13</v>
      </c>
      <c r="J7" s="75" t="s">
        <v>79</v>
      </c>
    </row>
    <row r="8" spans="1:10" ht="15" customHeight="1" x14ac:dyDescent="0.3">
      <c r="A8" s="55" t="s">
        <v>22</v>
      </c>
      <c r="B8" s="49" t="s">
        <v>0</v>
      </c>
      <c r="C8" s="49" t="s">
        <v>14</v>
      </c>
      <c r="D8" s="49" t="s">
        <v>1</v>
      </c>
      <c r="E8" s="49" t="s">
        <v>48</v>
      </c>
      <c r="F8" s="49" t="s">
        <v>2</v>
      </c>
      <c r="G8" s="49" t="s">
        <v>15</v>
      </c>
      <c r="H8" s="49" t="s">
        <v>9</v>
      </c>
      <c r="I8" s="56" t="s">
        <v>8</v>
      </c>
      <c r="J8" s="76"/>
    </row>
    <row r="9" spans="1:10" ht="15" customHeight="1" x14ac:dyDescent="0.3">
      <c r="A9" s="55">
        <f>0</f>
        <v>0</v>
      </c>
      <c r="B9" s="49" t="s">
        <v>51</v>
      </c>
      <c r="C9" s="49">
        <f>5/60</f>
        <v>8.3333333333333329E-2</v>
      </c>
      <c r="D9" s="49">
        <f>$D$5*1.2*C9</f>
        <v>2.0409999999999998E-3</v>
      </c>
      <c r="E9" s="49">
        <f>$E$5*1.2*C9</f>
        <v>2.0409999999999998E-3</v>
      </c>
      <c r="F9" s="49">
        <f>$F$5*1.2*C9</f>
        <v>2.0409999999999998E-3</v>
      </c>
      <c r="G9" s="49">
        <f>1.2*$G$5*C9</f>
        <v>7.2749999999999985E-3</v>
      </c>
      <c r="H9" s="49">
        <f>SUM(D9:G9)</f>
        <v>1.3397999999999998E-2</v>
      </c>
      <c r="I9" s="56">
        <f>H9/C9</f>
        <v>0.160776</v>
      </c>
      <c r="J9" s="76"/>
    </row>
    <row r="10" spans="1:10" ht="15" customHeight="1" x14ac:dyDescent="0.3">
      <c r="A10" s="55">
        <f>A9+1</f>
        <v>1</v>
      </c>
      <c r="B10" s="49" t="s">
        <v>64</v>
      </c>
      <c r="C10" s="57">
        <v>1.3372956909361151</v>
      </c>
      <c r="D10" s="57">
        <v>144.36619718309856</v>
      </c>
      <c r="E10" s="57">
        <v>217.69753605647324</v>
      </c>
      <c r="F10" s="57">
        <v>137.93626676042817</v>
      </c>
      <c r="G10" s="57">
        <v>0.11674591381872283</v>
      </c>
      <c r="H10" s="49">
        <f t="shared" ref="H10:H27" si="0">SUM(D10:G10)</f>
        <v>500.11674591381865</v>
      </c>
      <c r="I10" s="56">
        <f t="shared" ref="I10:I30" si="1">H10/C10</f>
        <v>373.97618888888655</v>
      </c>
      <c r="J10" s="76"/>
    </row>
    <row r="11" spans="1:10" ht="15" customHeight="1" x14ac:dyDescent="0.3">
      <c r="A11" s="55">
        <f t="shared" ref="A11:A27" si="2">A10+1</f>
        <v>2</v>
      </c>
      <c r="B11" s="58" t="s">
        <v>65</v>
      </c>
      <c r="C11" s="38">
        <v>1.3372956909361151</v>
      </c>
      <c r="D11" s="38">
        <v>3.275304606240733E-2</v>
      </c>
      <c r="E11" s="38">
        <v>3.275304606240733E-2</v>
      </c>
      <c r="F11" s="38">
        <v>3.275304606240733E-2</v>
      </c>
      <c r="G11" s="38">
        <v>500.0184867904934</v>
      </c>
      <c r="H11" s="49">
        <f t="shared" si="0"/>
        <v>500.11674592868064</v>
      </c>
      <c r="I11" s="56">
        <f t="shared" si="1"/>
        <v>373.97618890000001</v>
      </c>
      <c r="J11" s="76"/>
    </row>
    <row r="12" spans="1:10" ht="15" customHeight="1" x14ac:dyDescent="0.3">
      <c r="A12" s="55">
        <f t="shared" si="2"/>
        <v>3</v>
      </c>
      <c r="B12" s="49" t="s">
        <v>67</v>
      </c>
      <c r="C12" s="57">
        <v>1.3372956909361151</v>
      </c>
      <c r="D12" s="57">
        <v>144.36619718309856</v>
      </c>
      <c r="E12" s="57">
        <v>217.69753605647324</v>
      </c>
      <c r="F12" s="57">
        <v>137.93626676042817</v>
      </c>
      <c r="G12" s="57">
        <v>0.11674591381872283</v>
      </c>
      <c r="H12" s="49">
        <f t="shared" si="0"/>
        <v>500.11674591381865</v>
      </c>
      <c r="I12" s="56">
        <f t="shared" si="1"/>
        <v>373.97618888888655</v>
      </c>
      <c r="J12" s="76"/>
    </row>
    <row r="13" spans="1:10" ht="15" customHeight="1" x14ac:dyDescent="0.3">
      <c r="A13" s="55">
        <f t="shared" si="2"/>
        <v>4</v>
      </c>
      <c r="B13" s="58" t="s">
        <v>68</v>
      </c>
      <c r="C13" s="38">
        <v>1.3372956909361151</v>
      </c>
      <c r="D13" s="38">
        <v>3.275304606240733E-2</v>
      </c>
      <c r="E13" s="38">
        <v>3.275304606240733E-2</v>
      </c>
      <c r="F13" s="38">
        <v>3.275304606240733E-2</v>
      </c>
      <c r="G13" s="38">
        <v>500.0184867904934</v>
      </c>
      <c r="H13" s="49">
        <f t="shared" si="0"/>
        <v>500.11674592868064</v>
      </c>
      <c r="I13" s="56">
        <f t="shared" si="1"/>
        <v>373.97618890000001</v>
      </c>
      <c r="J13" s="76"/>
    </row>
    <row r="14" spans="1:10" ht="15" customHeight="1" x14ac:dyDescent="0.3">
      <c r="A14" s="55">
        <f t="shared" si="2"/>
        <v>5</v>
      </c>
      <c r="B14" s="49" t="s">
        <v>69</v>
      </c>
      <c r="C14" s="57">
        <v>1.3372956909361151</v>
      </c>
      <c r="D14" s="57">
        <v>144.36619718309856</v>
      </c>
      <c r="E14" s="57">
        <v>217.69753605647324</v>
      </c>
      <c r="F14" s="57">
        <v>137.93626676042817</v>
      </c>
      <c r="G14" s="57">
        <v>0.11674591381872283</v>
      </c>
      <c r="H14" s="49">
        <f t="shared" si="0"/>
        <v>500.11674591381865</v>
      </c>
      <c r="I14" s="56">
        <f t="shared" si="1"/>
        <v>373.97618888888655</v>
      </c>
      <c r="J14" s="76"/>
    </row>
    <row r="15" spans="1:10" ht="15" customHeight="1" x14ac:dyDescent="0.3">
      <c r="A15" s="55">
        <f t="shared" si="2"/>
        <v>6</v>
      </c>
      <c r="B15" s="58" t="s">
        <v>70</v>
      </c>
      <c r="C15" s="38">
        <v>1.3372956909361151</v>
      </c>
      <c r="D15" s="38">
        <v>3.275304606240733E-2</v>
      </c>
      <c r="E15" s="38">
        <v>3.275304606240733E-2</v>
      </c>
      <c r="F15" s="38">
        <v>3.275304606240733E-2</v>
      </c>
      <c r="G15" s="38">
        <v>500.0184867904934</v>
      </c>
      <c r="H15" s="49">
        <f t="shared" si="0"/>
        <v>500.11674592868064</v>
      </c>
      <c r="I15" s="56">
        <f t="shared" si="1"/>
        <v>373.97618890000001</v>
      </c>
      <c r="J15" s="76"/>
    </row>
    <row r="16" spans="1:10" ht="15" customHeight="1" x14ac:dyDescent="0.3">
      <c r="A16" s="55">
        <f t="shared" si="2"/>
        <v>7</v>
      </c>
      <c r="B16" s="49" t="s">
        <v>71</v>
      </c>
      <c r="C16" s="57">
        <v>1.3372956909361151</v>
      </c>
      <c r="D16" s="57">
        <v>144.36619718309856</v>
      </c>
      <c r="E16" s="57">
        <v>286.66566943668732</v>
      </c>
      <c r="F16" s="57">
        <v>68.968133380214084</v>
      </c>
      <c r="G16" s="57">
        <v>0.11674591381872283</v>
      </c>
      <c r="H16" s="49">
        <f t="shared" si="0"/>
        <v>500.1167459138187</v>
      </c>
      <c r="I16" s="56">
        <f t="shared" si="1"/>
        <v>373.97618888888661</v>
      </c>
      <c r="J16" s="76"/>
    </row>
    <row r="17" spans="1:10" x14ac:dyDescent="0.3">
      <c r="A17" s="55">
        <f t="shared" si="2"/>
        <v>8</v>
      </c>
      <c r="B17" s="58" t="s">
        <v>72</v>
      </c>
      <c r="C17" s="38">
        <v>1.3372956909361151</v>
      </c>
      <c r="D17" s="38">
        <v>3.275304606240733E-2</v>
      </c>
      <c r="E17" s="38">
        <v>3.275304606240733E-2</v>
      </c>
      <c r="F17" s="38">
        <v>3.275304606240733E-2</v>
      </c>
      <c r="G17" s="38">
        <v>500.0184867904934</v>
      </c>
      <c r="H17" s="49">
        <f t="shared" si="0"/>
        <v>500.11674592868064</v>
      </c>
      <c r="I17" s="56">
        <f t="shared" si="1"/>
        <v>373.97618890000001</v>
      </c>
      <c r="J17" s="76"/>
    </row>
    <row r="18" spans="1:10" x14ac:dyDescent="0.3">
      <c r="A18" s="55">
        <f t="shared" si="2"/>
        <v>9</v>
      </c>
      <c r="B18" s="49" t="s">
        <v>73</v>
      </c>
      <c r="C18" s="57">
        <v>1.3372956909361151</v>
      </c>
      <c r="D18" s="57">
        <v>144.36619718309856</v>
      </c>
      <c r="E18" s="57">
        <v>286.66566943668732</v>
      </c>
      <c r="F18" s="57">
        <v>68.968133380214084</v>
      </c>
      <c r="G18" s="57">
        <v>0.11674591381872283</v>
      </c>
      <c r="H18" s="49">
        <f t="shared" si="0"/>
        <v>500.1167459138187</v>
      </c>
      <c r="I18" s="56">
        <f t="shared" si="1"/>
        <v>373.97618888888661</v>
      </c>
      <c r="J18" s="76"/>
    </row>
    <row r="19" spans="1:10" ht="15" customHeight="1" x14ac:dyDescent="0.3">
      <c r="A19" s="55">
        <f t="shared" si="2"/>
        <v>10</v>
      </c>
      <c r="B19" s="58" t="s">
        <v>74</v>
      </c>
      <c r="C19" s="38">
        <v>1.3372956909361151</v>
      </c>
      <c r="D19" s="38">
        <v>3.275304606240733E-2</v>
      </c>
      <c r="E19" s="38">
        <v>3.275304606240733E-2</v>
      </c>
      <c r="F19" s="38">
        <v>3.275304606240733E-2</v>
      </c>
      <c r="G19" s="38">
        <v>500.0184867904934</v>
      </c>
      <c r="H19" s="49">
        <f t="shared" si="0"/>
        <v>500.11674592868064</v>
      </c>
      <c r="I19" s="56">
        <f t="shared" si="1"/>
        <v>373.97618890000001</v>
      </c>
      <c r="J19" s="76"/>
    </row>
    <row r="20" spans="1:10" ht="15" customHeight="1" x14ac:dyDescent="0.3">
      <c r="A20" s="55">
        <f t="shared" si="2"/>
        <v>11</v>
      </c>
      <c r="B20" s="49" t="s">
        <v>75</v>
      </c>
      <c r="C20" s="57">
        <v>1.3372956909361151</v>
      </c>
      <c r="D20" s="57">
        <v>144.36619718309856</v>
      </c>
      <c r="E20" s="57">
        <v>286.66566943668732</v>
      </c>
      <c r="F20" s="57">
        <v>68.968133380214084</v>
      </c>
      <c r="G20" s="57">
        <v>0.11674591381872283</v>
      </c>
      <c r="H20" s="49">
        <f t="shared" si="0"/>
        <v>500.1167459138187</v>
      </c>
      <c r="I20" s="56">
        <f t="shared" si="1"/>
        <v>373.97618888888661</v>
      </c>
      <c r="J20" s="76"/>
    </row>
    <row r="21" spans="1:10" ht="15" customHeight="1" x14ac:dyDescent="0.3">
      <c r="A21" s="55">
        <f t="shared" si="2"/>
        <v>12</v>
      </c>
      <c r="B21" s="58" t="s">
        <v>76</v>
      </c>
      <c r="C21" s="38">
        <v>1.3372956909361151</v>
      </c>
      <c r="D21" s="38">
        <v>3.275304606240733E-2</v>
      </c>
      <c r="E21" s="38">
        <v>3.275304606240733E-2</v>
      </c>
      <c r="F21" s="38">
        <v>3.275304606240733E-2</v>
      </c>
      <c r="G21" s="38">
        <v>500.0184867904934</v>
      </c>
      <c r="H21" s="49">
        <f t="shared" si="0"/>
        <v>500.11674592868064</v>
      </c>
      <c r="I21" s="56">
        <f t="shared" si="1"/>
        <v>373.97618890000001</v>
      </c>
      <c r="J21" s="76"/>
    </row>
    <row r="22" spans="1:10" ht="15" customHeight="1" x14ac:dyDescent="0.3">
      <c r="A22" s="55">
        <f t="shared" si="2"/>
        <v>13</v>
      </c>
      <c r="B22" s="49" t="s">
        <v>77</v>
      </c>
      <c r="C22" s="57">
        <v>1.3372956909361151</v>
      </c>
      <c r="D22" s="57">
        <v>293.4560327198364</v>
      </c>
      <c r="E22" s="57">
        <v>66.351074478665026</v>
      </c>
      <c r="F22" s="57">
        <v>140.19289280149857</v>
      </c>
      <c r="G22" s="57">
        <v>0.11674591381872283</v>
      </c>
      <c r="H22" s="49">
        <f t="shared" si="0"/>
        <v>500.1167459138187</v>
      </c>
      <c r="I22" s="56">
        <f t="shared" si="1"/>
        <v>373.97618888888661</v>
      </c>
      <c r="J22" s="76"/>
    </row>
    <row r="23" spans="1:10" ht="15" customHeight="1" x14ac:dyDescent="0.3">
      <c r="A23" s="55">
        <f t="shared" si="2"/>
        <v>14</v>
      </c>
      <c r="B23" s="58" t="s">
        <v>78</v>
      </c>
      <c r="C23" s="38">
        <v>1.3372956909361151</v>
      </c>
      <c r="D23" s="38">
        <v>3.275304606240733E-2</v>
      </c>
      <c r="E23" s="38">
        <v>3.275304606240733E-2</v>
      </c>
      <c r="F23" s="38">
        <v>3.275304606240733E-2</v>
      </c>
      <c r="G23" s="38">
        <v>500.0184867904934</v>
      </c>
      <c r="H23" s="49">
        <f t="shared" si="0"/>
        <v>500.11674592868064</v>
      </c>
      <c r="I23" s="56">
        <f t="shared" si="1"/>
        <v>373.97618890000001</v>
      </c>
      <c r="J23" s="76"/>
    </row>
    <row r="24" spans="1:10" ht="15" customHeight="1" x14ac:dyDescent="0.3">
      <c r="A24" s="55">
        <f t="shared" si="2"/>
        <v>15</v>
      </c>
      <c r="B24" s="49" t="s">
        <v>94</v>
      </c>
      <c r="C24" s="57">
        <v>1.3372956909361151</v>
      </c>
      <c r="D24" s="57">
        <v>293.4560327198364</v>
      </c>
      <c r="E24" s="57">
        <v>66.351074478665026</v>
      </c>
      <c r="F24" s="57">
        <v>140.19289280149857</v>
      </c>
      <c r="G24" s="57">
        <v>0.11674591381872283</v>
      </c>
      <c r="H24" s="49">
        <f t="shared" si="0"/>
        <v>500.1167459138187</v>
      </c>
      <c r="I24" s="56">
        <f t="shared" si="1"/>
        <v>373.97618888888661</v>
      </c>
      <c r="J24" s="76"/>
    </row>
    <row r="25" spans="1:10" ht="15" customHeight="1" x14ac:dyDescent="0.3">
      <c r="A25" s="55">
        <f t="shared" si="2"/>
        <v>16</v>
      </c>
      <c r="B25" s="58" t="s">
        <v>95</v>
      </c>
      <c r="C25" s="38">
        <v>1.3372956909361151</v>
      </c>
      <c r="D25" s="38">
        <v>3.275304606240733E-2</v>
      </c>
      <c r="E25" s="38">
        <v>3.275304606240733E-2</v>
      </c>
      <c r="F25" s="38">
        <v>3.275304606240733E-2</v>
      </c>
      <c r="G25" s="38">
        <v>500.0184867904934</v>
      </c>
      <c r="H25" s="49">
        <f t="shared" si="0"/>
        <v>500.11674592868064</v>
      </c>
      <c r="I25" s="56">
        <f t="shared" si="1"/>
        <v>373.97618890000001</v>
      </c>
      <c r="J25" s="76"/>
    </row>
    <row r="26" spans="1:10" ht="15" customHeight="1" x14ac:dyDescent="0.3">
      <c r="A26" s="55">
        <f t="shared" si="2"/>
        <v>17</v>
      </c>
      <c r="B26" s="49" t="s">
        <v>96</v>
      </c>
      <c r="C26" s="57">
        <v>1.3372956909361151</v>
      </c>
      <c r="D26" s="57">
        <v>293.4560327198364</v>
      </c>
      <c r="E26" s="57">
        <v>66.351074478665026</v>
      </c>
      <c r="F26" s="57">
        <v>140.19289280149857</v>
      </c>
      <c r="G26" s="57">
        <v>0.11674591381872283</v>
      </c>
      <c r="H26" s="49">
        <f t="shared" si="0"/>
        <v>500.1167459138187</v>
      </c>
      <c r="I26" s="56">
        <f t="shared" si="1"/>
        <v>373.97618888888661</v>
      </c>
      <c r="J26" s="76"/>
    </row>
    <row r="27" spans="1:10" ht="15" customHeight="1" x14ac:dyDescent="0.3">
      <c r="A27" s="55">
        <f t="shared" si="2"/>
        <v>18</v>
      </c>
      <c r="B27" s="58" t="s">
        <v>97</v>
      </c>
      <c r="C27" s="38">
        <v>1.3372956909361151</v>
      </c>
      <c r="D27" s="38">
        <v>3.275304606240733E-2</v>
      </c>
      <c r="E27" s="38">
        <v>3.275304606240733E-2</v>
      </c>
      <c r="F27" s="38">
        <v>3.275304606240733E-2</v>
      </c>
      <c r="G27" s="38">
        <v>500.0184867904934</v>
      </c>
      <c r="H27" s="49">
        <f t="shared" si="0"/>
        <v>500.11674592868064</v>
      </c>
      <c r="I27" s="56">
        <f t="shared" si="1"/>
        <v>373.97618890000001</v>
      </c>
      <c r="J27" s="76"/>
    </row>
    <row r="28" spans="1:10" ht="15" customHeight="1" x14ac:dyDescent="0.3">
      <c r="A28" s="55">
        <f>A27+1</f>
        <v>19</v>
      </c>
      <c r="B28" s="49" t="s">
        <v>84</v>
      </c>
      <c r="C28" s="57">
        <v>1.3372956909361151</v>
      </c>
      <c r="D28" s="57">
        <v>0</v>
      </c>
      <c r="E28" s="57">
        <f>373.9761889*C28-G28</f>
        <v>500.00000001486194</v>
      </c>
      <c r="F28" s="57">
        <v>0</v>
      </c>
      <c r="G28" s="57">
        <f>1.2*C28*G5</f>
        <v>0.11674591381872283</v>
      </c>
      <c r="H28" s="49">
        <f t="shared" ref="H28:H30" si="3">SUM(D28:G28)</f>
        <v>500.11674592868064</v>
      </c>
      <c r="I28" s="56">
        <f t="shared" si="1"/>
        <v>373.97618890000001</v>
      </c>
      <c r="J28" s="76"/>
    </row>
    <row r="29" spans="1:10" ht="15" customHeight="1" x14ac:dyDescent="0.3">
      <c r="A29" s="55">
        <f t="shared" ref="A29:A30" si="4">A28+1</f>
        <v>20</v>
      </c>
      <c r="B29" s="58" t="s">
        <v>52</v>
      </c>
      <c r="C29" s="58">
        <f>'Timing Calculation'!F27</f>
        <v>7.5334323922732667</v>
      </c>
      <c r="D29" s="58">
        <v>0</v>
      </c>
      <c r="E29" s="58">
        <f>1.2*C29*E5</f>
        <v>0.18450882615155684</v>
      </c>
      <c r="F29" s="58">
        <v>0</v>
      </c>
      <c r="G29" s="58">
        <f>373.9761889*C29-E29</f>
        <v>2817.1398265720145</v>
      </c>
      <c r="H29" s="49">
        <f t="shared" si="3"/>
        <v>2817.3243353981661</v>
      </c>
      <c r="I29" s="56">
        <f t="shared" si="1"/>
        <v>373.97618890000001</v>
      </c>
      <c r="J29" s="76"/>
    </row>
    <row r="30" spans="1:10" ht="15" customHeight="1" thickBot="1" x14ac:dyDescent="0.35">
      <c r="A30" s="59">
        <f t="shared" si="4"/>
        <v>21</v>
      </c>
      <c r="B30" s="60" t="s">
        <v>53</v>
      </c>
      <c r="C30" s="60">
        <f>G30/373.9761889</f>
        <v>40.109505485149882</v>
      </c>
      <c r="D30" s="60">
        <v>0</v>
      </c>
      <c r="E30" s="60">
        <v>0</v>
      </c>
      <c r="F30" s="60">
        <v>0</v>
      </c>
      <c r="G30" s="60">
        <f>15000</f>
        <v>15000</v>
      </c>
      <c r="H30" s="61">
        <f t="shared" si="3"/>
        <v>15000</v>
      </c>
      <c r="I30" s="62">
        <f t="shared" si="1"/>
        <v>373.97618890000007</v>
      </c>
      <c r="J30" s="77"/>
    </row>
    <row r="31" spans="1:10" ht="15" customHeight="1" x14ac:dyDescent="0.3">
      <c r="A31" s="49"/>
      <c r="B31" s="49"/>
    </row>
    <row r="32" spans="1:10" ht="15" customHeight="1" x14ac:dyDescent="0.3">
      <c r="A32" s="49"/>
      <c r="B32" s="49"/>
    </row>
    <row r="33" spans="1:10" ht="15" customHeight="1" thickBot="1" x14ac:dyDescent="0.35">
      <c r="A33" s="55"/>
    </row>
    <row r="34" spans="1:10" ht="15" customHeight="1" x14ac:dyDescent="0.3">
      <c r="A34" s="52"/>
      <c r="B34" s="53"/>
      <c r="C34" s="53"/>
      <c r="D34" s="53" t="s">
        <v>20</v>
      </c>
      <c r="E34" s="53" t="s">
        <v>21</v>
      </c>
      <c r="F34" s="53" t="s">
        <v>19</v>
      </c>
      <c r="G34" s="53" t="s">
        <v>24</v>
      </c>
      <c r="H34" s="53" t="s">
        <v>13</v>
      </c>
      <c r="I34" s="54" t="s">
        <v>13</v>
      </c>
      <c r="J34" s="75" t="s">
        <v>80</v>
      </c>
    </row>
    <row r="35" spans="1:10" ht="15" customHeight="1" x14ac:dyDescent="0.3">
      <c r="A35" s="55" t="s">
        <v>22</v>
      </c>
      <c r="B35" s="49" t="s">
        <v>0</v>
      </c>
      <c r="C35" s="49" t="s">
        <v>14</v>
      </c>
      <c r="D35" s="49" t="s">
        <v>1</v>
      </c>
      <c r="E35" s="49" t="s">
        <v>48</v>
      </c>
      <c r="F35" s="49" t="s">
        <v>2</v>
      </c>
      <c r="G35" s="49" t="s">
        <v>15</v>
      </c>
      <c r="H35" s="49" t="s">
        <v>9</v>
      </c>
      <c r="I35" s="56" t="s">
        <v>8</v>
      </c>
      <c r="J35" s="76"/>
    </row>
    <row r="36" spans="1:10" ht="15" customHeight="1" x14ac:dyDescent="0.3">
      <c r="A36" s="55">
        <f>0</f>
        <v>0</v>
      </c>
      <c r="B36" s="49" t="s">
        <v>51</v>
      </c>
      <c r="C36" s="49">
        <f>5/60</f>
        <v>8.3333333333333329E-2</v>
      </c>
      <c r="D36" s="49">
        <f>$D$5*1.2*C36</f>
        <v>2.0409999999999998E-3</v>
      </c>
      <c r="E36" s="49">
        <f>$E$5*1.2*C36</f>
        <v>2.0409999999999998E-3</v>
      </c>
      <c r="F36" s="49">
        <f>$F$5*1.2*C36</f>
        <v>2.0409999999999998E-3</v>
      </c>
      <c r="G36" s="49">
        <f>1.2*$G$5*C36</f>
        <v>7.2749999999999985E-3</v>
      </c>
      <c r="H36" s="49">
        <f>SUM(D36:G36)</f>
        <v>1.3397999999999998E-2</v>
      </c>
      <c r="I36" s="56">
        <f>H36/C36</f>
        <v>0.160776</v>
      </c>
      <c r="J36" s="76"/>
    </row>
    <row r="37" spans="1:10" ht="15" customHeight="1" x14ac:dyDescent="0.3">
      <c r="A37" s="55">
        <f>A36+1</f>
        <v>1</v>
      </c>
      <c r="B37" s="49" t="s">
        <v>64</v>
      </c>
      <c r="C37" s="57">
        <v>1.3372956909361151</v>
      </c>
      <c r="D37" s="57">
        <v>144.36619718309856</v>
      </c>
      <c r="E37" s="57">
        <v>217.69753605647324</v>
      </c>
      <c r="F37" s="57">
        <v>137.93626676042817</v>
      </c>
      <c r="G37" s="57">
        <v>0.11674591381872283</v>
      </c>
      <c r="H37" s="49">
        <f t="shared" ref="H37:H54" si="5">SUM(D37:G37)</f>
        <v>500.11674591381865</v>
      </c>
      <c r="I37" s="56">
        <f t="shared" ref="I37:I57" si="6">H37/C37</f>
        <v>373.97618888888655</v>
      </c>
      <c r="J37" s="76"/>
    </row>
    <row r="38" spans="1:10" ht="15" customHeight="1" x14ac:dyDescent="0.3">
      <c r="A38" s="55">
        <f t="shared" ref="A38:A57" si="7">A37+1</f>
        <v>2</v>
      </c>
      <c r="B38" s="58" t="s">
        <v>65</v>
      </c>
      <c r="C38" s="38">
        <v>1.3372956909361151</v>
      </c>
      <c r="D38" s="38">
        <v>3.275304606240733E-2</v>
      </c>
      <c r="E38" s="38">
        <v>3.275304606240733E-2</v>
      </c>
      <c r="F38" s="38">
        <v>3.275304606240733E-2</v>
      </c>
      <c r="G38" s="38">
        <v>500.0184867904934</v>
      </c>
      <c r="H38" s="49">
        <f t="shared" si="5"/>
        <v>500.11674592868064</v>
      </c>
      <c r="I38" s="56">
        <f t="shared" si="6"/>
        <v>373.97618890000001</v>
      </c>
      <c r="J38" s="76"/>
    </row>
    <row r="39" spans="1:10" ht="15" customHeight="1" x14ac:dyDescent="0.3">
      <c r="A39" s="55">
        <f t="shared" si="7"/>
        <v>3</v>
      </c>
      <c r="B39" s="49" t="s">
        <v>67</v>
      </c>
      <c r="C39" s="57">
        <v>1.3372956909361151</v>
      </c>
      <c r="D39" s="57">
        <v>144.36619718309856</v>
      </c>
      <c r="E39" s="57">
        <v>217.69753605647324</v>
      </c>
      <c r="F39" s="57">
        <v>137.93626676042817</v>
      </c>
      <c r="G39" s="57">
        <v>0.11674591381872283</v>
      </c>
      <c r="H39" s="49">
        <f t="shared" si="5"/>
        <v>500.11674591381865</v>
      </c>
      <c r="I39" s="56">
        <f t="shared" si="6"/>
        <v>373.97618888888655</v>
      </c>
      <c r="J39" s="76"/>
    </row>
    <row r="40" spans="1:10" ht="15" customHeight="1" x14ac:dyDescent="0.3">
      <c r="A40" s="55">
        <f t="shared" si="7"/>
        <v>4</v>
      </c>
      <c r="B40" s="58" t="s">
        <v>68</v>
      </c>
      <c r="C40" s="38">
        <v>1.3372956909361151</v>
      </c>
      <c r="D40" s="38">
        <v>3.275304606240733E-2</v>
      </c>
      <c r="E40" s="38">
        <v>3.275304606240733E-2</v>
      </c>
      <c r="F40" s="38">
        <v>3.275304606240733E-2</v>
      </c>
      <c r="G40" s="38">
        <v>500.0184867904934</v>
      </c>
      <c r="H40" s="49">
        <f t="shared" si="5"/>
        <v>500.11674592868064</v>
      </c>
      <c r="I40" s="56">
        <f t="shared" si="6"/>
        <v>373.97618890000001</v>
      </c>
      <c r="J40" s="76"/>
    </row>
    <row r="41" spans="1:10" ht="15.6" customHeight="1" x14ac:dyDescent="0.3">
      <c r="A41" s="55">
        <f t="shared" si="7"/>
        <v>5</v>
      </c>
      <c r="B41" s="49" t="s">
        <v>69</v>
      </c>
      <c r="C41" s="57">
        <v>1.3372956909361151</v>
      </c>
      <c r="D41" s="57">
        <v>144.36619718309856</v>
      </c>
      <c r="E41" s="57">
        <v>217.69753605647324</v>
      </c>
      <c r="F41" s="57">
        <v>137.93626676042817</v>
      </c>
      <c r="G41" s="57">
        <v>0.11674591381872283</v>
      </c>
      <c r="H41" s="49">
        <f t="shared" si="5"/>
        <v>500.11674591381865</v>
      </c>
      <c r="I41" s="56">
        <f t="shared" si="6"/>
        <v>373.97618888888655</v>
      </c>
      <c r="J41" s="76"/>
    </row>
    <row r="42" spans="1:10" ht="15" customHeight="1" x14ac:dyDescent="0.3">
      <c r="A42" s="55">
        <f t="shared" si="7"/>
        <v>6</v>
      </c>
      <c r="B42" s="58" t="s">
        <v>70</v>
      </c>
      <c r="C42" s="38">
        <v>1.3372956909361151</v>
      </c>
      <c r="D42" s="38">
        <v>3.275304606240733E-2</v>
      </c>
      <c r="E42" s="38">
        <v>3.275304606240733E-2</v>
      </c>
      <c r="F42" s="38">
        <v>3.275304606240733E-2</v>
      </c>
      <c r="G42" s="38">
        <v>500.0184867904934</v>
      </c>
      <c r="H42" s="49">
        <f t="shared" si="5"/>
        <v>500.11674592868064</v>
      </c>
      <c r="I42" s="56">
        <f t="shared" si="6"/>
        <v>373.97618890000001</v>
      </c>
      <c r="J42" s="76"/>
    </row>
    <row r="43" spans="1:10" ht="15" customHeight="1" x14ac:dyDescent="0.3">
      <c r="A43" s="55">
        <f t="shared" si="7"/>
        <v>7</v>
      </c>
      <c r="B43" s="49" t="s">
        <v>71</v>
      </c>
      <c r="C43" s="57">
        <v>1.3372956909361151</v>
      </c>
      <c r="D43" s="57">
        <v>144.36619718309856</v>
      </c>
      <c r="E43" s="57">
        <v>286.66566943668732</v>
      </c>
      <c r="F43" s="57">
        <v>68.968133380214084</v>
      </c>
      <c r="G43" s="57">
        <v>0.11674591381872283</v>
      </c>
      <c r="H43" s="49">
        <f t="shared" si="5"/>
        <v>500.1167459138187</v>
      </c>
      <c r="I43" s="56">
        <f t="shared" si="6"/>
        <v>373.97618888888661</v>
      </c>
      <c r="J43" s="76"/>
    </row>
    <row r="44" spans="1:10" ht="15" customHeight="1" x14ac:dyDescent="0.3">
      <c r="A44" s="55">
        <f t="shared" si="7"/>
        <v>8</v>
      </c>
      <c r="B44" s="58" t="s">
        <v>72</v>
      </c>
      <c r="C44" s="38">
        <v>1.3372956909361151</v>
      </c>
      <c r="D44" s="38">
        <v>3.275304606240733E-2</v>
      </c>
      <c r="E44" s="38">
        <v>3.275304606240733E-2</v>
      </c>
      <c r="F44" s="38">
        <v>3.275304606240733E-2</v>
      </c>
      <c r="G44" s="38">
        <v>500.0184867904934</v>
      </c>
      <c r="H44" s="49">
        <f t="shared" si="5"/>
        <v>500.11674592868064</v>
      </c>
      <c r="I44" s="56">
        <f t="shared" si="6"/>
        <v>373.97618890000001</v>
      </c>
      <c r="J44" s="76"/>
    </row>
    <row r="45" spans="1:10" ht="15" customHeight="1" x14ac:dyDescent="0.3">
      <c r="A45" s="55">
        <f t="shared" si="7"/>
        <v>9</v>
      </c>
      <c r="B45" s="49" t="s">
        <v>73</v>
      </c>
      <c r="C45" s="57">
        <v>1.3372956909361151</v>
      </c>
      <c r="D45" s="57">
        <v>144.36619718309856</v>
      </c>
      <c r="E45" s="57">
        <v>286.66566943668732</v>
      </c>
      <c r="F45" s="57">
        <v>68.968133380214084</v>
      </c>
      <c r="G45" s="57">
        <v>0.11674591381872283</v>
      </c>
      <c r="H45" s="49">
        <f t="shared" si="5"/>
        <v>500.1167459138187</v>
      </c>
      <c r="I45" s="56">
        <f t="shared" si="6"/>
        <v>373.97618888888661</v>
      </c>
      <c r="J45" s="76"/>
    </row>
    <row r="46" spans="1:10" ht="15" customHeight="1" x14ac:dyDescent="0.3">
      <c r="A46" s="55">
        <f t="shared" si="7"/>
        <v>10</v>
      </c>
      <c r="B46" s="58" t="s">
        <v>74</v>
      </c>
      <c r="C46" s="38">
        <v>1.3372956909361151</v>
      </c>
      <c r="D46" s="38">
        <v>3.275304606240733E-2</v>
      </c>
      <c r="E46" s="38">
        <v>3.275304606240733E-2</v>
      </c>
      <c r="F46" s="38">
        <v>3.275304606240733E-2</v>
      </c>
      <c r="G46" s="38">
        <v>500.0184867904934</v>
      </c>
      <c r="H46" s="49">
        <f t="shared" si="5"/>
        <v>500.11674592868064</v>
      </c>
      <c r="I46" s="56">
        <f t="shared" si="6"/>
        <v>373.97618890000001</v>
      </c>
      <c r="J46" s="76"/>
    </row>
    <row r="47" spans="1:10" ht="15" customHeight="1" x14ac:dyDescent="0.3">
      <c r="A47" s="55">
        <f t="shared" si="7"/>
        <v>11</v>
      </c>
      <c r="B47" s="49" t="s">
        <v>75</v>
      </c>
      <c r="C47" s="57">
        <v>1.3372956909361151</v>
      </c>
      <c r="D47" s="57">
        <v>144.36619718309856</v>
      </c>
      <c r="E47" s="57">
        <v>286.66566943668732</v>
      </c>
      <c r="F47" s="57">
        <v>68.968133380214084</v>
      </c>
      <c r="G47" s="57">
        <v>0.11674591381872283</v>
      </c>
      <c r="H47" s="49">
        <f t="shared" si="5"/>
        <v>500.1167459138187</v>
      </c>
      <c r="I47" s="56">
        <f t="shared" si="6"/>
        <v>373.97618888888661</v>
      </c>
      <c r="J47" s="76"/>
    </row>
    <row r="48" spans="1:10" ht="15" customHeight="1" x14ac:dyDescent="0.3">
      <c r="A48" s="55">
        <f t="shared" si="7"/>
        <v>12</v>
      </c>
      <c r="B48" s="58" t="s">
        <v>76</v>
      </c>
      <c r="C48" s="38">
        <v>1.3372956909361151</v>
      </c>
      <c r="D48" s="38">
        <v>3.275304606240733E-2</v>
      </c>
      <c r="E48" s="38">
        <v>3.275304606240733E-2</v>
      </c>
      <c r="F48" s="38">
        <v>3.275304606240733E-2</v>
      </c>
      <c r="G48" s="38">
        <v>500.0184867904934</v>
      </c>
      <c r="H48" s="49">
        <f t="shared" si="5"/>
        <v>500.11674592868064</v>
      </c>
      <c r="I48" s="56">
        <f t="shared" si="6"/>
        <v>373.97618890000001</v>
      </c>
      <c r="J48" s="76"/>
    </row>
    <row r="49" spans="1:10" ht="15" customHeight="1" x14ac:dyDescent="0.3">
      <c r="A49" s="55">
        <f t="shared" si="7"/>
        <v>13</v>
      </c>
      <c r="B49" s="49" t="s">
        <v>77</v>
      </c>
      <c r="C49" s="57">
        <v>1.3372956909361151</v>
      </c>
      <c r="D49" s="57">
        <v>293.4560327198364</v>
      </c>
      <c r="E49" s="57">
        <v>66.351074478665026</v>
      </c>
      <c r="F49" s="57">
        <v>140.19289280149857</v>
      </c>
      <c r="G49" s="57">
        <v>0.11674591381872283</v>
      </c>
      <c r="H49" s="49">
        <f t="shared" si="5"/>
        <v>500.1167459138187</v>
      </c>
      <c r="I49" s="56">
        <f t="shared" si="6"/>
        <v>373.97618888888661</v>
      </c>
      <c r="J49" s="76"/>
    </row>
    <row r="50" spans="1:10" ht="15" customHeight="1" x14ac:dyDescent="0.3">
      <c r="A50" s="55">
        <f t="shared" si="7"/>
        <v>14</v>
      </c>
      <c r="B50" s="58" t="s">
        <v>78</v>
      </c>
      <c r="C50" s="38">
        <v>1.3372956909361151</v>
      </c>
      <c r="D50" s="38">
        <v>3.275304606240733E-2</v>
      </c>
      <c r="E50" s="38">
        <v>3.275304606240733E-2</v>
      </c>
      <c r="F50" s="38">
        <v>3.275304606240733E-2</v>
      </c>
      <c r="G50" s="38">
        <v>500.0184867904934</v>
      </c>
      <c r="H50" s="49">
        <f t="shared" si="5"/>
        <v>500.11674592868064</v>
      </c>
      <c r="I50" s="56">
        <f t="shared" si="6"/>
        <v>373.97618890000001</v>
      </c>
      <c r="J50" s="76"/>
    </row>
    <row r="51" spans="1:10" ht="15" customHeight="1" x14ac:dyDescent="0.3">
      <c r="A51" s="55">
        <f t="shared" si="7"/>
        <v>15</v>
      </c>
      <c r="B51" s="49" t="s">
        <v>94</v>
      </c>
      <c r="C51" s="57">
        <v>1.3372956909361151</v>
      </c>
      <c r="D51" s="57">
        <v>293.4560327198364</v>
      </c>
      <c r="E51" s="57">
        <v>66.351074478665026</v>
      </c>
      <c r="F51" s="57">
        <v>140.19289280149857</v>
      </c>
      <c r="G51" s="57">
        <v>0.11674591381872283</v>
      </c>
      <c r="H51" s="49">
        <f t="shared" si="5"/>
        <v>500.1167459138187</v>
      </c>
      <c r="I51" s="56">
        <f t="shared" si="6"/>
        <v>373.97618888888661</v>
      </c>
      <c r="J51" s="76"/>
    </row>
    <row r="52" spans="1:10" ht="15" customHeight="1" x14ac:dyDescent="0.3">
      <c r="A52" s="55">
        <f t="shared" si="7"/>
        <v>16</v>
      </c>
      <c r="B52" s="58" t="s">
        <v>95</v>
      </c>
      <c r="C52" s="38">
        <v>1.3372956909361151</v>
      </c>
      <c r="D52" s="38">
        <v>3.275304606240733E-2</v>
      </c>
      <c r="E52" s="38">
        <v>3.275304606240733E-2</v>
      </c>
      <c r="F52" s="38">
        <v>3.275304606240733E-2</v>
      </c>
      <c r="G52" s="38">
        <v>500.0184867904934</v>
      </c>
      <c r="H52" s="49">
        <f t="shared" si="5"/>
        <v>500.11674592868064</v>
      </c>
      <c r="I52" s="56">
        <f t="shared" si="6"/>
        <v>373.97618890000001</v>
      </c>
      <c r="J52" s="76"/>
    </row>
    <row r="53" spans="1:10" ht="15" customHeight="1" x14ac:dyDescent="0.3">
      <c r="A53" s="55">
        <f t="shared" si="7"/>
        <v>17</v>
      </c>
      <c r="B53" s="49" t="s">
        <v>96</v>
      </c>
      <c r="C53" s="57">
        <v>1.3372956909361151</v>
      </c>
      <c r="D53" s="57">
        <v>293.4560327198364</v>
      </c>
      <c r="E53" s="57">
        <v>66.351074478665026</v>
      </c>
      <c r="F53" s="57">
        <v>140.19289280149857</v>
      </c>
      <c r="G53" s="57">
        <v>0.11674591381872283</v>
      </c>
      <c r="H53" s="49">
        <f t="shared" si="5"/>
        <v>500.1167459138187</v>
      </c>
      <c r="I53" s="56">
        <f t="shared" si="6"/>
        <v>373.97618888888661</v>
      </c>
      <c r="J53" s="76"/>
    </row>
    <row r="54" spans="1:10" ht="15" customHeight="1" x14ac:dyDescent="0.3">
      <c r="A54" s="55">
        <f t="shared" si="7"/>
        <v>18</v>
      </c>
      <c r="B54" s="58" t="s">
        <v>97</v>
      </c>
      <c r="C54" s="38">
        <v>1.3372956909361151</v>
      </c>
      <c r="D54" s="38">
        <v>3.275304606240733E-2</v>
      </c>
      <c r="E54" s="38">
        <v>3.275304606240733E-2</v>
      </c>
      <c r="F54" s="38">
        <v>3.275304606240733E-2</v>
      </c>
      <c r="G54" s="38">
        <v>500.0184867904934</v>
      </c>
      <c r="H54" s="49">
        <f t="shared" si="5"/>
        <v>500.11674592868064</v>
      </c>
      <c r="I54" s="56">
        <f t="shared" si="6"/>
        <v>373.97618890000001</v>
      </c>
      <c r="J54" s="76"/>
    </row>
    <row r="55" spans="1:10" ht="15" customHeight="1" x14ac:dyDescent="0.3">
      <c r="A55" s="55">
        <f t="shared" si="7"/>
        <v>19</v>
      </c>
      <c r="B55" s="49" t="s">
        <v>84</v>
      </c>
      <c r="C55" s="57">
        <v>1.3372956909361151</v>
      </c>
      <c r="D55" s="57">
        <v>0</v>
      </c>
      <c r="E55" s="57">
        <f>373.9761889*C55-G55</f>
        <v>500.00000001486194</v>
      </c>
      <c r="F55" s="57">
        <v>0</v>
      </c>
      <c r="G55" s="57">
        <f>1.2*C55*G5</f>
        <v>0.11674591381872283</v>
      </c>
      <c r="H55" s="49">
        <f t="shared" ref="H55:H57" si="8">SUM(D55:G55)</f>
        <v>500.11674592868064</v>
      </c>
      <c r="I55" s="56">
        <f t="shared" si="6"/>
        <v>373.97618890000001</v>
      </c>
      <c r="J55" s="76"/>
    </row>
    <row r="56" spans="1:10" ht="15" customHeight="1" x14ac:dyDescent="0.3">
      <c r="A56" s="55">
        <f t="shared" si="7"/>
        <v>20</v>
      </c>
      <c r="B56" s="58" t="s">
        <v>52</v>
      </c>
      <c r="C56" s="58">
        <f>'Timing Calculation'!F28</f>
        <v>7.5334323922732667</v>
      </c>
      <c r="D56" s="58">
        <v>0</v>
      </c>
      <c r="E56" s="58">
        <f>1.2*C56*E5</f>
        <v>0.18450882615155684</v>
      </c>
      <c r="F56" s="58">
        <v>0</v>
      </c>
      <c r="G56" s="58">
        <f>373.9761889*C56-E56</f>
        <v>2817.1398265720145</v>
      </c>
      <c r="H56" s="49">
        <f t="shared" si="8"/>
        <v>2817.3243353981661</v>
      </c>
      <c r="I56" s="56">
        <f t="shared" si="6"/>
        <v>373.97618890000001</v>
      </c>
      <c r="J56" s="76"/>
    </row>
    <row r="57" spans="1:10" ht="15" customHeight="1" thickBot="1" x14ac:dyDescent="0.35">
      <c r="A57" s="59">
        <f t="shared" si="7"/>
        <v>21</v>
      </c>
      <c r="B57" s="60" t="s">
        <v>53</v>
      </c>
      <c r="C57" s="60">
        <f>G57/373.9761889</f>
        <v>40.109505485149882</v>
      </c>
      <c r="D57" s="60">
        <v>0</v>
      </c>
      <c r="E57" s="60">
        <v>0</v>
      </c>
      <c r="F57" s="60">
        <v>0</v>
      </c>
      <c r="G57" s="60">
        <f>15000</f>
        <v>15000</v>
      </c>
      <c r="H57" s="61">
        <f t="shared" si="8"/>
        <v>15000</v>
      </c>
      <c r="I57" s="62">
        <f t="shared" si="6"/>
        <v>373.97618890000007</v>
      </c>
      <c r="J57" s="77"/>
    </row>
    <row r="58" spans="1:10" ht="15" customHeight="1" x14ac:dyDescent="0.3">
      <c r="A58" s="49"/>
      <c r="B58" s="49"/>
    </row>
    <row r="59" spans="1:10" ht="15" customHeight="1" x14ac:dyDescent="0.3">
      <c r="A59" s="49"/>
      <c r="B59" s="49"/>
    </row>
    <row r="60" spans="1:10" ht="15" customHeight="1" thickBot="1" x14ac:dyDescent="0.35">
      <c r="A60" s="49"/>
      <c r="B60" s="49"/>
    </row>
    <row r="61" spans="1:10" ht="15" customHeight="1" x14ac:dyDescent="0.3">
      <c r="A61" s="52"/>
      <c r="B61" s="53"/>
      <c r="C61" s="53"/>
      <c r="D61" s="53" t="s">
        <v>20</v>
      </c>
      <c r="E61" s="53" t="s">
        <v>21</v>
      </c>
      <c r="F61" s="53" t="s">
        <v>19</v>
      </c>
      <c r="G61" s="53" t="s">
        <v>24</v>
      </c>
      <c r="H61" s="53" t="s">
        <v>13</v>
      </c>
      <c r="I61" s="54" t="s">
        <v>13</v>
      </c>
      <c r="J61" s="75" t="s">
        <v>81</v>
      </c>
    </row>
    <row r="62" spans="1:10" ht="15" customHeight="1" x14ac:dyDescent="0.3">
      <c r="A62" s="55" t="s">
        <v>22</v>
      </c>
      <c r="B62" s="49" t="s">
        <v>0</v>
      </c>
      <c r="C62" s="49" t="s">
        <v>14</v>
      </c>
      <c r="D62" s="49" t="s">
        <v>1</v>
      </c>
      <c r="E62" s="49" t="s">
        <v>48</v>
      </c>
      <c r="F62" s="49" t="s">
        <v>2</v>
      </c>
      <c r="G62" s="49" t="s">
        <v>15</v>
      </c>
      <c r="H62" s="49" t="s">
        <v>9</v>
      </c>
      <c r="I62" s="56" t="s">
        <v>8</v>
      </c>
      <c r="J62" s="76"/>
    </row>
    <row r="63" spans="1:10" ht="15" customHeight="1" x14ac:dyDescent="0.3">
      <c r="A63" s="55">
        <f>0</f>
        <v>0</v>
      </c>
      <c r="B63" s="49" t="s">
        <v>51</v>
      </c>
      <c r="C63" s="49">
        <f>5/60</f>
        <v>8.3333333333333329E-2</v>
      </c>
      <c r="D63" s="49">
        <f>$D$5*1.2*C63</f>
        <v>2.0409999999999998E-3</v>
      </c>
      <c r="E63" s="49">
        <f>$E$5*1.2*C63</f>
        <v>2.0409999999999998E-3</v>
      </c>
      <c r="F63" s="49">
        <f>$F$5*1.2*C63</f>
        <v>2.0409999999999998E-3</v>
      </c>
      <c r="G63" s="49">
        <f>1.2*$G$5*C63</f>
        <v>7.2749999999999985E-3</v>
      </c>
      <c r="H63" s="49">
        <f>SUM(D63:G63)</f>
        <v>1.3397999999999998E-2</v>
      </c>
      <c r="I63" s="56">
        <f>H63/C63</f>
        <v>0.160776</v>
      </c>
      <c r="J63" s="76"/>
    </row>
    <row r="64" spans="1:10" ht="15" customHeight="1" x14ac:dyDescent="0.3">
      <c r="A64" s="55">
        <f>A63+1</f>
        <v>1</v>
      </c>
      <c r="B64" s="49" t="s">
        <v>64</v>
      </c>
      <c r="C64" s="57">
        <v>2.6745913818722302</v>
      </c>
      <c r="D64" s="57">
        <v>144.36619718309856</v>
      </c>
      <c r="E64" s="57">
        <v>217.69753605647324</v>
      </c>
      <c r="F64" s="57">
        <v>137.93626676042817</v>
      </c>
      <c r="G64" s="57">
        <v>0.23349182763744566</v>
      </c>
      <c r="H64" s="49">
        <f t="shared" ref="H64:H81" si="9">SUM(D64:G64)</f>
        <v>500.23349182763741</v>
      </c>
      <c r="I64" s="56">
        <f t="shared" ref="I64:I84" si="10">H64/C64</f>
        <v>187.03174444444329</v>
      </c>
      <c r="J64" s="76"/>
    </row>
    <row r="65" spans="1:10" ht="15" customHeight="1" x14ac:dyDescent="0.3">
      <c r="A65" s="55">
        <f t="shared" ref="A65:A84" si="11">A64+1</f>
        <v>2</v>
      </c>
      <c r="B65" s="58" t="s">
        <v>65</v>
      </c>
      <c r="C65" s="38">
        <v>2.6745913818722302</v>
      </c>
      <c r="D65" s="38">
        <v>6.550609212481466E-2</v>
      </c>
      <c r="E65" s="38">
        <v>6.550609212481466E-2</v>
      </c>
      <c r="F65" s="38">
        <v>6.550609212481466E-2</v>
      </c>
      <c r="G65" s="38">
        <v>500.03697343239537</v>
      </c>
      <c r="H65" s="49">
        <f t="shared" si="9"/>
        <v>500.2334917087698</v>
      </c>
      <c r="I65" s="56">
        <f t="shared" si="10"/>
        <v>187.03174440000001</v>
      </c>
      <c r="J65" s="76"/>
    </row>
    <row r="66" spans="1:10" ht="15" customHeight="1" x14ac:dyDescent="0.3">
      <c r="A66" s="55">
        <f t="shared" si="11"/>
        <v>3</v>
      </c>
      <c r="B66" s="49" t="s">
        <v>67</v>
      </c>
      <c r="C66" s="57">
        <v>2.6745913818722302</v>
      </c>
      <c r="D66" s="57">
        <v>144.36619718309856</v>
      </c>
      <c r="E66" s="57">
        <v>217.69753605647324</v>
      </c>
      <c r="F66" s="57">
        <v>137.93626676042817</v>
      </c>
      <c r="G66" s="57">
        <v>0.23349182763744566</v>
      </c>
      <c r="H66" s="49">
        <f t="shared" si="9"/>
        <v>500.23349182763741</v>
      </c>
      <c r="I66" s="56">
        <f t="shared" si="10"/>
        <v>187.03174444444329</v>
      </c>
      <c r="J66" s="76"/>
    </row>
    <row r="67" spans="1:10" ht="15" customHeight="1" x14ac:dyDescent="0.3">
      <c r="A67" s="55">
        <f t="shared" si="11"/>
        <v>4</v>
      </c>
      <c r="B67" s="58" t="s">
        <v>68</v>
      </c>
      <c r="C67" s="38">
        <v>2.6745913818722302</v>
      </c>
      <c r="D67" s="38">
        <v>6.550609212481466E-2</v>
      </c>
      <c r="E67" s="38">
        <v>6.550609212481466E-2</v>
      </c>
      <c r="F67" s="38">
        <v>6.550609212481466E-2</v>
      </c>
      <c r="G67" s="38">
        <v>500.03697343239537</v>
      </c>
      <c r="H67" s="49">
        <f t="shared" si="9"/>
        <v>500.2334917087698</v>
      </c>
      <c r="I67" s="56">
        <f t="shared" si="10"/>
        <v>187.03174440000001</v>
      </c>
      <c r="J67" s="76"/>
    </row>
    <row r="68" spans="1:10" ht="15" customHeight="1" x14ac:dyDescent="0.3">
      <c r="A68" s="55">
        <f t="shared" si="11"/>
        <v>5</v>
      </c>
      <c r="B68" s="49" t="s">
        <v>69</v>
      </c>
      <c r="C68" s="57">
        <v>2.6745913818722302</v>
      </c>
      <c r="D68" s="57">
        <v>144.36619718309856</v>
      </c>
      <c r="E68" s="57">
        <v>217.69753605647324</v>
      </c>
      <c r="F68" s="57">
        <v>137.93626676042817</v>
      </c>
      <c r="G68" s="57">
        <v>0.23349182763744566</v>
      </c>
      <c r="H68" s="49">
        <f t="shared" si="9"/>
        <v>500.23349182763741</v>
      </c>
      <c r="I68" s="56">
        <f t="shared" si="10"/>
        <v>187.03174444444329</v>
      </c>
      <c r="J68" s="76"/>
    </row>
    <row r="69" spans="1:10" ht="15" customHeight="1" x14ac:dyDescent="0.3">
      <c r="A69" s="55">
        <f t="shared" si="11"/>
        <v>6</v>
      </c>
      <c r="B69" s="58" t="s">
        <v>70</v>
      </c>
      <c r="C69" s="38">
        <v>2.6745913818722302</v>
      </c>
      <c r="D69" s="38">
        <v>6.550609212481466E-2</v>
      </c>
      <c r="E69" s="38">
        <v>6.550609212481466E-2</v>
      </c>
      <c r="F69" s="38">
        <v>6.550609212481466E-2</v>
      </c>
      <c r="G69" s="38">
        <v>500.03697343239537</v>
      </c>
      <c r="H69" s="49">
        <f t="shared" si="9"/>
        <v>500.2334917087698</v>
      </c>
      <c r="I69" s="56">
        <f t="shared" si="10"/>
        <v>187.03174440000001</v>
      </c>
      <c r="J69" s="76"/>
    </row>
    <row r="70" spans="1:10" ht="15" customHeight="1" x14ac:dyDescent="0.3">
      <c r="A70" s="55">
        <f t="shared" si="11"/>
        <v>7</v>
      </c>
      <c r="B70" s="49" t="s">
        <v>71</v>
      </c>
      <c r="C70" s="57">
        <v>2.6745913818722302</v>
      </c>
      <c r="D70" s="57">
        <v>144.36619718309856</v>
      </c>
      <c r="E70" s="57">
        <v>286.66566943668732</v>
      </c>
      <c r="F70" s="57">
        <v>68.968133380214084</v>
      </c>
      <c r="G70" s="57">
        <v>0.23349182763744566</v>
      </c>
      <c r="H70" s="49">
        <f t="shared" si="9"/>
        <v>500.23349182763747</v>
      </c>
      <c r="I70" s="56">
        <f t="shared" si="10"/>
        <v>187.03174444444332</v>
      </c>
      <c r="J70" s="76"/>
    </row>
    <row r="71" spans="1:10" ht="15" customHeight="1" x14ac:dyDescent="0.3">
      <c r="A71" s="55">
        <f t="shared" si="11"/>
        <v>8</v>
      </c>
      <c r="B71" s="58" t="s">
        <v>72</v>
      </c>
      <c r="C71" s="38">
        <v>2.6745913818722302</v>
      </c>
      <c r="D71" s="38">
        <v>6.550609212481466E-2</v>
      </c>
      <c r="E71" s="38">
        <v>6.550609212481466E-2</v>
      </c>
      <c r="F71" s="38">
        <v>6.550609212481466E-2</v>
      </c>
      <c r="G71" s="38">
        <v>500.03697343239537</v>
      </c>
      <c r="H71" s="49">
        <f t="shared" si="9"/>
        <v>500.2334917087698</v>
      </c>
      <c r="I71" s="56">
        <f t="shared" si="10"/>
        <v>187.03174440000001</v>
      </c>
      <c r="J71" s="76"/>
    </row>
    <row r="72" spans="1:10" ht="15" customHeight="1" x14ac:dyDescent="0.3">
      <c r="A72" s="55">
        <f t="shared" si="11"/>
        <v>9</v>
      </c>
      <c r="B72" s="49" t="s">
        <v>73</v>
      </c>
      <c r="C72" s="57">
        <v>2.6745913818722302</v>
      </c>
      <c r="D72" s="57">
        <v>144.36619718309856</v>
      </c>
      <c r="E72" s="57">
        <v>286.66566943668732</v>
      </c>
      <c r="F72" s="57">
        <v>68.968133380214084</v>
      </c>
      <c r="G72" s="57">
        <v>0.23349182763744566</v>
      </c>
      <c r="H72" s="49">
        <f t="shared" si="9"/>
        <v>500.23349182763747</v>
      </c>
      <c r="I72" s="56">
        <f t="shared" si="10"/>
        <v>187.03174444444332</v>
      </c>
      <c r="J72" s="76"/>
    </row>
    <row r="73" spans="1:10" ht="15" customHeight="1" x14ac:dyDescent="0.3">
      <c r="A73" s="55">
        <f t="shared" si="11"/>
        <v>10</v>
      </c>
      <c r="B73" s="58" t="s">
        <v>74</v>
      </c>
      <c r="C73" s="38">
        <v>2.6745913818722302</v>
      </c>
      <c r="D73" s="38">
        <v>6.550609212481466E-2</v>
      </c>
      <c r="E73" s="38">
        <v>6.550609212481466E-2</v>
      </c>
      <c r="F73" s="38">
        <v>6.550609212481466E-2</v>
      </c>
      <c r="G73" s="38">
        <v>500.03697343239537</v>
      </c>
      <c r="H73" s="49">
        <f t="shared" si="9"/>
        <v>500.2334917087698</v>
      </c>
      <c r="I73" s="56">
        <f t="shared" si="10"/>
        <v>187.03174440000001</v>
      </c>
      <c r="J73" s="76"/>
    </row>
    <row r="74" spans="1:10" x14ac:dyDescent="0.3">
      <c r="A74" s="55">
        <f t="shared" si="11"/>
        <v>11</v>
      </c>
      <c r="B74" s="49" t="s">
        <v>75</v>
      </c>
      <c r="C74" s="57">
        <v>2.6745913818722302</v>
      </c>
      <c r="D74" s="57">
        <v>144.36619718309856</v>
      </c>
      <c r="E74" s="57">
        <v>286.66566943668732</v>
      </c>
      <c r="F74" s="57">
        <v>68.968133380214084</v>
      </c>
      <c r="G74" s="57">
        <v>0.23349182763744566</v>
      </c>
      <c r="H74" s="49">
        <f t="shared" si="9"/>
        <v>500.23349182763747</v>
      </c>
      <c r="I74" s="56">
        <f t="shared" si="10"/>
        <v>187.03174444444332</v>
      </c>
      <c r="J74" s="76"/>
    </row>
    <row r="75" spans="1:10" x14ac:dyDescent="0.3">
      <c r="A75" s="55">
        <f t="shared" si="11"/>
        <v>12</v>
      </c>
      <c r="B75" s="58" t="s">
        <v>76</v>
      </c>
      <c r="C75" s="38">
        <v>2.6745913818722302</v>
      </c>
      <c r="D75" s="38">
        <v>6.550609212481466E-2</v>
      </c>
      <c r="E75" s="38">
        <v>6.550609212481466E-2</v>
      </c>
      <c r="F75" s="38">
        <v>6.550609212481466E-2</v>
      </c>
      <c r="G75" s="38">
        <v>500.03697343239537</v>
      </c>
      <c r="H75" s="49">
        <f t="shared" si="9"/>
        <v>500.2334917087698</v>
      </c>
      <c r="I75" s="56">
        <f t="shared" si="10"/>
        <v>187.03174440000001</v>
      </c>
      <c r="J75" s="76"/>
    </row>
    <row r="76" spans="1:10" ht="15" customHeight="1" x14ac:dyDescent="0.3">
      <c r="A76" s="55">
        <f t="shared" si="11"/>
        <v>13</v>
      </c>
      <c r="B76" s="49" t="s">
        <v>77</v>
      </c>
      <c r="C76" s="57">
        <v>2.6745913818722302</v>
      </c>
      <c r="D76" s="57">
        <v>293.4560327198364</v>
      </c>
      <c r="E76" s="57">
        <v>66.351074478665026</v>
      </c>
      <c r="F76" s="57">
        <v>140.19289280149857</v>
      </c>
      <c r="G76" s="57">
        <v>0.23349182763744566</v>
      </c>
      <c r="H76" s="49">
        <f t="shared" si="9"/>
        <v>500.23349182763747</v>
      </c>
      <c r="I76" s="56">
        <f t="shared" si="10"/>
        <v>187.03174444444332</v>
      </c>
      <c r="J76" s="76"/>
    </row>
    <row r="77" spans="1:10" ht="15" customHeight="1" x14ac:dyDescent="0.3">
      <c r="A77" s="55">
        <f t="shared" si="11"/>
        <v>14</v>
      </c>
      <c r="B77" s="58" t="s">
        <v>78</v>
      </c>
      <c r="C77" s="38">
        <v>2.6745913818722302</v>
      </c>
      <c r="D77" s="38">
        <v>6.550609212481466E-2</v>
      </c>
      <c r="E77" s="38">
        <v>6.550609212481466E-2</v>
      </c>
      <c r="F77" s="38">
        <v>6.550609212481466E-2</v>
      </c>
      <c r="G77" s="38">
        <v>500.03697343239537</v>
      </c>
      <c r="H77" s="49">
        <f t="shared" si="9"/>
        <v>500.2334917087698</v>
      </c>
      <c r="I77" s="56">
        <f t="shared" si="10"/>
        <v>187.03174440000001</v>
      </c>
      <c r="J77" s="76"/>
    </row>
    <row r="78" spans="1:10" ht="15" customHeight="1" x14ac:dyDescent="0.3">
      <c r="A78" s="55">
        <f t="shared" si="11"/>
        <v>15</v>
      </c>
      <c r="B78" s="49" t="s">
        <v>94</v>
      </c>
      <c r="C78" s="57">
        <v>2.6745913818722302</v>
      </c>
      <c r="D78" s="57">
        <v>293.4560327198364</v>
      </c>
      <c r="E78" s="57">
        <v>66.351074478665026</v>
      </c>
      <c r="F78" s="57">
        <v>140.19289280149857</v>
      </c>
      <c r="G78" s="57">
        <v>0.23349182763744566</v>
      </c>
      <c r="H78" s="49">
        <f t="shared" si="9"/>
        <v>500.23349182763747</v>
      </c>
      <c r="I78" s="56">
        <f t="shared" si="10"/>
        <v>187.03174444444332</v>
      </c>
      <c r="J78" s="76"/>
    </row>
    <row r="79" spans="1:10" ht="15" customHeight="1" x14ac:dyDescent="0.3">
      <c r="A79" s="55">
        <f t="shared" si="11"/>
        <v>16</v>
      </c>
      <c r="B79" s="58" t="s">
        <v>95</v>
      </c>
      <c r="C79" s="38">
        <v>2.6745913818722302</v>
      </c>
      <c r="D79" s="38">
        <v>6.550609212481466E-2</v>
      </c>
      <c r="E79" s="38">
        <v>6.550609212481466E-2</v>
      </c>
      <c r="F79" s="38">
        <v>6.550609212481466E-2</v>
      </c>
      <c r="G79" s="38">
        <v>500.03697343239537</v>
      </c>
      <c r="H79" s="49">
        <f t="shared" si="9"/>
        <v>500.2334917087698</v>
      </c>
      <c r="I79" s="56">
        <f t="shared" si="10"/>
        <v>187.03174440000001</v>
      </c>
      <c r="J79" s="76"/>
    </row>
    <row r="80" spans="1:10" ht="15" customHeight="1" x14ac:dyDescent="0.3">
      <c r="A80" s="55">
        <f t="shared" si="11"/>
        <v>17</v>
      </c>
      <c r="B80" s="49" t="s">
        <v>96</v>
      </c>
      <c r="C80" s="57">
        <v>2.6745913818722302</v>
      </c>
      <c r="D80" s="57">
        <v>293.4560327198364</v>
      </c>
      <c r="E80" s="57">
        <v>66.351074478665026</v>
      </c>
      <c r="F80" s="57">
        <v>140.19289280149857</v>
      </c>
      <c r="G80" s="57">
        <v>0.23349182763744566</v>
      </c>
      <c r="H80" s="49">
        <f t="shared" si="9"/>
        <v>500.23349182763747</v>
      </c>
      <c r="I80" s="56">
        <f t="shared" si="10"/>
        <v>187.03174444444332</v>
      </c>
      <c r="J80" s="76"/>
    </row>
    <row r="81" spans="1:10" ht="15" customHeight="1" x14ac:dyDescent="0.3">
      <c r="A81" s="55">
        <f t="shared" si="11"/>
        <v>18</v>
      </c>
      <c r="B81" s="58" t="s">
        <v>97</v>
      </c>
      <c r="C81" s="38">
        <v>2.6745913818722302</v>
      </c>
      <c r="D81" s="38">
        <v>6.550609212481466E-2</v>
      </c>
      <c r="E81" s="38">
        <v>6.550609212481466E-2</v>
      </c>
      <c r="F81" s="38">
        <v>6.550609212481466E-2</v>
      </c>
      <c r="G81" s="38">
        <v>500.03697343239537</v>
      </c>
      <c r="H81" s="49">
        <f t="shared" si="9"/>
        <v>500.2334917087698</v>
      </c>
      <c r="I81" s="56">
        <f t="shared" si="10"/>
        <v>187.03174440000001</v>
      </c>
      <c r="J81" s="76"/>
    </row>
    <row r="82" spans="1:10" ht="15" customHeight="1" x14ac:dyDescent="0.3">
      <c r="A82" s="55">
        <f t="shared" si="11"/>
        <v>19</v>
      </c>
      <c r="B82" s="49" t="s">
        <v>84</v>
      </c>
      <c r="C82" s="57">
        <v>2.6745913818722302</v>
      </c>
      <c r="D82" s="57">
        <v>0</v>
      </c>
      <c r="E82" s="57">
        <f>187.0317444*C82-G82</f>
        <v>499.99999988113234</v>
      </c>
      <c r="F82" s="57">
        <v>0</v>
      </c>
      <c r="G82" s="57">
        <f>1.2*C82*G5</f>
        <v>0.23349182763744566</v>
      </c>
      <c r="H82" s="49">
        <f t="shared" ref="H82:H84" si="12">SUM(D82:G82)</f>
        <v>500.2334917087698</v>
      </c>
      <c r="I82" s="56">
        <f t="shared" si="10"/>
        <v>187.03174440000001</v>
      </c>
      <c r="J82" s="76"/>
    </row>
    <row r="83" spans="1:10" ht="15" customHeight="1" x14ac:dyDescent="0.3">
      <c r="A83" s="55">
        <f t="shared" si="11"/>
        <v>20</v>
      </c>
      <c r="B83" s="58" t="s">
        <v>52</v>
      </c>
      <c r="C83" s="58">
        <f>'Timing Calculation'!F29</f>
        <v>15.066864784546533</v>
      </c>
      <c r="D83" s="58">
        <v>0</v>
      </c>
      <c r="E83" s="58">
        <f>1.2*C83*E5</f>
        <v>0.36901765230311367</v>
      </c>
      <c r="F83" s="58">
        <v>0</v>
      </c>
      <c r="G83" s="58">
        <f>187.0317444*C83-E83</f>
        <v>2817.612985640365</v>
      </c>
      <c r="H83" s="49">
        <f t="shared" si="12"/>
        <v>2817.9820032926682</v>
      </c>
      <c r="I83" s="56">
        <f t="shared" si="10"/>
        <v>187.03174439999998</v>
      </c>
      <c r="J83" s="76"/>
    </row>
    <row r="84" spans="1:10" ht="15" customHeight="1" thickBot="1" x14ac:dyDescent="0.35">
      <c r="A84" s="59">
        <f t="shared" si="11"/>
        <v>21</v>
      </c>
      <c r="B84" s="60" t="s">
        <v>53</v>
      </c>
      <c r="C84" s="60">
        <f>G84/187.0317444</f>
        <v>80.200289251004818</v>
      </c>
      <c r="D84" s="60">
        <v>0</v>
      </c>
      <c r="E84" s="60">
        <v>0</v>
      </c>
      <c r="F84" s="60">
        <v>0</v>
      </c>
      <c r="G84" s="60">
        <f>15000</f>
        <v>15000</v>
      </c>
      <c r="H84" s="61">
        <f t="shared" si="12"/>
        <v>15000</v>
      </c>
      <c r="I84" s="62">
        <f t="shared" si="10"/>
        <v>187.03174439999998</v>
      </c>
      <c r="J84" s="77"/>
    </row>
    <row r="85" spans="1:10" ht="15" customHeight="1" x14ac:dyDescent="0.3">
      <c r="A85" s="49"/>
      <c r="B85" s="49"/>
    </row>
    <row r="86" spans="1:10" x14ac:dyDescent="0.3">
      <c r="A86" s="49"/>
      <c r="B86" s="49"/>
    </row>
    <row r="87" spans="1:10" ht="15.6" thickBot="1" x14ac:dyDescent="0.35">
      <c r="A87" s="49"/>
      <c r="B87" s="49"/>
    </row>
    <row r="88" spans="1:10" x14ac:dyDescent="0.3">
      <c r="A88" s="52"/>
      <c r="B88" s="53"/>
      <c r="C88" s="53"/>
      <c r="D88" s="53" t="s">
        <v>20</v>
      </c>
      <c r="E88" s="53" t="s">
        <v>21</v>
      </c>
      <c r="F88" s="53" t="s">
        <v>19</v>
      </c>
      <c r="G88" s="53" t="s">
        <v>24</v>
      </c>
      <c r="H88" s="53" t="s">
        <v>13</v>
      </c>
      <c r="I88" s="54" t="s">
        <v>13</v>
      </c>
      <c r="J88" s="75" t="s">
        <v>82</v>
      </c>
    </row>
    <row r="89" spans="1:10" x14ac:dyDescent="0.3">
      <c r="A89" s="55" t="s">
        <v>22</v>
      </c>
      <c r="B89" s="49" t="s">
        <v>0</v>
      </c>
      <c r="C89" s="49" t="s">
        <v>14</v>
      </c>
      <c r="D89" s="49" t="s">
        <v>1</v>
      </c>
      <c r="E89" s="49" t="s">
        <v>48</v>
      </c>
      <c r="F89" s="49" t="s">
        <v>2</v>
      </c>
      <c r="G89" s="49" t="s">
        <v>15</v>
      </c>
      <c r="H89" s="49" t="s">
        <v>9</v>
      </c>
      <c r="I89" s="56" t="s">
        <v>8</v>
      </c>
      <c r="J89" s="76"/>
    </row>
    <row r="90" spans="1:10" x14ac:dyDescent="0.3">
      <c r="A90" s="55">
        <f>0</f>
        <v>0</v>
      </c>
      <c r="B90" s="49" t="s">
        <v>51</v>
      </c>
      <c r="C90" s="49">
        <f>5/60</f>
        <v>8.3333333333333329E-2</v>
      </c>
      <c r="D90" s="49">
        <f>$D$5*1.2*C90</f>
        <v>2.0409999999999998E-3</v>
      </c>
      <c r="E90" s="49">
        <f>$E$5*1.2*C90</f>
        <v>2.0409999999999998E-3</v>
      </c>
      <c r="F90" s="49">
        <f>$F$5*1.2*C90</f>
        <v>2.0409999999999998E-3</v>
      </c>
      <c r="G90" s="49">
        <f>1.2*$G$5*C90</f>
        <v>7.2749999999999985E-3</v>
      </c>
      <c r="H90" s="49">
        <f>SUM(D90:G90)</f>
        <v>1.3397999999999998E-2</v>
      </c>
      <c r="I90" s="56">
        <f>H90/C90</f>
        <v>0.160776</v>
      </c>
      <c r="J90" s="76"/>
    </row>
    <row r="91" spans="1:10" x14ac:dyDescent="0.3">
      <c r="A91" s="55">
        <f>A90+1</f>
        <v>1</v>
      </c>
      <c r="B91" s="49" t="s">
        <v>64</v>
      </c>
      <c r="C91" s="57">
        <v>4.0118870728083449</v>
      </c>
      <c r="D91" s="57">
        <v>144.36619718309856</v>
      </c>
      <c r="E91" s="57">
        <v>217.69753605647324</v>
      </c>
      <c r="F91" s="57">
        <v>137.93626676042817</v>
      </c>
      <c r="G91" s="57">
        <v>0.35023774145616848</v>
      </c>
      <c r="H91" s="49">
        <f t="shared" ref="H91:H108" si="13">SUM(D91:G91)</f>
        <v>500.35023774145611</v>
      </c>
      <c r="I91" s="56">
        <f t="shared" ref="I91:I111" si="14">H91/C91</f>
        <v>124.71692962962886</v>
      </c>
      <c r="J91" s="76"/>
    </row>
    <row r="92" spans="1:10" x14ac:dyDescent="0.3">
      <c r="A92" s="55">
        <f t="shared" ref="A92:A111" si="15">A91+1</f>
        <v>2</v>
      </c>
      <c r="B92" s="58" t="s">
        <v>65</v>
      </c>
      <c r="C92" s="38">
        <v>4.0118870728083449</v>
      </c>
      <c r="D92" s="38">
        <v>9.8259138187221984E-2</v>
      </c>
      <c r="E92" s="38">
        <v>9.8259138187221984E-2</v>
      </c>
      <c r="F92" s="38">
        <v>9.8259138187221984E-2</v>
      </c>
      <c r="G92" s="38">
        <v>500.05546020802677</v>
      </c>
      <c r="H92" s="49">
        <f t="shared" si="13"/>
        <v>500.35023762258845</v>
      </c>
      <c r="I92" s="56">
        <f t="shared" si="14"/>
        <v>124.7169296</v>
      </c>
      <c r="J92" s="76"/>
    </row>
    <row r="93" spans="1:10" x14ac:dyDescent="0.3">
      <c r="A93" s="55">
        <f t="shared" si="15"/>
        <v>3</v>
      </c>
      <c r="B93" s="49" t="s">
        <v>67</v>
      </c>
      <c r="C93" s="57">
        <v>4.0118870728083449</v>
      </c>
      <c r="D93" s="57">
        <v>144.36619718309856</v>
      </c>
      <c r="E93" s="57">
        <v>217.69753605647324</v>
      </c>
      <c r="F93" s="57">
        <v>137.93626676042817</v>
      </c>
      <c r="G93" s="57">
        <v>0.35023774145616848</v>
      </c>
      <c r="H93" s="49">
        <f t="shared" si="13"/>
        <v>500.35023774145611</v>
      </c>
      <c r="I93" s="56">
        <f t="shared" si="14"/>
        <v>124.71692962962886</v>
      </c>
      <c r="J93" s="76"/>
    </row>
    <row r="94" spans="1:10" x14ac:dyDescent="0.3">
      <c r="A94" s="55">
        <f t="shared" si="15"/>
        <v>4</v>
      </c>
      <c r="B94" s="58" t="s">
        <v>68</v>
      </c>
      <c r="C94" s="38">
        <v>4.0118870728083449</v>
      </c>
      <c r="D94" s="38">
        <v>9.8259138187221984E-2</v>
      </c>
      <c r="E94" s="38">
        <v>9.8259138187221984E-2</v>
      </c>
      <c r="F94" s="38">
        <v>9.8259138187221984E-2</v>
      </c>
      <c r="G94" s="38">
        <v>500.05546020802677</v>
      </c>
      <c r="H94" s="49">
        <f t="shared" si="13"/>
        <v>500.35023762258845</v>
      </c>
      <c r="I94" s="56">
        <f t="shared" si="14"/>
        <v>124.7169296</v>
      </c>
      <c r="J94" s="76"/>
    </row>
    <row r="95" spans="1:10" x14ac:dyDescent="0.3">
      <c r="A95" s="55">
        <f t="shared" si="15"/>
        <v>5</v>
      </c>
      <c r="B95" s="49" t="s">
        <v>69</v>
      </c>
      <c r="C95" s="57">
        <v>4.0118870728083449</v>
      </c>
      <c r="D95" s="57">
        <v>144.36619718309856</v>
      </c>
      <c r="E95" s="57">
        <v>217.69753605647324</v>
      </c>
      <c r="F95" s="57">
        <v>137.93626676042817</v>
      </c>
      <c r="G95" s="57">
        <v>0.35023774145616848</v>
      </c>
      <c r="H95" s="49">
        <f t="shared" si="13"/>
        <v>500.35023774145611</v>
      </c>
      <c r="I95" s="56">
        <f t="shared" si="14"/>
        <v>124.71692962962886</v>
      </c>
      <c r="J95" s="76"/>
    </row>
    <row r="96" spans="1:10" x14ac:dyDescent="0.3">
      <c r="A96" s="55">
        <f t="shared" si="15"/>
        <v>6</v>
      </c>
      <c r="B96" s="58" t="s">
        <v>70</v>
      </c>
      <c r="C96" s="38">
        <v>4.0118870728083449</v>
      </c>
      <c r="D96" s="38">
        <v>9.8259138187221984E-2</v>
      </c>
      <c r="E96" s="38">
        <v>9.8259138187221984E-2</v>
      </c>
      <c r="F96" s="38">
        <v>9.8259138187221984E-2</v>
      </c>
      <c r="G96" s="38">
        <v>500.05546020802677</v>
      </c>
      <c r="H96" s="49">
        <f t="shared" si="13"/>
        <v>500.35023762258845</v>
      </c>
      <c r="I96" s="56">
        <f t="shared" si="14"/>
        <v>124.7169296</v>
      </c>
      <c r="J96" s="76"/>
    </row>
    <row r="97" spans="1:10" x14ac:dyDescent="0.3">
      <c r="A97" s="55">
        <f t="shared" si="15"/>
        <v>7</v>
      </c>
      <c r="B97" s="49" t="s">
        <v>71</v>
      </c>
      <c r="C97" s="57">
        <v>4.0118870728083449</v>
      </c>
      <c r="D97" s="57">
        <v>144.36619718309856</v>
      </c>
      <c r="E97" s="57">
        <v>286.66566943668732</v>
      </c>
      <c r="F97" s="57">
        <v>68.968133380214084</v>
      </c>
      <c r="G97" s="57">
        <v>0.35023774145616848</v>
      </c>
      <c r="H97" s="49">
        <f t="shared" si="13"/>
        <v>500.35023774145617</v>
      </c>
      <c r="I97" s="56">
        <f t="shared" si="14"/>
        <v>124.71692962962888</v>
      </c>
      <c r="J97" s="76"/>
    </row>
    <row r="98" spans="1:10" x14ac:dyDescent="0.3">
      <c r="A98" s="55">
        <f t="shared" si="15"/>
        <v>8</v>
      </c>
      <c r="B98" s="58" t="s">
        <v>72</v>
      </c>
      <c r="C98" s="38">
        <v>4.0118870728083449</v>
      </c>
      <c r="D98" s="38">
        <v>9.8259138187221984E-2</v>
      </c>
      <c r="E98" s="38">
        <v>9.8259138187221984E-2</v>
      </c>
      <c r="F98" s="38">
        <v>9.8259138187221984E-2</v>
      </c>
      <c r="G98" s="38">
        <v>500.05546020802677</v>
      </c>
      <c r="H98" s="49">
        <f t="shared" si="13"/>
        <v>500.35023762258845</v>
      </c>
      <c r="I98" s="56">
        <f t="shared" si="14"/>
        <v>124.7169296</v>
      </c>
      <c r="J98" s="76"/>
    </row>
    <row r="99" spans="1:10" x14ac:dyDescent="0.3">
      <c r="A99" s="55">
        <f t="shared" si="15"/>
        <v>9</v>
      </c>
      <c r="B99" s="49" t="s">
        <v>73</v>
      </c>
      <c r="C99" s="57">
        <v>4.0118870728083449</v>
      </c>
      <c r="D99" s="57">
        <v>144.36619718309856</v>
      </c>
      <c r="E99" s="57">
        <v>286.66566943668732</v>
      </c>
      <c r="F99" s="57">
        <v>68.968133380214084</v>
      </c>
      <c r="G99" s="57">
        <v>0.35023774145616848</v>
      </c>
      <c r="H99" s="49">
        <f t="shared" si="13"/>
        <v>500.35023774145617</v>
      </c>
      <c r="I99" s="56">
        <f t="shared" si="14"/>
        <v>124.71692962962888</v>
      </c>
      <c r="J99" s="76"/>
    </row>
    <row r="100" spans="1:10" x14ac:dyDescent="0.3">
      <c r="A100" s="55">
        <f t="shared" si="15"/>
        <v>10</v>
      </c>
      <c r="B100" s="58" t="s">
        <v>74</v>
      </c>
      <c r="C100" s="38">
        <v>4.0118870728083449</v>
      </c>
      <c r="D100" s="38">
        <v>9.8259138187221984E-2</v>
      </c>
      <c r="E100" s="38">
        <v>9.8259138187221984E-2</v>
      </c>
      <c r="F100" s="38">
        <v>9.8259138187221984E-2</v>
      </c>
      <c r="G100" s="38">
        <v>500.05546020802677</v>
      </c>
      <c r="H100" s="49">
        <f t="shared" si="13"/>
        <v>500.35023762258845</v>
      </c>
      <c r="I100" s="56">
        <f t="shared" si="14"/>
        <v>124.7169296</v>
      </c>
      <c r="J100" s="76"/>
    </row>
    <row r="101" spans="1:10" x14ac:dyDescent="0.3">
      <c r="A101" s="55">
        <f t="shared" si="15"/>
        <v>11</v>
      </c>
      <c r="B101" s="49" t="s">
        <v>75</v>
      </c>
      <c r="C101" s="57">
        <v>4.0118870728083449</v>
      </c>
      <c r="D101" s="57">
        <v>144.36619718309856</v>
      </c>
      <c r="E101" s="57">
        <v>286.66566943668732</v>
      </c>
      <c r="F101" s="57">
        <v>68.968133380214084</v>
      </c>
      <c r="G101" s="57">
        <v>0.35023774145616848</v>
      </c>
      <c r="H101" s="49">
        <f t="shared" si="13"/>
        <v>500.35023774145617</v>
      </c>
      <c r="I101" s="56">
        <f t="shared" si="14"/>
        <v>124.71692962962888</v>
      </c>
      <c r="J101" s="76"/>
    </row>
    <row r="102" spans="1:10" x14ac:dyDescent="0.3">
      <c r="A102" s="55">
        <f t="shared" si="15"/>
        <v>12</v>
      </c>
      <c r="B102" s="58" t="s">
        <v>76</v>
      </c>
      <c r="C102" s="38">
        <v>4.0118870728083449</v>
      </c>
      <c r="D102" s="38">
        <v>9.8259138187221984E-2</v>
      </c>
      <c r="E102" s="38">
        <v>9.8259138187221984E-2</v>
      </c>
      <c r="F102" s="38">
        <v>9.8259138187221984E-2</v>
      </c>
      <c r="G102" s="38">
        <v>500.05546020802677</v>
      </c>
      <c r="H102" s="49">
        <f t="shared" si="13"/>
        <v>500.35023762258845</v>
      </c>
      <c r="I102" s="56">
        <f t="shared" si="14"/>
        <v>124.7169296</v>
      </c>
      <c r="J102" s="76"/>
    </row>
    <row r="103" spans="1:10" x14ac:dyDescent="0.3">
      <c r="A103" s="55">
        <f t="shared" si="15"/>
        <v>13</v>
      </c>
      <c r="B103" s="49" t="s">
        <v>77</v>
      </c>
      <c r="C103" s="57">
        <v>4.0118870728083449</v>
      </c>
      <c r="D103" s="57">
        <v>293.4560327198364</v>
      </c>
      <c r="E103" s="57">
        <v>66.351074478665026</v>
      </c>
      <c r="F103" s="57">
        <v>140.19289280149857</v>
      </c>
      <c r="G103" s="57">
        <v>0.35023774145616848</v>
      </c>
      <c r="H103" s="49">
        <f t="shared" si="13"/>
        <v>500.35023774145617</v>
      </c>
      <c r="I103" s="56">
        <f t="shared" si="14"/>
        <v>124.71692962962888</v>
      </c>
      <c r="J103" s="76"/>
    </row>
    <row r="104" spans="1:10" x14ac:dyDescent="0.3">
      <c r="A104" s="55">
        <f t="shared" si="15"/>
        <v>14</v>
      </c>
      <c r="B104" s="58" t="s">
        <v>78</v>
      </c>
      <c r="C104" s="38">
        <v>4.0118870728083449</v>
      </c>
      <c r="D104" s="38">
        <v>9.8259138187221984E-2</v>
      </c>
      <c r="E104" s="38">
        <v>9.8259138187221984E-2</v>
      </c>
      <c r="F104" s="38">
        <v>9.8259138187221984E-2</v>
      </c>
      <c r="G104" s="38">
        <v>500.05546020802677</v>
      </c>
      <c r="H104" s="49">
        <f t="shared" si="13"/>
        <v>500.35023762258845</v>
      </c>
      <c r="I104" s="56">
        <f t="shared" si="14"/>
        <v>124.7169296</v>
      </c>
      <c r="J104" s="76"/>
    </row>
    <row r="105" spans="1:10" x14ac:dyDescent="0.3">
      <c r="A105" s="55">
        <f t="shared" si="15"/>
        <v>15</v>
      </c>
      <c r="B105" s="49" t="s">
        <v>94</v>
      </c>
      <c r="C105" s="57">
        <v>4.0118870728083449</v>
      </c>
      <c r="D105" s="57">
        <v>293.4560327198364</v>
      </c>
      <c r="E105" s="57">
        <v>66.351074478665026</v>
      </c>
      <c r="F105" s="57">
        <v>140.19289280149857</v>
      </c>
      <c r="G105" s="57">
        <v>0.35023774145616848</v>
      </c>
      <c r="H105" s="49">
        <f t="shared" si="13"/>
        <v>500.35023774145617</v>
      </c>
      <c r="I105" s="56">
        <f t="shared" si="14"/>
        <v>124.71692962962888</v>
      </c>
      <c r="J105" s="76"/>
    </row>
    <row r="106" spans="1:10" x14ac:dyDescent="0.3">
      <c r="A106" s="55">
        <f t="shared" si="15"/>
        <v>16</v>
      </c>
      <c r="B106" s="58" t="s">
        <v>95</v>
      </c>
      <c r="C106" s="38">
        <v>4.0118870728083449</v>
      </c>
      <c r="D106" s="38">
        <v>9.8259138187221984E-2</v>
      </c>
      <c r="E106" s="38">
        <v>9.8259138187221984E-2</v>
      </c>
      <c r="F106" s="38">
        <v>9.8259138187221984E-2</v>
      </c>
      <c r="G106" s="38">
        <v>500.05546020802677</v>
      </c>
      <c r="H106" s="49">
        <f t="shared" si="13"/>
        <v>500.35023762258845</v>
      </c>
      <c r="I106" s="56">
        <f t="shared" si="14"/>
        <v>124.7169296</v>
      </c>
      <c r="J106" s="76"/>
    </row>
    <row r="107" spans="1:10" x14ac:dyDescent="0.3">
      <c r="A107" s="55">
        <f t="shared" si="15"/>
        <v>17</v>
      </c>
      <c r="B107" s="49" t="s">
        <v>96</v>
      </c>
      <c r="C107" s="57">
        <v>4.0118870728083449</v>
      </c>
      <c r="D107" s="57">
        <v>293.4560327198364</v>
      </c>
      <c r="E107" s="57">
        <v>66.351074478665026</v>
      </c>
      <c r="F107" s="57">
        <v>140.19289280149857</v>
      </c>
      <c r="G107" s="57">
        <v>0.35023774145616848</v>
      </c>
      <c r="H107" s="49">
        <f t="shared" si="13"/>
        <v>500.35023774145617</v>
      </c>
      <c r="I107" s="56">
        <f t="shared" si="14"/>
        <v>124.71692962962888</v>
      </c>
      <c r="J107" s="76"/>
    </row>
    <row r="108" spans="1:10" x14ac:dyDescent="0.3">
      <c r="A108" s="55">
        <f t="shared" si="15"/>
        <v>18</v>
      </c>
      <c r="B108" s="58" t="s">
        <v>97</v>
      </c>
      <c r="C108" s="38">
        <v>4.0118870728083449</v>
      </c>
      <c r="D108" s="38">
        <v>9.8259138187221984E-2</v>
      </c>
      <c r="E108" s="38">
        <v>9.8259138187221984E-2</v>
      </c>
      <c r="F108" s="38">
        <v>9.8259138187221984E-2</v>
      </c>
      <c r="G108" s="38">
        <v>500.05546020802677</v>
      </c>
      <c r="H108" s="49">
        <f t="shared" si="13"/>
        <v>500.35023762258845</v>
      </c>
      <c r="I108" s="56">
        <f t="shared" si="14"/>
        <v>124.7169296</v>
      </c>
      <c r="J108" s="76"/>
    </row>
    <row r="109" spans="1:10" x14ac:dyDescent="0.3">
      <c r="A109" s="55">
        <f t="shared" si="15"/>
        <v>19</v>
      </c>
      <c r="B109" s="49" t="s">
        <v>84</v>
      </c>
      <c r="C109" s="57">
        <v>4.0118870728083449</v>
      </c>
      <c r="D109" s="57">
        <v>0</v>
      </c>
      <c r="E109" s="57">
        <f>124.7169296*C109-G109</f>
        <v>499.99999988113228</v>
      </c>
      <c r="F109" s="57">
        <v>0</v>
      </c>
      <c r="G109" s="57">
        <f>1.2*C109*G5</f>
        <v>0.35023774145616843</v>
      </c>
      <c r="H109" s="49">
        <f t="shared" ref="H109:H111" si="16">SUM(D109:G109)</f>
        <v>500.35023762258845</v>
      </c>
      <c r="I109" s="56">
        <f t="shared" si="14"/>
        <v>124.7169296</v>
      </c>
      <c r="J109" s="76"/>
    </row>
    <row r="110" spans="1:10" x14ac:dyDescent="0.3">
      <c r="A110" s="55">
        <f t="shared" si="15"/>
        <v>20</v>
      </c>
      <c r="B110" s="58" t="s">
        <v>52</v>
      </c>
      <c r="C110" s="58">
        <f>'Timing Calculation'!F30</f>
        <v>22.600297176819797</v>
      </c>
      <c r="D110" s="58">
        <v>0</v>
      </c>
      <c r="E110" s="58">
        <f>1.2*C110*E5</f>
        <v>0.55352647845467051</v>
      </c>
      <c r="F110" s="58">
        <v>0</v>
      </c>
      <c r="G110" s="58">
        <f>124.7169296*C110</f>
        <v>2818.6396719405134</v>
      </c>
      <c r="H110" s="49">
        <f t="shared" si="16"/>
        <v>2819.1931984189682</v>
      </c>
      <c r="I110" s="56">
        <f t="shared" si="14"/>
        <v>124.74142160000001</v>
      </c>
      <c r="J110" s="76"/>
    </row>
    <row r="111" spans="1:10" ht="15.6" thickBot="1" x14ac:dyDescent="0.35">
      <c r="A111" s="59">
        <f t="shared" si="15"/>
        <v>21</v>
      </c>
      <c r="B111" s="60" t="s">
        <v>53</v>
      </c>
      <c r="C111" s="60">
        <f>G111/124.7169296</f>
        <v>120.27236437033004</v>
      </c>
      <c r="D111" s="60">
        <v>0</v>
      </c>
      <c r="E111" s="60">
        <v>0</v>
      </c>
      <c r="F111" s="60">
        <v>0</v>
      </c>
      <c r="G111" s="60">
        <f>15000</f>
        <v>15000</v>
      </c>
      <c r="H111" s="61">
        <f t="shared" si="16"/>
        <v>15000</v>
      </c>
      <c r="I111" s="62">
        <f t="shared" si="14"/>
        <v>124.7169296</v>
      </c>
      <c r="J111" s="77"/>
    </row>
    <row r="112" spans="1:10" x14ac:dyDescent="0.3">
      <c r="A112" s="49"/>
      <c r="B112" s="49"/>
    </row>
    <row r="113" spans="1:10" x14ac:dyDescent="0.3">
      <c r="A113" s="49"/>
      <c r="B113" s="49"/>
    </row>
    <row r="114" spans="1:10" ht="15.6" thickBot="1" x14ac:dyDescent="0.35">
      <c r="A114" s="49"/>
      <c r="B114" s="49"/>
    </row>
    <row r="115" spans="1:10" x14ac:dyDescent="0.3">
      <c r="A115" s="52"/>
      <c r="B115" s="53"/>
      <c r="C115" s="53"/>
      <c r="D115" s="53" t="s">
        <v>20</v>
      </c>
      <c r="E115" s="53" t="s">
        <v>21</v>
      </c>
      <c r="F115" s="53" t="s">
        <v>19</v>
      </c>
      <c r="G115" s="53" t="s">
        <v>24</v>
      </c>
      <c r="H115" s="53" t="s">
        <v>13</v>
      </c>
      <c r="I115" s="54" t="s">
        <v>13</v>
      </c>
      <c r="J115" s="75" t="s">
        <v>83</v>
      </c>
    </row>
    <row r="116" spans="1:10" x14ac:dyDescent="0.3">
      <c r="A116" s="55" t="s">
        <v>22</v>
      </c>
      <c r="B116" s="49" t="s">
        <v>0</v>
      </c>
      <c r="C116" s="49" t="s">
        <v>14</v>
      </c>
      <c r="D116" s="49" t="s">
        <v>1</v>
      </c>
      <c r="E116" s="49" t="s">
        <v>48</v>
      </c>
      <c r="F116" s="49" t="s">
        <v>2</v>
      </c>
      <c r="G116" s="49" t="s">
        <v>15</v>
      </c>
      <c r="H116" s="49" t="s">
        <v>9</v>
      </c>
      <c r="I116" s="56" t="s">
        <v>8</v>
      </c>
      <c r="J116" s="76"/>
    </row>
    <row r="117" spans="1:10" x14ac:dyDescent="0.3">
      <c r="A117" s="55">
        <f>0</f>
        <v>0</v>
      </c>
      <c r="B117" s="49" t="s">
        <v>51</v>
      </c>
      <c r="C117" s="49">
        <f>5/60</f>
        <v>8.3333333333333329E-2</v>
      </c>
      <c r="D117" s="49">
        <f>$D$5*1.2*C117</f>
        <v>2.0409999999999998E-3</v>
      </c>
      <c r="E117" s="49">
        <f>$E$5*1.2*C117</f>
        <v>2.0409999999999998E-3</v>
      </c>
      <c r="F117" s="49">
        <f>$F$5*1.2*C117</f>
        <v>2.0409999999999998E-3</v>
      </c>
      <c r="G117" s="49">
        <f>1.2*$G$5*C117</f>
        <v>7.2749999999999985E-3</v>
      </c>
      <c r="H117" s="49">
        <f>SUM(D117:G117)</f>
        <v>1.3397999999999998E-2</v>
      </c>
      <c r="I117" s="56">
        <f t="shared" ref="I117:I138" si="17">H117/C117</f>
        <v>0.160776</v>
      </c>
      <c r="J117" s="76"/>
    </row>
    <row r="118" spans="1:10" x14ac:dyDescent="0.3">
      <c r="A118" s="55">
        <f>A117+1</f>
        <v>1</v>
      </c>
      <c r="B118" s="49" t="s">
        <v>64</v>
      </c>
      <c r="C118" s="57">
        <v>5.3491827637444604</v>
      </c>
      <c r="D118" s="57">
        <v>144.36619718309856</v>
      </c>
      <c r="E118" s="57">
        <v>217.69753605647324</v>
      </c>
      <c r="F118" s="57">
        <v>137.93626676042817</v>
      </c>
      <c r="G118" s="57">
        <v>0.46698365527489133</v>
      </c>
      <c r="H118" s="49">
        <f t="shared" ref="H118:H135" si="18">SUM(D118:G118)</f>
        <v>500.46698365527482</v>
      </c>
      <c r="I118" s="56">
        <f t="shared" si="17"/>
        <v>93.559522222221645</v>
      </c>
      <c r="J118" s="76"/>
    </row>
    <row r="119" spans="1:10" x14ac:dyDescent="0.3">
      <c r="A119" s="55">
        <f t="shared" ref="A119:A138" si="19">A118+1</f>
        <v>2</v>
      </c>
      <c r="B119" s="58" t="s">
        <v>65</v>
      </c>
      <c r="C119" s="38">
        <v>5.3491827637444604</v>
      </c>
      <c r="D119" s="38">
        <v>0.13101218424962932</v>
      </c>
      <c r="E119" s="38">
        <v>0.13101218424962932</v>
      </c>
      <c r="F119" s="38">
        <v>0.13101218424962932</v>
      </c>
      <c r="G119" s="38">
        <v>500.07394709064204</v>
      </c>
      <c r="H119" s="49">
        <f t="shared" si="18"/>
        <v>500.4669836433909</v>
      </c>
      <c r="I119" s="56">
        <f t="shared" si="17"/>
        <v>93.559522220000005</v>
      </c>
      <c r="J119" s="76"/>
    </row>
    <row r="120" spans="1:10" x14ac:dyDescent="0.3">
      <c r="A120" s="55">
        <f t="shared" si="19"/>
        <v>3</v>
      </c>
      <c r="B120" s="49" t="s">
        <v>67</v>
      </c>
      <c r="C120" s="57">
        <v>5.3491827637444604</v>
      </c>
      <c r="D120" s="57">
        <v>144.36619718309856</v>
      </c>
      <c r="E120" s="57">
        <v>217.69753605647324</v>
      </c>
      <c r="F120" s="57">
        <v>137.93626676042817</v>
      </c>
      <c r="G120" s="57">
        <v>0.46698365527489133</v>
      </c>
      <c r="H120" s="49">
        <f t="shared" si="18"/>
        <v>500.46698365527482</v>
      </c>
      <c r="I120" s="56">
        <f t="shared" si="17"/>
        <v>93.559522222221645</v>
      </c>
      <c r="J120" s="76"/>
    </row>
    <row r="121" spans="1:10" x14ac:dyDescent="0.3">
      <c r="A121" s="55">
        <f t="shared" si="19"/>
        <v>4</v>
      </c>
      <c r="B121" s="58" t="s">
        <v>68</v>
      </c>
      <c r="C121" s="38">
        <v>5.3491827637444604</v>
      </c>
      <c r="D121" s="38">
        <v>0.13101218424962932</v>
      </c>
      <c r="E121" s="38">
        <v>0.13101218424962932</v>
      </c>
      <c r="F121" s="38">
        <v>0.13101218424962932</v>
      </c>
      <c r="G121" s="38">
        <v>500.07394709064204</v>
      </c>
      <c r="H121" s="49">
        <f t="shared" si="18"/>
        <v>500.4669836433909</v>
      </c>
      <c r="I121" s="56">
        <f t="shared" si="17"/>
        <v>93.559522220000005</v>
      </c>
      <c r="J121" s="76"/>
    </row>
    <row r="122" spans="1:10" x14ac:dyDescent="0.3">
      <c r="A122" s="55">
        <f t="shared" si="19"/>
        <v>5</v>
      </c>
      <c r="B122" s="49" t="s">
        <v>69</v>
      </c>
      <c r="C122" s="57">
        <v>5.3491827637444604</v>
      </c>
      <c r="D122" s="57">
        <v>144.36619718309856</v>
      </c>
      <c r="E122" s="57">
        <v>217.69753605647324</v>
      </c>
      <c r="F122" s="57">
        <v>137.93626676042817</v>
      </c>
      <c r="G122" s="57">
        <v>0.46698365527489133</v>
      </c>
      <c r="H122" s="49">
        <f t="shared" si="18"/>
        <v>500.46698365527482</v>
      </c>
      <c r="I122" s="56">
        <f t="shared" si="17"/>
        <v>93.559522222221645</v>
      </c>
      <c r="J122" s="76"/>
    </row>
    <row r="123" spans="1:10" x14ac:dyDescent="0.3">
      <c r="A123" s="55">
        <f t="shared" si="19"/>
        <v>6</v>
      </c>
      <c r="B123" s="58" t="s">
        <v>70</v>
      </c>
      <c r="C123" s="38">
        <v>5.3491827637444604</v>
      </c>
      <c r="D123" s="38">
        <v>0.13101218424962932</v>
      </c>
      <c r="E123" s="38">
        <v>0.13101218424962932</v>
      </c>
      <c r="F123" s="38">
        <v>0.13101218424962932</v>
      </c>
      <c r="G123" s="38">
        <v>500.07394709064204</v>
      </c>
      <c r="H123" s="49">
        <f t="shared" si="18"/>
        <v>500.4669836433909</v>
      </c>
      <c r="I123" s="56">
        <f t="shared" si="17"/>
        <v>93.559522220000005</v>
      </c>
      <c r="J123" s="76"/>
    </row>
    <row r="124" spans="1:10" x14ac:dyDescent="0.3">
      <c r="A124" s="55">
        <f t="shared" si="19"/>
        <v>7</v>
      </c>
      <c r="B124" s="49" t="s">
        <v>71</v>
      </c>
      <c r="C124" s="57">
        <v>5.3491827637444604</v>
      </c>
      <c r="D124" s="57">
        <v>144.36619718309856</v>
      </c>
      <c r="E124" s="57">
        <v>286.66566943668732</v>
      </c>
      <c r="F124" s="57">
        <v>68.968133380214084</v>
      </c>
      <c r="G124" s="57">
        <v>0.46698365527489133</v>
      </c>
      <c r="H124" s="49">
        <f t="shared" si="18"/>
        <v>500.46698365527487</v>
      </c>
      <c r="I124" s="56">
        <f t="shared" si="17"/>
        <v>93.559522222221645</v>
      </c>
      <c r="J124" s="76"/>
    </row>
    <row r="125" spans="1:10" x14ac:dyDescent="0.3">
      <c r="A125" s="55">
        <f t="shared" si="19"/>
        <v>8</v>
      </c>
      <c r="B125" s="58" t="s">
        <v>72</v>
      </c>
      <c r="C125" s="38">
        <v>5.3491827637444604</v>
      </c>
      <c r="D125" s="38">
        <v>0.13101218424962932</v>
      </c>
      <c r="E125" s="38">
        <v>0.13101218424962932</v>
      </c>
      <c r="F125" s="38">
        <v>0.13101218424962932</v>
      </c>
      <c r="G125" s="38">
        <v>500.07394709064204</v>
      </c>
      <c r="H125" s="49">
        <f t="shared" si="18"/>
        <v>500.4669836433909</v>
      </c>
      <c r="I125" s="56">
        <f t="shared" si="17"/>
        <v>93.559522220000005</v>
      </c>
      <c r="J125" s="76"/>
    </row>
    <row r="126" spans="1:10" x14ac:dyDescent="0.3">
      <c r="A126" s="55">
        <f t="shared" si="19"/>
        <v>9</v>
      </c>
      <c r="B126" s="49" t="s">
        <v>73</v>
      </c>
      <c r="C126" s="57">
        <v>5.3491827637444604</v>
      </c>
      <c r="D126" s="57">
        <v>144.36619718309856</v>
      </c>
      <c r="E126" s="57">
        <v>286.66566943668732</v>
      </c>
      <c r="F126" s="57">
        <v>68.968133380214084</v>
      </c>
      <c r="G126" s="57">
        <v>0.46698365527489133</v>
      </c>
      <c r="H126" s="49">
        <f t="shared" si="18"/>
        <v>500.46698365527487</v>
      </c>
      <c r="I126" s="56">
        <f t="shared" si="17"/>
        <v>93.559522222221645</v>
      </c>
      <c r="J126" s="76"/>
    </row>
    <row r="127" spans="1:10" x14ac:dyDescent="0.3">
      <c r="A127" s="55">
        <f t="shared" si="19"/>
        <v>10</v>
      </c>
      <c r="B127" s="58" t="s">
        <v>74</v>
      </c>
      <c r="C127" s="38">
        <v>5.3491827637444604</v>
      </c>
      <c r="D127" s="38">
        <v>0.13101218424962932</v>
      </c>
      <c r="E127" s="38">
        <v>0.13101218424962932</v>
      </c>
      <c r="F127" s="38">
        <v>0.13101218424962932</v>
      </c>
      <c r="G127" s="38">
        <v>500.07394709064204</v>
      </c>
      <c r="H127" s="49">
        <f t="shared" si="18"/>
        <v>500.4669836433909</v>
      </c>
      <c r="I127" s="56">
        <f t="shared" si="17"/>
        <v>93.559522220000005</v>
      </c>
      <c r="J127" s="76"/>
    </row>
    <row r="128" spans="1:10" x14ac:dyDescent="0.3">
      <c r="A128" s="55">
        <f t="shared" si="19"/>
        <v>11</v>
      </c>
      <c r="B128" s="49" t="s">
        <v>75</v>
      </c>
      <c r="C128" s="57">
        <v>5.3491827637444604</v>
      </c>
      <c r="D128" s="57">
        <v>144.36619718309856</v>
      </c>
      <c r="E128" s="57">
        <v>286.66566943668732</v>
      </c>
      <c r="F128" s="57">
        <v>68.968133380214084</v>
      </c>
      <c r="G128" s="57">
        <v>0.46698365527489133</v>
      </c>
      <c r="H128" s="49">
        <f t="shared" si="18"/>
        <v>500.46698365527487</v>
      </c>
      <c r="I128" s="56">
        <f t="shared" si="17"/>
        <v>93.559522222221645</v>
      </c>
      <c r="J128" s="76"/>
    </row>
    <row r="129" spans="1:10" x14ac:dyDescent="0.3">
      <c r="A129" s="55">
        <f t="shared" si="19"/>
        <v>12</v>
      </c>
      <c r="B129" s="58" t="s">
        <v>76</v>
      </c>
      <c r="C129" s="38">
        <v>5.3491827637444604</v>
      </c>
      <c r="D129" s="38">
        <v>0.13101218424962932</v>
      </c>
      <c r="E129" s="38">
        <v>0.13101218424962932</v>
      </c>
      <c r="F129" s="38">
        <v>0.13101218424962932</v>
      </c>
      <c r="G129" s="38">
        <v>500.07394709064204</v>
      </c>
      <c r="H129" s="49">
        <f t="shared" si="18"/>
        <v>500.4669836433909</v>
      </c>
      <c r="I129" s="56">
        <f t="shared" si="17"/>
        <v>93.559522220000005</v>
      </c>
      <c r="J129" s="76"/>
    </row>
    <row r="130" spans="1:10" x14ac:dyDescent="0.3">
      <c r="A130" s="55">
        <f t="shared" si="19"/>
        <v>13</v>
      </c>
      <c r="B130" s="49" t="s">
        <v>77</v>
      </c>
      <c r="C130" s="57">
        <v>5.3491827637444604</v>
      </c>
      <c r="D130" s="57">
        <v>293.4560327198364</v>
      </c>
      <c r="E130" s="57">
        <v>66.351074478665026</v>
      </c>
      <c r="F130" s="57">
        <v>140.19289280149857</v>
      </c>
      <c r="G130" s="57">
        <v>0.46698365527489133</v>
      </c>
      <c r="H130" s="49">
        <f t="shared" si="18"/>
        <v>500.46698365527487</v>
      </c>
      <c r="I130" s="56">
        <f t="shared" si="17"/>
        <v>93.559522222221645</v>
      </c>
      <c r="J130" s="76"/>
    </row>
    <row r="131" spans="1:10" x14ac:dyDescent="0.3">
      <c r="A131" s="55">
        <f t="shared" si="19"/>
        <v>14</v>
      </c>
      <c r="B131" s="58" t="s">
        <v>78</v>
      </c>
      <c r="C131" s="38">
        <v>5.3491827637444604</v>
      </c>
      <c r="D131" s="38">
        <v>0.13101218424962932</v>
      </c>
      <c r="E131" s="38">
        <v>0.13101218424962932</v>
      </c>
      <c r="F131" s="38">
        <v>0.13101218424962932</v>
      </c>
      <c r="G131" s="38">
        <v>500.07394709064204</v>
      </c>
      <c r="H131" s="49">
        <f t="shared" si="18"/>
        <v>500.4669836433909</v>
      </c>
      <c r="I131" s="56">
        <f t="shared" si="17"/>
        <v>93.559522220000005</v>
      </c>
      <c r="J131" s="76"/>
    </row>
    <row r="132" spans="1:10" x14ac:dyDescent="0.3">
      <c r="A132" s="55">
        <f t="shared" si="19"/>
        <v>15</v>
      </c>
      <c r="B132" s="49" t="s">
        <v>94</v>
      </c>
      <c r="C132" s="57">
        <v>5.3491827637444604</v>
      </c>
      <c r="D132" s="57">
        <v>293.4560327198364</v>
      </c>
      <c r="E132" s="57">
        <v>66.351074478665026</v>
      </c>
      <c r="F132" s="57">
        <v>140.19289280149857</v>
      </c>
      <c r="G132" s="57">
        <v>0.46698365527489133</v>
      </c>
      <c r="H132" s="49">
        <f t="shared" si="18"/>
        <v>500.46698365527487</v>
      </c>
      <c r="I132" s="56">
        <f t="shared" si="17"/>
        <v>93.559522222221645</v>
      </c>
      <c r="J132" s="76"/>
    </row>
    <row r="133" spans="1:10" x14ac:dyDescent="0.3">
      <c r="A133" s="55">
        <f t="shared" si="19"/>
        <v>16</v>
      </c>
      <c r="B133" s="58" t="s">
        <v>95</v>
      </c>
      <c r="C133" s="38">
        <v>5.3491827637444604</v>
      </c>
      <c r="D133" s="38">
        <v>0.13101218424962932</v>
      </c>
      <c r="E133" s="38">
        <v>0.13101218424962932</v>
      </c>
      <c r="F133" s="38">
        <v>0.13101218424962932</v>
      </c>
      <c r="G133" s="38">
        <v>500.07394709064204</v>
      </c>
      <c r="H133" s="49">
        <f t="shared" si="18"/>
        <v>500.4669836433909</v>
      </c>
      <c r="I133" s="56">
        <f t="shared" si="17"/>
        <v>93.559522220000005</v>
      </c>
      <c r="J133" s="76"/>
    </row>
    <row r="134" spans="1:10" x14ac:dyDescent="0.3">
      <c r="A134" s="55">
        <f t="shared" si="19"/>
        <v>17</v>
      </c>
      <c r="B134" s="49" t="s">
        <v>96</v>
      </c>
      <c r="C134" s="57">
        <v>5.3491827637444604</v>
      </c>
      <c r="D134" s="57">
        <v>293.4560327198364</v>
      </c>
      <c r="E134" s="57">
        <v>66.351074478665026</v>
      </c>
      <c r="F134" s="57">
        <v>140.19289280149857</v>
      </c>
      <c r="G134" s="57">
        <v>0.46698365527489133</v>
      </c>
      <c r="H134" s="49">
        <f t="shared" si="18"/>
        <v>500.46698365527487</v>
      </c>
      <c r="I134" s="56">
        <f t="shared" si="17"/>
        <v>93.559522222221645</v>
      </c>
      <c r="J134" s="76"/>
    </row>
    <row r="135" spans="1:10" x14ac:dyDescent="0.3">
      <c r="A135" s="55">
        <f t="shared" si="19"/>
        <v>18</v>
      </c>
      <c r="B135" s="58" t="s">
        <v>97</v>
      </c>
      <c r="C135" s="38">
        <v>5.3491827637444604</v>
      </c>
      <c r="D135" s="38">
        <v>0.13101218424962932</v>
      </c>
      <c r="E135" s="38">
        <v>0.13101218424962932</v>
      </c>
      <c r="F135" s="38">
        <v>0.13101218424962932</v>
      </c>
      <c r="G135" s="38">
        <v>500.07394709064204</v>
      </c>
      <c r="H135" s="49">
        <f t="shared" si="18"/>
        <v>500.4669836433909</v>
      </c>
      <c r="I135" s="56">
        <f t="shared" si="17"/>
        <v>93.559522220000005</v>
      </c>
      <c r="J135" s="76"/>
    </row>
    <row r="136" spans="1:10" x14ac:dyDescent="0.3">
      <c r="A136" s="55">
        <f t="shared" si="19"/>
        <v>19</v>
      </c>
      <c r="B136" s="49" t="s">
        <v>84</v>
      </c>
      <c r="C136" s="57">
        <v>5.3491827637444604</v>
      </c>
      <c r="D136" s="57">
        <v>0</v>
      </c>
      <c r="E136" s="57">
        <f>93.55952222*C136-G136</f>
        <v>499.99999998811603</v>
      </c>
      <c r="F136" s="57">
        <v>0</v>
      </c>
      <c r="G136" s="57">
        <f>1.2*C136*G5</f>
        <v>0.46698365527489133</v>
      </c>
      <c r="H136" s="49">
        <f t="shared" ref="H136:H138" si="20">SUM(D136:G136)</f>
        <v>500.4669836433909</v>
      </c>
      <c r="I136" s="56">
        <f t="shared" si="17"/>
        <v>93.559522220000005</v>
      </c>
      <c r="J136" s="76"/>
    </row>
    <row r="137" spans="1:10" x14ac:dyDescent="0.3">
      <c r="A137" s="55">
        <f t="shared" si="19"/>
        <v>20</v>
      </c>
      <c r="B137" s="58" t="s">
        <v>52</v>
      </c>
      <c r="C137" s="58">
        <f>'Timing Calculation'!F31</f>
        <v>30.133729569093067</v>
      </c>
      <c r="D137" s="58">
        <v>0</v>
      </c>
      <c r="E137" s="58">
        <f>1.2*C137*E5</f>
        <v>0.73803530460622735</v>
      </c>
      <c r="F137" s="58">
        <v>0</v>
      </c>
      <c r="G137" s="58">
        <f>93.55952222*C137</f>
        <v>2819.2973411910339</v>
      </c>
      <c r="H137" s="49">
        <f t="shared" si="20"/>
        <v>2820.0353764956399</v>
      </c>
      <c r="I137" s="56">
        <f t="shared" si="17"/>
        <v>93.58401422</v>
      </c>
      <c r="J137" s="76"/>
    </row>
    <row r="138" spans="1:10" ht="15.6" thickBot="1" x14ac:dyDescent="0.35">
      <c r="A138" s="59">
        <f t="shared" si="19"/>
        <v>21</v>
      </c>
      <c r="B138" s="60" t="s">
        <v>53</v>
      </c>
      <c r="C138" s="60">
        <f>G138/93.55952222</f>
        <v>160.32574391229079</v>
      </c>
      <c r="D138" s="60">
        <v>0</v>
      </c>
      <c r="E138" s="60">
        <v>0</v>
      </c>
      <c r="F138" s="60">
        <v>0</v>
      </c>
      <c r="G138" s="60">
        <f>15000</f>
        <v>15000</v>
      </c>
      <c r="H138" s="61">
        <f t="shared" si="20"/>
        <v>15000</v>
      </c>
      <c r="I138" s="62">
        <f t="shared" si="17"/>
        <v>93.559522220000005</v>
      </c>
      <c r="J138" s="77"/>
    </row>
    <row r="139" spans="1:10" x14ac:dyDescent="0.3">
      <c r="A139" s="49"/>
      <c r="B139" s="49"/>
    </row>
    <row r="140" spans="1:10" x14ac:dyDescent="0.3">
      <c r="A140" s="49"/>
      <c r="B140" s="49"/>
    </row>
    <row r="141" spans="1:10" x14ac:dyDescent="0.3">
      <c r="A141" s="49"/>
      <c r="B141" s="49"/>
    </row>
    <row r="142" spans="1:10" x14ac:dyDescent="0.3">
      <c r="A142" s="49"/>
      <c r="B142" s="49"/>
    </row>
    <row r="143" spans="1:10" x14ac:dyDescent="0.3">
      <c r="A143" s="49"/>
      <c r="B143" s="49"/>
    </row>
    <row r="144" spans="1:10" x14ac:dyDescent="0.3">
      <c r="A144" s="49"/>
      <c r="B144" s="49"/>
    </row>
    <row r="145" spans="1:2" x14ac:dyDescent="0.3">
      <c r="A145" s="49"/>
      <c r="B145" s="49"/>
    </row>
    <row r="146" spans="1:2" x14ac:dyDescent="0.3">
      <c r="A146" s="49"/>
      <c r="B146" s="49"/>
    </row>
    <row r="147" spans="1:2" x14ac:dyDescent="0.3">
      <c r="A147" s="49"/>
      <c r="B147" s="49"/>
    </row>
    <row r="148" spans="1:2" x14ac:dyDescent="0.3">
      <c r="A148" s="49"/>
      <c r="B148" s="49"/>
    </row>
    <row r="149" spans="1:2" x14ac:dyDescent="0.3">
      <c r="A149" s="49"/>
      <c r="B149" s="49"/>
    </row>
    <row r="150" spans="1:2" x14ac:dyDescent="0.3">
      <c r="A150" s="49"/>
      <c r="B150" s="49"/>
    </row>
    <row r="151" spans="1:2" x14ac:dyDescent="0.3">
      <c r="A151" s="49"/>
      <c r="B151" s="49"/>
    </row>
    <row r="152" spans="1:2" x14ac:dyDescent="0.3">
      <c r="A152" s="49"/>
      <c r="B152" s="49"/>
    </row>
    <row r="153" spans="1:2" x14ac:dyDescent="0.3">
      <c r="A153" s="49"/>
      <c r="B153" s="49"/>
    </row>
    <row r="154" spans="1:2" x14ac:dyDescent="0.3">
      <c r="A154" s="49"/>
      <c r="B154" s="49"/>
    </row>
    <row r="155" spans="1:2" x14ac:dyDescent="0.3">
      <c r="A155" s="49"/>
      <c r="B155" s="49"/>
    </row>
    <row r="156" spans="1:2" x14ac:dyDescent="0.3">
      <c r="A156" s="49"/>
      <c r="B156" s="49"/>
    </row>
    <row r="157" spans="1:2" x14ac:dyDescent="0.3">
      <c r="A157" s="49"/>
      <c r="B157" s="49"/>
    </row>
    <row r="158" spans="1:2" x14ac:dyDescent="0.3">
      <c r="A158" s="49"/>
      <c r="B158" s="49"/>
    </row>
    <row r="159" spans="1:2" x14ac:dyDescent="0.3">
      <c r="A159" s="49"/>
      <c r="B159" s="49"/>
    </row>
    <row r="160" spans="1:2" x14ac:dyDescent="0.3">
      <c r="A160" s="49"/>
      <c r="B160" s="49"/>
    </row>
    <row r="161" spans="1:2" x14ac:dyDescent="0.3">
      <c r="A161" s="49"/>
      <c r="B161" s="49"/>
    </row>
    <row r="162" spans="1:2" x14ac:dyDescent="0.3">
      <c r="A162" s="49"/>
      <c r="B162" s="49"/>
    </row>
    <row r="163" spans="1:2" x14ac:dyDescent="0.3">
      <c r="A163" s="49"/>
      <c r="B163" s="49"/>
    </row>
    <row r="164" spans="1:2" x14ac:dyDescent="0.3">
      <c r="A164" s="49"/>
      <c r="B164" s="49"/>
    </row>
    <row r="165" spans="1:2" x14ac:dyDescent="0.3">
      <c r="A165" s="49"/>
      <c r="B165" s="49"/>
    </row>
    <row r="166" spans="1:2" x14ac:dyDescent="0.3">
      <c r="A166" s="49"/>
      <c r="B166" s="49"/>
    </row>
    <row r="167" spans="1:2" x14ac:dyDescent="0.3">
      <c r="A167" s="49"/>
      <c r="B167" s="49"/>
    </row>
    <row r="168" spans="1:2" x14ac:dyDescent="0.3">
      <c r="A168" s="49"/>
      <c r="B168" s="49"/>
    </row>
    <row r="169" spans="1:2" x14ac:dyDescent="0.3">
      <c r="A169" s="49"/>
      <c r="B169" s="49"/>
    </row>
    <row r="170" spans="1:2" x14ac:dyDescent="0.3">
      <c r="A170" s="49"/>
      <c r="B170" s="49"/>
    </row>
    <row r="171" spans="1:2" x14ac:dyDescent="0.3">
      <c r="A171" s="49"/>
      <c r="B171" s="49"/>
    </row>
    <row r="172" spans="1:2" x14ac:dyDescent="0.3">
      <c r="A172" s="49"/>
      <c r="B172" s="49"/>
    </row>
    <row r="173" spans="1:2" x14ac:dyDescent="0.3">
      <c r="A173" s="49"/>
      <c r="B173" s="49"/>
    </row>
    <row r="174" spans="1:2" x14ac:dyDescent="0.3">
      <c r="A174" s="49"/>
      <c r="B174" s="49"/>
    </row>
    <row r="175" spans="1:2" x14ac:dyDescent="0.3">
      <c r="A175" s="49"/>
      <c r="B175" s="49"/>
    </row>
    <row r="176" spans="1:2" x14ac:dyDescent="0.3">
      <c r="A176" s="49"/>
      <c r="B176" s="49"/>
    </row>
    <row r="177" spans="1:2" x14ac:dyDescent="0.3">
      <c r="A177" s="49"/>
      <c r="B177" s="49"/>
    </row>
    <row r="178" spans="1:2" x14ac:dyDescent="0.3">
      <c r="A178" s="49"/>
      <c r="B178" s="49"/>
    </row>
    <row r="179" spans="1:2" x14ac:dyDescent="0.3">
      <c r="A179" s="49"/>
      <c r="B179" s="49"/>
    </row>
    <row r="180" spans="1:2" x14ac:dyDescent="0.3">
      <c r="A180" s="49"/>
      <c r="B180" s="49"/>
    </row>
    <row r="181" spans="1:2" x14ac:dyDescent="0.3">
      <c r="A181" s="49"/>
      <c r="B181" s="49"/>
    </row>
    <row r="182" spans="1:2" x14ac:dyDescent="0.3">
      <c r="A182" s="49"/>
      <c r="B182" s="49"/>
    </row>
    <row r="183" spans="1:2" x14ac:dyDescent="0.3">
      <c r="A183" s="49"/>
      <c r="B183" s="49"/>
    </row>
    <row r="184" spans="1:2" x14ac:dyDescent="0.3">
      <c r="A184" s="49"/>
      <c r="B184" s="49"/>
    </row>
    <row r="185" spans="1:2" x14ac:dyDescent="0.3">
      <c r="A185" s="49"/>
      <c r="B185" s="49"/>
    </row>
    <row r="186" spans="1:2" x14ac:dyDescent="0.3">
      <c r="A186" s="49"/>
      <c r="B186" s="49"/>
    </row>
    <row r="187" spans="1:2" x14ac:dyDescent="0.3">
      <c r="A187" s="49"/>
      <c r="B187" s="49"/>
    </row>
    <row r="188" spans="1:2" x14ac:dyDescent="0.3">
      <c r="A188" s="49"/>
      <c r="B188" s="49"/>
    </row>
    <row r="189" spans="1:2" x14ac:dyDescent="0.3">
      <c r="A189" s="49"/>
      <c r="B189" s="49"/>
    </row>
    <row r="190" spans="1:2" x14ac:dyDescent="0.3">
      <c r="A190" s="49"/>
      <c r="B190" s="49"/>
    </row>
    <row r="191" spans="1:2" x14ac:dyDescent="0.3">
      <c r="A191" s="49"/>
      <c r="B191" s="49"/>
    </row>
    <row r="192" spans="1:2" x14ac:dyDescent="0.3">
      <c r="A192" s="49"/>
      <c r="B192" s="49"/>
    </row>
    <row r="193" spans="1:2" x14ac:dyDescent="0.3">
      <c r="A193" s="49"/>
      <c r="B193" s="49"/>
    </row>
    <row r="194" spans="1:2" x14ac:dyDescent="0.3">
      <c r="A194" s="49"/>
      <c r="B194" s="49"/>
    </row>
    <row r="195" spans="1:2" x14ac:dyDescent="0.3">
      <c r="A195" s="49"/>
      <c r="B195" s="49"/>
    </row>
    <row r="196" spans="1:2" x14ac:dyDescent="0.3">
      <c r="A196" s="49"/>
      <c r="B196" s="49"/>
    </row>
    <row r="197" spans="1:2" x14ac:dyDescent="0.3">
      <c r="A197" s="49"/>
      <c r="B197" s="49"/>
    </row>
    <row r="198" spans="1:2" x14ac:dyDescent="0.3">
      <c r="A198" s="49"/>
      <c r="B198" s="49"/>
    </row>
    <row r="199" spans="1:2" x14ac:dyDescent="0.3">
      <c r="A199" s="49"/>
      <c r="B199" s="49"/>
    </row>
    <row r="200" spans="1:2" x14ac:dyDescent="0.3">
      <c r="A200" s="49"/>
      <c r="B200" s="49"/>
    </row>
    <row r="201" spans="1:2" x14ac:dyDescent="0.3">
      <c r="A201" s="49"/>
      <c r="B201" s="49"/>
    </row>
    <row r="202" spans="1:2" x14ac:dyDescent="0.3">
      <c r="A202" s="49"/>
      <c r="B202" s="49"/>
    </row>
    <row r="203" spans="1:2" x14ac:dyDescent="0.3">
      <c r="A203" s="49"/>
      <c r="B203" s="49"/>
    </row>
    <row r="204" spans="1:2" x14ac:dyDescent="0.3">
      <c r="A204" s="49"/>
      <c r="B204" s="49"/>
    </row>
    <row r="205" spans="1:2" x14ac:dyDescent="0.3">
      <c r="A205" s="49"/>
      <c r="B205" s="49"/>
    </row>
    <row r="206" spans="1:2" x14ac:dyDescent="0.3">
      <c r="A206" s="49"/>
      <c r="B206" s="49"/>
    </row>
    <row r="207" spans="1:2" x14ac:dyDescent="0.3">
      <c r="A207" s="49"/>
      <c r="B207" s="49"/>
    </row>
    <row r="208" spans="1:2" x14ac:dyDescent="0.3">
      <c r="A208" s="49"/>
      <c r="B208" s="49"/>
    </row>
    <row r="209" spans="1:2" x14ac:dyDescent="0.3">
      <c r="A209" s="49"/>
      <c r="B209" s="49"/>
    </row>
    <row r="210" spans="1:2" x14ac:dyDescent="0.3">
      <c r="A210" s="49"/>
      <c r="B210" s="49"/>
    </row>
    <row r="211" spans="1:2" x14ac:dyDescent="0.3">
      <c r="A211" s="49"/>
      <c r="B211" s="49"/>
    </row>
    <row r="212" spans="1:2" x14ac:dyDescent="0.3">
      <c r="A212" s="49"/>
      <c r="B212" s="49"/>
    </row>
    <row r="213" spans="1:2" x14ac:dyDescent="0.3">
      <c r="A213" s="49"/>
      <c r="B213" s="49"/>
    </row>
    <row r="214" spans="1:2" x14ac:dyDescent="0.3">
      <c r="A214" s="49"/>
      <c r="B214" s="49"/>
    </row>
    <row r="215" spans="1:2" x14ac:dyDescent="0.3">
      <c r="A215" s="49"/>
      <c r="B215" s="49"/>
    </row>
    <row r="216" spans="1:2" x14ac:dyDescent="0.3">
      <c r="A216" s="49"/>
      <c r="B216" s="49"/>
    </row>
    <row r="217" spans="1:2" x14ac:dyDescent="0.3">
      <c r="A217" s="49"/>
      <c r="B217" s="49"/>
    </row>
    <row r="218" spans="1:2" x14ac:dyDescent="0.3">
      <c r="A218" s="49"/>
      <c r="B218" s="49"/>
    </row>
    <row r="219" spans="1:2" x14ac:dyDescent="0.3">
      <c r="A219" s="49"/>
      <c r="B219" s="49"/>
    </row>
    <row r="220" spans="1:2" x14ac:dyDescent="0.3">
      <c r="A220" s="49"/>
      <c r="B220" s="49"/>
    </row>
    <row r="221" spans="1:2" x14ac:dyDescent="0.3">
      <c r="A221" s="49"/>
      <c r="B221" s="49"/>
    </row>
    <row r="222" spans="1:2" x14ac:dyDescent="0.3">
      <c r="A222" s="49"/>
      <c r="B222" s="49"/>
    </row>
    <row r="223" spans="1:2" x14ac:dyDescent="0.3">
      <c r="A223" s="49"/>
      <c r="B223" s="49"/>
    </row>
    <row r="224" spans="1:2" x14ac:dyDescent="0.3">
      <c r="A224" s="49"/>
      <c r="B224" s="49"/>
    </row>
    <row r="225" spans="1:2" x14ac:dyDescent="0.3">
      <c r="A225" s="49"/>
      <c r="B225" s="49"/>
    </row>
    <row r="226" spans="1:2" x14ac:dyDescent="0.3">
      <c r="A226" s="49"/>
      <c r="B226" s="49"/>
    </row>
    <row r="227" spans="1:2" x14ac:dyDescent="0.3">
      <c r="A227" s="49"/>
      <c r="B227" s="49"/>
    </row>
    <row r="228" spans="1:2" x14ac:dyDescent="0.3">
      <c r="A228" s="49"/>
      <c r="B228" s="49"/>
    </row>
    <row r="229" spans="1:2" x14ac:dyDescent="0.3">
      <c r="A229" s="49"/>
      <c r="B229" s="49"/>
    </row>
    <row r="230" spans="1:2" x14ac:dyDescent="0.3">
      <c r="A230" s="49"/>
      <c r="B230" s="49"/>
    </row>
    <row r="231" spans="1:2" x14ac:dyDescent="0.3">
      <c r="A231" s="49"/>
      <c r="B231" s="49"/>
    </row>
    <row r="232" spans="1:2" x14ac:dyDescent="0.3">
      <c r="A232" s="49"/>
      <c r="B232" s="49"/>
    </row>
    <row r="233" spans="1:2" x14ac:dyDescent="0.3">
      <c r="A233" s="49"/>
      <c r="B233" s="49"/>
    </row>
    <row r="234" spans="1:2" x14ac:dyDescent="0.3">
      <c r="A234" s="49"/>
      <c r="B234" s="49"/>
    </row>
    <row r="235" spans="1:2" x14ac:dyDescent="0.3">
      <c r="A235" s="49"/>
      <c r="B235" s="49"/>
    </row>
    <row r="236" spans="1:2" x14ac:dyDescent="0.3">
      <c r="A236" s="49"/>
      <c r="B236" s="49"/>
    </row>
    <row r="237" spans="1:2" x14ac:dyDescent="0.3">
      <c r="A237" s="49"/>
      <c r="B237" s="49"/>
    </row>
    <row r="238" spans="1:2" x14ac:dyDescent="0.3">
      <c r="A238" s="49"/>
      <c r="B238" s="49"/>
    </row>
    <row r="239" spans="1:2" x14ac:dyDescent="0.3">
      <c r="A239" s="49"/>
      <c r="B239" s="49"/>
    </row>
    <row r="240" spans="1:2" x14ac:dyDescent="0.3">
      <c r="A240" s="49"/>
      <c r="B240" s="49"/>
    </row>
    <row r="241" spans="1:2" x14ac:dyDescent="0.3">
      <c r="A241" s="49"/>
      <c r="B241" s="49"/>
    </row>
    <row r="242" spans="1:2" x14ac:dyDescent="0.3">
      <c r="A242" s="49"/>
      <c r="B242" s="49"/>
    </row>
    <row r="243" spans="1:2" x14ac:dyDescent="0.3">
      <c r="A243" s="49"/>
      <c r="B243" s="49"/>
    </row>
    <row r="244" spans="1:2" x14ac:dyDescent="0.3">
      <c r="A244" s="49"/>
      <c r="B244" s="49"/>
    </row>
    <row r="245" spans="1:2" x14ac:dyDescent="0.3">
      <c r="A245" s="49"/>
      <c r="B245" s="49"/>
    </row>
    <row r="246" spans="1:2" x14ac:dyDescent="0.3">
      <c r="A246" s="49"/>
      <c r="B246" s="49"/>
    </row>
    <row r="247" spans="1:2" x14ac:dyDescent="0.3">
      <c r="A247" s="49"/>
      <c r="B247" s="49"/>
    </row>
    <row r="248" spans="1:2" x14ac:dyDescent="0.3">
      <c r="A248" s="49"/>
      <c r="B248" s="49"/>
    </row>
    <row r="249" spans="1:2" x14ac:dyDescent="0.3">
      <c r="A249" s="49"/>
      <c r="B249" s="49"/>
    </row>
    <row r="250" spans="1:2" x14ac:dyDescent="0.3">
      <c r="A250" s="49"/>
      <c r="B250" s="49"/>
    </row>
    <row r="251" spans="1:2" x14ac:dyDescent="0.3">
      <c r="A251" s="49"/>
      <c r="B251" s="49"/>
    </row>
    <row r="252" spans="1:2" x14ac:dyDescent="0.3">
      <c r="A252" s="49"/>
      <c r="B252" s="49"/>
    </row>
    <row r="253" spans="1:2" x14ac:dyDescent="0.3">
      <c r="A253" s="49"/>
      <c r="B253" s="49"/>
    </row>
    <row r="254" spans="1:2" x14ac:dyDescent="0.3">
      <c r="A254" s="49"/>
      <c r="B254" s="49"/>
    </row>
    <row r="255" spans="1:2" x14ac:dyDescent="0.3">
      <c r="A255" s="49"/>
      <c r="B255" s="49"/>
    </row>
    <row r="256" spans="1:2" x14ac:dyDescent="0.3">
      <c r="A256" s="49"/>
      <c r="B256" s="49"/>
    </row>
    <row r="257" spans="1:2" x14ac:dyDescent="0.3">
      <c r="A257" s="49"/>
      <c r="B257" s="49"/>
    </row>
    <row r="258" spans="1:2" x14ac:dyDescent="0.3">
      <c r="A258" s="49"/>
      <c r="B258" s="49"/>
    </row>
    <row r="259" spans="1:2" x14ac:dyDescent="0.3">
      <c r="A259" s="49"/>
      <c r="B259" s="49"/>
    </row>
    <row r="260" spans="1:2" x14ac:dyDescent="0.3">
      <c r="A260" s="49"/>
      <c r="B260" s="49"/>
    </row>
    <row r="261" spans="1:2" x14ac:dyDescent="0.3">
      <c r="A261" s="49"/>
      <c r="B261" s="49"/>
    </row>
    <row r="262" spans="1:2" x14ac:dyDescent="0.3">
      <c r="A262" s="49"/>
      <c r="B262" s="49"/>
    </row>
    <row r="263" spans="1:2" x14ac:dyDescent="0.3">
      <c r="A263" s="49"/>
      <c r="B263" s="49"/>
    </row>
    <row r="264" spans="1:2" x14ac:dyDescent="0.3">
      <c r="A264" s="49"/>
      <c r="B264" s="49"/>
    </row>
    <row r="265" spans="1:2" x14ac:dyDescent="0.3">
      <c r="A265" s="49"/>
      <c r="B265" s="49"/>
    </row>
    <row r="266" spans="1:2" x14ac:dyDescent="0.3">
      <c r="A266" s="49"/>
      <c r="B266" s="49"/>
    </row>
    <row r="267" spans="1:2" x14ac:dyDescent="0.3">
      <c r="A267" s="49"/>
      <c r="B267" s="49"/>
    </row>
    <row r="268" spans="1:2" x14ac:dyDescent="0.3">
      <c r="A268" s="49"/>
      <c r="B268" s="49"/>
    </row>
    <row r="269" spans="1:2" x14ac:dyDescent="0.3">
      <c r="A269" s="49"/>
      <c r="B269" s="49"/>
    </row>
    <row r="270" spans="1:2" x14ac:dyDescent="0.3">
      <c r="A270" s="49"/>
      <c r="B270" s="49"/>
    </row>
    <row r="271" spans="1:2" x14ac:dyDescent="0.3">
      <c r="A271" s="49"/>
      <c r="B271" s="49"/>
    </row>
    <row r="272" spans="1:2" x14ac:dyDescent="0.3">
      <c r="A272" s="49"/>
      <c r="B272" s="49"/>
    </row>
    <row r="273" spans="1:2" x14ac:dyDescent="0.3">
      <c r="A273" s="49"/>
      <c r="B273" s="49"/>
    </row>
    <row r="274" spans="1:2" x14ac:dyDescent="0.3">
      <c r="A274" s="49"/>
      <c r="B274" s="49"/>
    </row>
    <row r="275" spans="1:2" x14ac:dyDescent="0.3">
      <c r="A275" s="49"/>
      <c r="B275" s="49"/>
    </row>
    <row r="276" spans="1:2" x14ac:dyDescent="0.3">
      <c r="A276" s="49"/>
      <c r="B276" s="49"/>
    </row>
    <row r="277" spans="1:2" x14ac:dyDescent="0.3">
      <c r="A277" s="49"/>
      <c r="B277" s="49"/>
    </row>
    <row r="278" spans="1:2" x14ac:dyDescent="0.3">
      <c r="A278" s="49"/>
      <c r="B278" s="49"/>
    </row>
    <row r="279" spans="1:2" x14ac:dyDescent="0.3">
      <c r="A279" s="49"/>
      <c r="B279" s="49"/>
    </row>
    <row r="280" spans="1:2" x14ac:dyDescent="0.3">
      <c r="A280" s="49"/>
      <c r="B280" s="49"/>
    </row>
    <row r="281" spans="1:2" x14ac:dyDescent="0.3">
      <c r="A281" s="49"/>
      <c r="B281" s="49"/>
    </row>
    <row r="282" spans="1:2" x14ac:dyDescent="0.3">
      <c r="A282" s="49"/>
      <c r="B282" s="49"/>
    </row>
    <row r="283" spans="1:2" x14ac:dyDescent="0.3">
      <c r="A283" s="49"/>
      <c r="B283" s="49"/>
    </row>
    <row r="284" spans="1:2" x14ac:dyDescent="0.3">
      <c r="A284" s="49"/>
      <c r="B284" s="49"/>
    </row>
    <row r="285" spans="1:2" x14ac:dyDescent="0.3">
      <c r="A285" s="49"/>
      <c r="B285" s="49"/>
    </row>
    <row r="286" spans="1:2" x14ac:dyDescent="0.3">
      <c r="A286" s="49"/>
      <c r="B286" s="49"/>
    </row>
    <row r="287" spans="1:2" x14ac:dyDescent="0.3">
      <c r="A287" s="49"/>
      <c r="B287" s="49"/>
    </row>
    <row r="288" spans="1:2" x14ac:dyDescent="0.3">
      <c r="A288" s="49"/>
      <c r="B288" s="49"/>
    </row>
    <row r="289" spans="1:2" x14ac:dyDescent="0.3">
      <c r="A289" s="49"/>
      <c r="B289" s="49"/>
    </row>
    <row r="290" spans="1:2" x14ac:dyDescent="0.3">
      <c r="A290" s="49"/>
      <c r="B290" s="49"/>
    </row>
    <row r="291" spans="1:2" x14ac:dyDescent="0.3">
      <c r="A291" s="49"/>
      <c r="B291" s="49"/>
    </row>
    <row r="292" spans="1:2" x14ac:dyDescent="0.3">
      <c r="A292" s="49"/>
      <c r="B292" s="49"/>
    </row>
    <row r="293" spans="1:2" x14ac:dyDescent="0.3">
      <c r="A293" s="49"/>
      <c r="B293" s="49"/>
    </row>
    <row r="294" spans="1:2" x14ac:dyDescent="0.3">
      <c r="A294" s="49"/>
      <c r="B294" s="49"/>
    </row>
    <row r="295" spans="1:2" x14ac:dyDescent="0.3">
      <c r="A295" s="49"/>
      <c r="B295" s="49"/>
    </row>
    <row r="296" spans="1:2" x14ac:dyDescent="0.3">
      <c r="A296" s="49"/>
      <c r="B296" s="49"/>
    </row>
    <row r="297" spans="1:2" x14ac:dyDescent="0.3">
      <c r="A297" s="49"/>
      <c r="B297" s="49"/>
    </row>
    <row r="298" spans="1:2" x14ac:dyDescent="0.3">
      <c r="A298" s="49"/>
      <c r="B298" s="49"/>
    </row>
    <row r="299" spans="1:2" x14ac:dyDescent="0.3">
      <c r="A299" s="49"/>
      <c r="B299" s="49"/>
    </row>
    <row r="300" spans="1:2" x14ac:dyDescent="0.3">
      <c r="A300" s="49"/>
      <c r="B300" s="49"/>
    </row>
    <row r="301" spans="1:2" x14ac:dyDescent="0.3">
      <c r="A301" s="49"/>
      <c r="B301" s="49"/>
    </row>
    <row r="302" spans="1:2" x14ac:dyDescent="0.3">
      <c r="A302" s="49"/>
      <c r="B302" s="49"/>
    </row>
    <row r="303" spans="1:2" x14ac:dyDescent="0.3">
      <c r="A303" s="49"/>
      <c r="B303" s="49"/>
    </row>
    <row r="304" spans="1:2" x14ac:dyDescent="0.3">
      <c r="A304" s="49"/>
      <c r="B304" s="49"/>
    </row>
    <row r="305" spans="1:1" x14ac:dyDescent="0.3">
      <c r="A305" s="49"/>
    </row>
    <row r="306" spans="1:1" x14ac:dyDescent="0.3">
      <c r="A306" s="49"/>
    </row>
    <row r="307" spans="1:1" x14ac:dyDescent="0.3">
      <c r="A307" s="49"/>
    </row>
    <row r="308" spans="1:1" x14ac:dyDescent="0.3">
      <c r="A308" s="49"/>
    </row>
    <row r="309" spans="1:1" x14ac:dyDescent="0.3">
      <c r="A309" s="49"/>
    </row>
    <row r="310" spans="1:1" x14ac:dyDescent="0.3">
      <c r="A310" s="49"/>
    </row>
    <row r="311" spans="1:1" x14ac:dyDescent="0.3">
      <c r="A311" s="49"/>
    </row>
    <row r="312" spans="1:1" x14ac:dyDescent="0.3">
      <c r="A312" s="49"/>
    </row>
    <row r="313" spans="1:1" x14ac:dyDescent="0.3">
      <c r="A313" s="49"/>
    </row>
    <row r="314" spans="1:1" x14ac:dyDescent="0.3">
      <c r="A314" s="49"/>
    </row>
    <row r="315" spans="1:1" x14ac:dyDescent="0.3">
      <c r="A315" s="49"/>
    </row>
    <row r="316" spans="1:1" x14ac:dyDescent="0.3">
      <c r="A316" s="49"/>
    </row>
    <row r="317" spans="1:1" x14ac:dyDescent="0.3">
      <c r="A317" s="49"/>
    </row>
    <row r="318" spans="1:1" x14ac:dyDescent="0.3">
      <c r="A318" s="49"/>
    </row>
    <row r="319" spans="1:1" x14ac:dyDescent="0.3">
      <c r="A319" s="49"/>
    </row>
    <row r="320" spans="1:1" x14ac:dyDescent="0.3">
      <c r="A320" s="49"/>
    </row>
    <row r="321" spans="1:1" x14ac:dyDescent="0.3">
      <c r="A321" s="49"/>
    </row>
    <row r="322" spans="1:1" x14ac:dyDescent="0.3">
      <c r="A322" s="49"/>
    </row>
    <row r="323" spans="1:1" x14ac:dyDescent="0.3">
      <c r="A323" s="49"/>
    </row>
    <row r="324" spans="1:1" x14ac:dyDescent="0.3">
      <c r="A324" s="49"/>
    </row>
    <row r="325" spans="1:1" x14ac:dyDescent="0.3">
      <c r="A325" s="49"/>
    </row>
    <row r="326" spans="1:1" x14ac:dyDescent="0.3">
      <c r="A326" s="49"/>
    </row>
    <row r="327" spans="1:1" x14ac:dyDescent="0.3">
      <c r="A327" s="49"/>
    </row>
    <row r="328" spans="1:1" x14ac:dyDescent="0.3">
      <c r="A328" s="49"/>
    </row>
    <row r="329" spans="1:1" x14ac:dyDescent="0.3">
      <c r="A329" s="49"/>
    </row>
    <row r="330" spans="1:1" x14ac:dyDescent="0.3">
      <c r="A330" s="49"/>
    </row>
    <row r="331" spans="1:1" x14ac:dyDescent="0.3">
      <c r="A331" s="49"/>
    </row>
    <row r="332" spans="1:1" x14ac:dyDescent="0.3">
      <c r="A332" s="49"/>
    </row>
    <row r="333" spans="1:1" x14ac:dyDescent="0.3">
      <c r="A333" s="49"/>
    </row>
    <row r="334" spans="1:1" x14ac:dyDescent="0.3">
      <c r="A334" s="49"/>
    </row>
    <row r="335" spans="1:1" x14ac:dyDescent="0.3">
      <c r="A335" s="49"/>
    </row>
    <row r="336" spans="1:1" x14ac:dyDescent="0.3">
      <c r="A336" s="49"/>
    </row>
    <row r="337" spans="1:1" x14ac:dyDescent="0.3">
      <c r="A337" s="49"/>
    </row>
    <row r="338" spans="1:1" x14ac:dyDescent="0.3">
      <c r="A338" s="49"/>
    </row>
    <row r="339" spans="1:1" x14ac:dyDescent="0.3">
      <c r="A339" s="49"/>
    </row>
    <row r="340" spans="1:1" x14ac:dyDescent="0.3">
      <c r="A340" s="49"/>
    </row>
    <row r="341" spans="1:1" x14ac:dyDescent="0.3">
      <c r="A341" s="49"/>
    </row>
    <row r="342" spans="1:1" x14ac:dyDescent="0.3">
      <c r="A342" s="49"/>
    </row>
    <row r="343" spans="1:1" x14ac:dyDescent="0.3">
      <c r="A343" s="49"/>
    </row>
    <row r="344" spans="1:1" x14ac:dyDescent="0.3">
      <c r="A344" s="49"/>
    </row>
    <row r="345" spans="1:1" x14ac:dyDescent="0.3">
      <c r="A345" s="49"/>
    </row>
    <row r="346" spans="1:1" x14ac:dyDescent="0.3">
      <c r="A346" s="49"/>
    </row>
    <row r="347" spans="1:1" x14ac:dyDescent="0.3">
      <c r="A347" s="49"/>
    </row>
    <row r="348" spans="1:1" x14ac:dyDescent="0.3">
      <c r="A348" s="49"/>
    </row>
    <row r="349" spans="1:1" x14ac:dyDescent="0.3">
      <c r="A349" s="49"/>
    </row>
    <row r="350" spans="1:1" x14ac:dyDescent="0.3">
      <c r="A350" s="49"/>
    </row>
    <row r="351" spans="1:1" x14ac:dyDescent="0.3">
      <c r="A351" s="49"/>
    </row>
    <row r="352" spans="1:1" x14ac:dyDescent="0.3">
      <c r="A352" s="49"/>
    </row>
    <row r="353" spans="1:1" x14ac:dyDescent="0.3">
      <c r="A353" s="49"/>
    </row>
    <row r="354" spans="1:1" x14ac:dyDescent="0.3">
      <c r="A354" s="49"/>
    </row>
    <row r="355" spans="1:1" x14ac:dyDescent="0.3">
      <c r="A355" s="49"/>
    </row>
    <row r="356" spans="1:1" x14ac:dyDescent="0.3">
      <c r="A356" s="49"/>
    </row>
    <row r="357" spans="1:1" x14ac:dyDescent="0.3">
      <c r="A357" s="49"/>
    </row>
    <row r="358" spans="1:1" x14ac:dyDescent="0.3">
      <c r="A358" s="49"/>
    </row>
    <row r="359" spans="1:1" x14ac:dyDescent="0.3">
      <c r="A359" s="49"/>
    </row>
    <row r="360" spans="1:1" x14ac:dyDescent="0.3">
      <c r="A360" s="49"/>
    </row>
    <row r="361" spans="1:1" x14ac:dyDescent="0.3">
      <c r="A361" s="49"/>
    </row>
    <row r="362" spans="1:1" x14ac:dyDescent="0.3">
      <c r="A362" s="49"/>
    </row>
    <row r="363" spans="1:1" x14ac:dyDescent="0.3">
      <c r="A363" s="49"/>
    </row>
    <row r="364" spans="1:1" x14ac:dyDescent="0.3">
      <c r="A364" s="49"/>
    </row>
    <row r="365" spans="1:1" x14ac:dyDescent="0.3">
      <c r="A365" s="49"/>
    </row>
    <row r="366" spans="1:1" x14ac:dyDescent="0.3">
      <c r="A366" s="49"/>
    </row>
    <row r="367" spans="1:1" x14ac:dyDescent="0.3">
      <c r="A367" s="49"/>
    </row>
    <row r="368" spans="1:1" x14ac:dyDescent="0.3">
      <c r="A368" s="49"/>
    </row>
    <row r="369" spans="1:1" x14ac:dyDescent="0.3">
      <c r="A369" s="49"/>
    </row>
    <row r="370" spans="1:1" x14ac:dyDescent="0.3">
      <c r="A370" s="49"/>
    </row>
    <row r="371" spans="1:1" x14ac:dyDescent="0.3">
      <c r="A371" s="49"/>
    </row>
    <row r="372" spans="1:1" x14ac:dyDescent="0.3">
      <c r="A372" s="49"/>
    </row>
    <row r="373" spans="1:1" x14ac:dyDescent="0.3">
      <c r="A373" s="49"/>
    </row>
    <row r="374" spans="1:1" x14ac:dyDescent="0.3">
      <c r="A374" s="49"/>
    </row>
    <row r="375" spans="1:1" x14ac:dyDescent="0.3">
      <c r="A375" s="49"/>
    </row>
    <row r="376" spans="1:1" x14ac:dyDescent="0.3">
      <c r="A376" s="49"/>
    </row>
    <row r="377" spans="1:1" x14ac:dyDescent="0.3">
      <c r="A377" s="49"/>
    </row>
    <row r="378" spans="1:1" x14ac:dyDescent="0.3">
      <c r="A378" s="49"/>
    </row>
    <row r="379" spans="1:1" x14ac:dyDescent="0.3">
      <c r="A379" s="49"/>
    </row>
    <row r="380" spans="1:1" x14ac:dyDescent="0.3">
      <c r="A380" s="49"/>
    </row>
    <row r="381" spans="1:1" x14ac:dyDescent="0.3">
      <c r="A381" s="49"/>
    </row>
    <row r="382" spans="1:1" x14ac:dyDescent="0.3">
      <c r="A382" s="49"/>
    </row>
    <row r="383" spans="1:1" x14ac:dyDescent="0.3">
      <c r="A383" s="49"/>
    </row>
    <row r="384" spans="1:1" x14ac:dyDescent="0.3">
      <c r="A384" s="49"/>
    </row>
    <row r="385" spans="1:1" x14ac:dyDescent="0.3">
      <c r="A385" s="49"/>
    </row>
    <row r="386" spans="1:1" x14ac:dyDescent="0.3">
      <c r="A386" s="49"/>
    </row>
    <row r="387" spans="1:1" x14ac:dyDescent="0.3">
      <c r="A387" s="49"/>
    </row>
    <row r="388" spans="1:1" x14ac:dyDescent="0.3">
      <c r="A388" s="49"/>
    </row>
    <row r="389" spans="1:1" x14ac:dyDescent="0.3">
      <c r="A389" s="49"/>
    </row>
    <row r="390" spans="1:1" x14ac:dyDescent="0.3">
      <c r="A390" s="49"/>
    </row>
    <row r="391" spans="1:1" x14ac:dyDescent="0.3">
      <c r="A391" s="49"/>
    </row>
    <row r="392" spans="1:1" x14ac:dyDescent="0.3">
      <c r="A392" s="49"/>
    </row>
    <row r="393" spans="1:1" x14ac:dyDescent="0.3">
      <c r="A393" s="49"/>
    </row>
    <row r="394" spans="1:1" x14ac:dyDescent="0.3">
      <c r="A394" s="49"/>
    </row>
    <row r="395" spans="1:1" x14ac:dyDescent="0.3">
      <c r="A395" s="49"/>
    </row>
    <row r="396" spans="1:1" x14ac:dyDescent="0.3">
      <c r="A396" s="49"/>
    </row>
    <row r="397" spans="1:1" x14ac:dyDescent="0.3">
      <c r="A397" s="49"/>
    </row>
    <row r="398" spans="1:1" x14ac:dyDescent="0.3">
      <c r="A398" s="49"/>
    </row>
    <row r="399" spans="1:1" x14ac:dyDescent="0.3">
      <c r="A399" s="49"/>
    </row>
    <row r="400" spans="1:1" x14ac:dyDescent="0.3">
      <c r="A400" s="49"/>
    </row>
    <row r="401" spans="1:1" x14ac:dyDescent="0.3">
      <c r="A401" s="49"/>
    </row>
    <row r="402" spans="1:1" x14ac:dyDescent="0.3">
      <c r="A402" s="49"/>
    </row>
    <row r="403" spans="1:1" x14ac:dyDescent="0.3">
      <c r="A403" s="49"/>
    </row>
    <row r="404" spans="1:1" x14ac:dyDescent="0.3">
      <c r="A404" s="49"/>
    </row>
    <row r="405" spans="1:1" x14ac:dyDescent="0.3">
      <c r="A405" s="49"/>
    </row>
    <row r="406" spans="1:1" x14ac:dyDescent="0.3">
      <c r="A406" s="49"/>
    </row>
    <row r="407" spans="1:1" x14ac:dyDescent="0.3">
      <c r="A407" s="49"/>
    </row>
    <row r="408" spans="1:1" x14ac:dyDescent="0.3">
      <c r="A408" s="49"/>
    </row>
    <row r="409" spans="1:1" x14ac:dyDescent="0.3">
      <c r="A409" s="49"/>
    </row>
    <row r="410" spans="1:1" x14ac:dyDescent="0.3">
      <c r="A410" s="49"/>
    </row>
    <row r="411" spans="1:1" x14ac:dyDescent="0.3">
      <c r="A411" s="49"/>
    </row>
    <row r="412" spans="1:1" x14ac:dyDescent="0.3">
      <c r="A412" s="49"/>
    </row>
    <row r="413" spans="1:1" x14ac:dyDescent="0.3">
      <c r="A413" s="49"/>
    </row>
    <row r="414" spans="1:1" x14ac:dyDescent="0.3">
      <c r="A414" s="49"/>
    </row>
    <row r="415" spans="1:1" x14ac:dyDescent="0.3">
      <c r="A415" s="49"/>
    </row>
    <row r="416" spans="1:1" x14ac:dyDescent="0.3">
      <c r="A416" s="49"/>
    </row>
    <row r="417" spans="1:1" x14ac:dyDescent="0.3">
      <c r="A417" s="49"/>
    </row>
    <row r="418" spans="1:1" x14ac:dyDescent="0.3">
      <c r="A418" s="49"/>
    </row>
    <row r="419" spans="1:1" x14ac:dyDescent="0.3">
      <c r="A419" s="49"/>
    </row>
    <row r="420" spans="1:1" x14ac:dyDescent="0.3">
      <c r="A420" s="49"/>
    </row>
    <row r="421" spans="1:1" x14ac:dyDescent="0.3">
      <c r="A421" s="49"/>
    </row>
    <row r="422" spans="1:1" x14ac:dyDescent="0.3">
      <c r="A422" s="49"/>
    </row>
    <row r="423" spans="1:1" x14ac:dyDescent="0.3">
      <c r="A423" s="49"/>
    </row>
    <row r="424" spans="1:1" x14ac:dyDescent="0.3">
      <c r="A424" s="49"/>
    </row>
    <row r="425" spans="1:1" x14ac:dyDescent="0.3">
      <c r="A425" s="49"/>
    </row>
    <row r="426" spans="1:1" x14ac:dyDescent="0.3">
      <c r="A426" s="49"/>
    </row>
    <row r="427" spans="1:1" x14ac:dyDescent="0.3">
      <c r="A427" s="49"/>
    </row>
    <row r="428" spans="1:1" x14ac:dyDescent="0.3">
      <c r="A428" s="49"/>
    </row>
    <row r="429" spans="1:1" x14ac:dyDescent="0.3">
      <c r="A429" s="49"/>
    </row>
    <row r="430" spans="1:1" x14ac:dyDescent="0.3">
      <c r="A430" s="49"/>
    </row>
    <row r="431" spans="1:1" x14ac:dyDescent="0.3">
      <c r="A431" s="49"/>
    </row>
    <row r="432" spans="1:1" x14ac:dyDescent="0.3">
      <c r="A432" s="49"/>
    </row>
    <row r="433" spans="1:1" x14ac:dyDescent="0.3">
      <c r="A433" s="49"/>
    </row>
    <row r="434" spans="1:1" x14ac:dyDescent="0.3">
      <c r="A434" s="49"/>
    </row>
    <row r="435" spans="1:1" x14ac:dyDescent="0.3">
      <c r="A435" s="49"/>
    </row>
    <row r="436" spans="1:1" x14ac:dyDescent="0.3">
      <c r="A436" s="49"/>
    </row>
    <row r="437" spans="1:1" x14ac:dyDescent="0.3">
      <c r="A437" s="49"/>
    </row>
    <row r="438" spans="1:1" x14ac:dyDescent="0.3">
      <c r="A438" s="49"/>
    </row>
    <row r="439" spans="1:1" x14ac:dyDescent="0.3">
      <c r="A439" s="49"/>
    </row>
    <row r="440" spans="1:1" x14ac:dyDescent="0.3">
      <c r="A440" s="49"/>
    </row>
    <row r="441" spans="1:1" x14ac:dyDescent="0.3">
      <c r="A441" s="49"/>
    </row>
    <row r="442" spans="1:1" x14ac:dyDescent="0.3">
      <c r="A442" s="49"/>
    </row>
    <row r="443" spans="1:1" x14ac:dyDescent="0.3">
      <c r="A443" s="49"/>
    </row>
    <row r="444" spans="1:1" x14ac:dyDescent="0.3">
      <c r="A444" s="49"/>
    </row>
    <row r="445" spans="1:1" x14ac:dyDescent="0.3">
      <c r="A445" s="49"/>
    </row>
    <row r="446" spans="1:1" x14ac:dyDescent="0.3">
      <c r="A446" s="49"/>
    </row>
    <row r="447" spans="1:1" x14ac:dyDescent="0.3">
      <c r="A447" s="49"/>
    </row>
    <row r="448" spans="1:1" x14ac:dyDescent="0.3">
      <c r="A448" s="49"/>
    </row>
    <row r="449" spans="1:1" x14ac:dyDescent="0.3">
      <c r="A449" s="49"/>
    </row>
    <row r="450" spans="1:1" x14ac:dyDescent="0.3">
      <c r="A450" s="49"/>
    </row>
    <row r="451" spans="1:1" x14ac:dyDescent="0.3">
      <c r="A451" s="49"/>
    </row>
    <row r="452" spans="1:1" x14ac:dyDescent="0.3">
      <c r="A452" s="49"/>
    </row>
    <row r="453" spans="1:1" x14ac:dyDescent="0.3">
      <c r="A453" s="49"/>
    </row>
    <row r="454" spans="1:1" x14ac:dyDescent="0.3">
      <c r="A454" s="49"/>
    </row>
    <row r="455" spans="1:1" x14ac:dyDescent="0.3">
      <c r="A455" s="49"/>
    </row>
    <row r="456" spans="1:1" x14ac:dyDescent="0.3">
      <c r="A456" s="49"/>
    </row>
    <row r="457" spans="1:1" x14ac:dyDescent="0.3">
      <c r="A457" s="49"/>
    </row>
    <row r="458" spans="1:1" x14ac:dyDescent="0.3">
      <c r="A458" s="49"/>
    </row>
    <row r="459" spans="1:1" x14ac:dyDescent="0.3">
      <c r="A459" s="49"/>
    </row>
    <row r="460" spans="1:1" x14ac:dyDescent="0.3">
      <c r="A460" s="49"/>
    </row>
    <row r="461" spans="1:1" x14ac:dyDescent="0.3">
      <c r="A461" s="49"/>
    </row>
    <row r="462" spans="1:1" x14ac:dyDescent="0.3">
      <c r="A462" s="49"/>
    </row>
    <row r="463" spans="1:1" x14ac:dyDescent="0.3">
      <c r="A463" s="49"/>
    </row>
    <row r="464" spans="1:1" x14ac:dyDescent="0.3">
      <c r="A464" s="49"/>
    </row>
    <row r="465" spans="1:1" x14ac:dyDescent="0.3">
      <c r="A465" s="49"/>
    </row>
    <row r="466" spans="1:1" x14ac:dyDescent="0.3">
      <c r="A466" s="49"/>
    </row>
    <row r="467" spans="1:1" x14ac:dyDescent="0.3">
      <c r="A467" s="49"/>
    </row>
    <row r="468" spans="1:1" x14ac:dyDescent="0.3">
      <c r="A468" s="49"/>
    </row>
    <row r="469" spans="1:1" x14ac:dyDescent="0.3">
      <c r="A469" s="49"/>
    </row>
    <row r="470" spans="1:1" x14ac:dyDescent="0.3">
      <c r="A470" s="49"/>
    </row>
    <row r="471" spans="1:1" x14ac:dyDescent="0.3">
      <c r="A471" s="49"/>
    </row>
    <row r="472" spans="1:1" x14ac:dyDescent="0.3">
      <c r="A472" s="49"/>
    </row>
    <row r="473" spans="1:1" x14ac:dyDescent="0.3">
      <c r="A473" s="49"/>
    </row>
    <row r="474" spans="1:1" x14ac:dyDescent="0.3">
      <c r="A474" s="49"/>
    </row>
    <row r="475" spans="1:1" x14ac:dyDescent="0.3">
      <c r="A475" s="49"/>
    </row>
    <row r="476" spans="1:1" x14ac:dyDescent="0.3">
      <c r="A476" s="49"/>
    </row>
    <row r="477" spans="1:1" x14ac:dyDescent="0.3">
      <c r="A477" s="49"/>
    </row>
    <row r="478" spans="1:1" x14ac:dyDescent="0.3">
      <c r="A478" s="49"/>
    </row>
    <row r="479" spans="1:1" x14ac:dyDescent="0.3">
      <c r="A479" s="49"/>
    </row>
    <row r="480" spans="1:1" x14ac:dyDescent="0.3">
      <c r="A480" s="49"/>
    </row>
    <row r="481" spans="1:1" x14ac:dyDescent="0.3">
      <c r="A481" s="49"/>
    </row>
    <row r="482" spans="1:1" x14ac:dyDescent="0.3">
      <c r="A482" s="49"/>
    </row>
    <row r="483" spans="1:1" x14ac:dyDescent="0.3">
      <c r="A483" s="49"/>
    </row>
    <row r="484" spans="1:1" x14ac:dyDescent="0.3">
      <c r="A484" s="49"/>
    </row>
    <row r="485" spans="1:1" x14ac:dyDescent="0.3">
      <c r="A485" s="49"/>
    </row>
    <row r="486" spans="1:1" x14ac:dyDescent="0.3">
      <c r="A486" s="49"/>
    </row>
    <row r="487" spans="1:1" x14ac:dyDescent="0.3">
      <c r="A487" s="49"/>
    </row>
    <row r="488" spans="1:1" x14ac:dyDescent="0.3">
      <c r="A488" s="49"/>
    </row>
    <row r="489" spans="1:1" ht="15" customHeight="1" x14ac:dyDescent="0.3">
      <c r="A489" s="49"/>
    </row>
    <row r="490" spans="1:1" x14ac:dyDescent="0.3">
      <c r="A490" s="49"/>
    </row>
    <row r="491" spans="1:1" x14ac:dyDescent="0.3">
      <c r="A491" s="49"/>
    </row>
    <row r="492" spans="1:1" x14ac:dyDescent="0.3">
      <c r="A492" s="49"/>
    </row>
    <row r="493" spans="1:1" x14ac:dyDescent="0.3">
      <c r="A493" s="49"/>
    </row>
    <row r="494" spans="1:1" x14ac:dyDescent="0.3">
      <c r="A494" s="49"/>
    </row>
    <row r="495" spans="1:1" x14ac:dyDescent="0.3">
      <c r="A495" s="49"/>
    </row>
    <row r="496" spans="1:1" x14ac:dyDescent="0.3">
      <c r="A496" s="49"/>
    </row>
    <row r="497" spans="1:1" x14ac:dyDescent="0.3">
      <c r="A497" s="49"/>
    </row>
    <row r="498" spans="1:1" x14ac:dyDescent="0.3">
      <c r="A498" s="49"/>
    </row>
    <row r="499" spans="1:1" x14ac:dyDescent="0.3">
      <c r="A499" s="49"/>
    </row>
    <row r="500" spans="1:1" x14ac:dyDescent="0.3">
      <c r="A500" s="49"/>
    </row>
    <row r="501" spans="1:1" x14ac:dyDescent="0.3">
      <c r="A501" s="49"/>
    </row>
    <row r="502" spans="1:1" x14ac:dyDescent="0.3">
      <c r="A502" s="49"/>
    </row>
    <row r="503" spans="1:1" x14ac:dyDescent="0.3">
      <c r="A503" s="49"/>
    </row>
    <row r="504" spans="1:1" x14ac:dyDescent="0.3">
      <c r="A504" s="49"/>
    </row>
    <row r="505" spans="1:1" x14ac:dyDescent="0.3">
      <c r="A505" s="49"/>
    </row>
    <row r="506" spans="1:1" x14ac:dyDescent="0.3">
      <c r="A506" s="49"/>
    </row>
    <row r="507" spans="1:1" x14ac:dyDescent="0.3">
      <c r="A507" s="49"/>
    </row>
    <row r="508" spans="1:1" x14ac:dyDescent="0.3">
      <c r="A508" s="49"/>
    </row>
    <row r="509" spans="1:1" x14ac:dyDescent="0.3">
      <c r="A509" s="49"/>
    </row>
    <row r="510" spans="1:1" x14ac:dyDescent="0.3">
      <c r="A510" s="49"/>
    </row>
    <row r="511" spans="1:1" x14ac:dyDescent="0.3">
      <c r="A511" s="49"/>
    </row>
    <row r="512" spans="1:1" x14ac:dyDescent="0.3">
      <c r="A512" s="49"/>
    </row>
    <row r="513" spans="1:1" x14ac:dyDescent="0.3">
      <c r="A513" s="49"/>
    </row>
    <row r="514" spans="1:1" x14ac:dyDescent="0.3">
      <c r="A514" s="49"/>
    </row>
    <row r="515" spans="1:1" x14ac:dyDescent="0.3">
      <c r="A515" s="49"/>
    </row>
    <row r="516" spans="1:1" x14ac:dyDescent="0.3">
      <c r="A516" s="49"/>
    </row>
    <row r="517" spans="1:1" x14ac:dyDescent="0.3">
      <c r="A517" s="49"/>
    </row>
    <row r="518" spans="1:1" x14ac:dyDescent="0.3">
      <c r="A518" s="49"/>
    </row>
    <row r="519" spans="1:1" x14ac:dyDescent="0.3">
      <c r="A519" s="49"/>
    </row>
    <row r="520" spans="1:1" x14ac:dyDescent="0.3">
      <c r="A520" s="49"/>
    </row>
    <row r="521" spans="1:1" x14ac:dyDescent="0.3">
      <c r="A521" s="49"/>
    </row>
    <row r="522" spans="1:1" x14ac:dyDescent="0.3">
      <c r="A522" s="49"/>
    </row>
    <row r="523" spans="1:1" x14ac:dyDescent="0.3">
      <c r="A523" s="49"/>
    </row>
    <row r="524" spans="1:1" x14ac:dyDescent="0.3">
      <c r="A524" s="49"/>
    </row>
    <row r="525" spans="1:1" x14ac:dyDescent="0.3">
      <c r="A525" s="49"/>
    </row>
    <row r="526" spans="1:1" x14ac:dyDescent="0.3">
      <c r="A526" s="49"/>
    </row>
    <row r="527" spans="1:1" x14ac:dyDescent="0.3">
      <c r="A527" s="49"/>
    </row>
    <row r="528" spans="1:1" x14ac:dyDescent="0.3">
      <c r="A528" s="49"/>
    </row>
    <row r="529" spans="1:1" x14ac:dyDescent="0.3">
      <c r="A529" s="49"/>
    </row>
    <row r="530" spans="1:1" x14ac:dyDescent="0.3">
      <c r="A530" s="49"/>
    </row>
    <row r="531" spans="1:1" x14ac:dyDescent="0.3">
      <c r="A531" s="49"/>
    </row>
    <row r="532" spans="1:1" x14ac:dyDescent="0.3">
      <c r="A532" s="49"/>
    </row>
    <row r="533" spans="1:1" x14ac:dyDescent="0.3">
      <c r="A533" s="49"/>
    </row>
    <row r="534" spans="1:1" x14ac:dyDescent="0.3">
      <c r="A534" s="49"/>
    </row>
    <row r="535" spans="1:1" x14ac:dyDescent="0.3">
      <c r="A535" s="49"/>
    </row>
    <row r="536" spans="1:1" x14ac:dyDescent="0.3">
      <c r="A536" s="49"/>
    </row>
    <row r="537" spans="1:1" x14ac:dyDescent="0.3">
      <c r="A537" s="49"/>
    </row>
    <row r="538" spans="1:1" x14ac:dyDescent="0.3">
      <c r="A538" s="49"/>
    </row>
    <row r="539" spans="1:1" x14ac:dyDescent="0.3">
      <c r="A539" s="49"/>
    </row>
    <row r="540" spans="1:1" x14ac:dyDescent="0.3">
      <c r="A540" s="49"/>
    </row>
    <row r="541" spans="1:1" x14ac:dyDescent="0.3">
      <c r="A541" s="49"/>
    </row>
    <row r="542" spans="1:1" x14ac:dyDescent="0.3">
      <c r="A542" s="49"/>
    </row>
    <row r="543" spans="1:1" x14ac:dyDescent="0.3">
      <c r="A543" s="49"/>
    </row>
    <row r="544" spans="1:1" x14ac:dyDescent="0.3">
      <c r="A544" s="49"/>
    </row>
    <row r="545" spans="1:1" x14ac:dyDescent="0.3">
      <c r="A545" s="49"/>
    </row>
    <row r="546" spans="1:1" x14ac:dyDescent="0.3">
      <c r="A546" s="49"/>
    </row>
    <row r="547" spans="1:1" x14ac:dyDescent="0.3">
      <c r="A547" s="49"/>
    </row>
    <row r="548" spans="1:1" x14ac:dyDescent="0.3">
      <c r="A548" s="49"/>
    </row>
    <row r="549" spans="1:1" x14ac:dyDescent="0.3">
      <c r="A549" s="49"/>
    </row>
    <row r="550" spans="1:1" x14ac:dyDescent="0.3">
      <c r="A550" s="49"/>
    </row>
    <row r="551" spans="1:1" x14ac:dyDescent="0.3">
      <c r="A551" s="49"/>
    </row>
    <row r="552" spans="1:1" x14ac:dyDescent="0.3">
      <c r="A552" s="49"/>
    </row>
    <row r="553" spans="1:1" x14ac:dyDescent="0.3">
      <c r="A553" s="49"/>
    </row>
    <row r="554" spans="1:1" x14ac:dyDescent="0.3">
      <c r="A554" s="49"/>
    </row>
    <row r="555" spans="1:1" x14ac:dyDescent="0.3">
      <c r="A555" s="49"/>
    </row>
    <row r="556" spans="1:1" x14ac:dyDescent="0.3">
      <c r="A556" s="49"/>
    </row>
    <row r="557" spans="1:1" x14ac:dyDescent="0.3">
      <c r="A557" s="49"/>
    </row>
    <row r="558" spans="1:1" x14ac:dyDescent="0.3">
      <c r="A558" s="49"/>
    </row>
    <row r="559" spans="1:1" x14ac:dyDescent="0.3">
      <c r="A559" s="49"/>
    </row>
    <row r="560" spans="1:1" x14ac:dyDescent="0.3">
      <c r="A560" s="49"/>
    </row>
    <row r="561" spans="1:1" x14ac:dyDescent="0.3">
      <c r="A561" s="49"/>
    </row>
    <row r="562" spans="1:1" x14ac:dyDescent="0.3">
      <c r="A562" s="49"/>
    </row>
    <row r="563" spans="1:1" x14ac:dyDescent="0.3">
      <c r="A563" s="49"/>
    </row>
    <row r="564" spans="1:1" x14ac:dyDescent="0.3">
      <c r="A564" s="49"/>
    </row>
    <row r="565" spans="1:1" x14ac:dyDescent="0.3">
      <c r="A565" s="49"/>
    </row>
    <row r="566" spans="1:1" x14ac:dyDescent="0.3">
      <c r="A566" s="49"/>
    </row>
    <row r="567" spans="1:1" x14ac:dyDescent="0.3">
      <c r="A567" s="49"/>
    </row>
    <row r="568" spans="1:1" x14ac:dyDescent="0.3">
      <c r="A568" s="49"/>
    </row>
    <row r="569" spans="1:1" x14ac:dyDescent="0.3">
      <c r="A569" s="49"/>
    </row>
    <row r="570" spans="1:1" x14ac:dyDescent="0.3">
      <c r="A570" s="49"/>
    </row>
    <row r="571" spans="1:1" x14ac:dyDescent="0.3">
      <c r="A571" s="49"/>
    </row>
    <row r="572" spans="1:1" x14ac:dyDescent="0.3">
      <c r="A572" s="49"/>
    </row>
    <row r="573" spans="1:1" x14ac:dyDescent="0.3">
      <c r="A573" s="49"/>
    </row>
    <row r="574" spans="1:1" x14ac:dyDescent="0.3">
      <c r="A574" s="49"/>
    </row>
    <row r="575" spans="1:1" x14ac:dyDescent="0.3">
      <c r="A575" s="49"/>
    </row>
    <row r="576" spans="1:1" x14ac:dyDescent="0.3">
      <c r="A576" s="49"/>
    </row>
    <row r="577" spans="1:1" x14ac:dyDescent="0.3">
      <c r="A577" s="49"/>
    </row>
    <row r="578" spans="1:1" x14ac:dyDescent="0.3">
      <c r="A578" s="49"/>
    </row>
    <row r="579" spans="1:1" x14ac:dyDescent="0.3">
      <c r="A579" s="49"/>
    </row>
    <row r="580" spans="1:1" x14ac:dyDescent="0.3">
      <c r="A580" s="49"/>
    </row>
    <row r="581" spans="1:1" x14ac:dyDescent="0.3">
      <c r="A581" s="49"/>
    </row>
    <row r="582" spans="1:1" x14ac:dyDescent="0.3">
      <c r="A582" s="49"/>
    </row>
    <row r="583" spans="1:1" x14ac:dyDescent="0.3">
      <c r="A583" s="49"/>
    </row>
    <row r="584" spans="1:1" x14ac:dyDescent="0.3">
      <c r="A584" s="49"/>
    </row>
    <row r="585" spans="1:1" x14ac:dyDescent="0.3">
      <c r="A585" s="49"/>
    </row>
    <row r="586" spans="1:1" x14ac:dyDescent="0.3">
      <c r="A586" s="49"/>
    </row>
    <row r="587" spans="1:1" x14ac:dyDescent="0.3">
      <c r="A587" s="49"/>
    </row>
    <row r="588" spans="1:1" x14ac:dyDescent="0.3">
      <c r="A588" s="49"/>
    </row>
    <row r="589" spans="1:1" x14ac:dyDescent="0.3">
      <c r="A589" s="49"/>
    </row>
    <row r="590" spans="1:1" x14ac:dyDescent="0.3">
      <c r="A590" s="49"/>
    </row>
    <row r="591" spans="1:1" x14ac:dyDescent="0.3">
      <c r="A591" s="49"/>
    </row>
    <row r="592" spans="1:1" x14ac:dyDescent="0.3">
      <c r="A592" s="49"/>
    </row>
    <row r="593" spans="1:1" x14ac:dyDescent="0.3">
      <c r="A593" s="49"/>
    </row>
    <row r="594" spans="1:1" x14ac:dyDescent="0.3">
      <c r="A594" s="49"/>
    </row>
    <row r="595" spans="1:1" x14ac:dyDescent="0.3">
      <c r="A595" s="49"/>
    </row>
    <row r="596" spans="1:1" x14ac:dyDescent="0.3">
      <c r="A596" s="49"/>
    </row>
    <row r="597" spans="1:1" x14ac:dyDescent="0.3">
      <c r="A597" s="49"/>
    </row>
    <row r="598" spans="1:1" x14ac:dyDescent="0.3">
      <c r="A598" s="49"/>
    </row>
    <row r="599" spans="1:1" x14ac:dyDescent="0.3">
      <c r="A599" s="49"/>
    </row>
    <row r="600" spans="1:1" x14ac:dyDescent="0.3">
      <c r="A600" s="49"/>
    </row>
    <row r="601" spans="1:1" x14ac:dyDescent="0.3">
      <c r="A601" s="49"/>
    </row>
    <row r="602" spans="1:1" x14ac:dyDescent="0.3">
      <c r="A602" s="49"/>
    </row>
    <row r="603" spans="1:1" x14ac:dyDescent="0.3">
      <c r="A603" s="49"/>
    </row>
    <row r="604" spans="1:1" x14ac:dyDescent="0.3">
      <c r="A604" s="49"/>
    </row>
    <row r="605" spans="1:1" x14ac:dyDescent="0.3">
      <c r="A605" s="49"/>
    </row>
    <row r="606" spans="1:1" x14ac:dyDescent="0.3">
      <c r="A606" s="49"/>
    </row>
    <row r="607" spans="1:1" x14ac:dyDescent="0.3">
      <c r="A607" s="49"/>
    </row>
    <row r="608" spans="1:1" x14ac:dyDescent="0.3">
      <c r="A608" s="49"/>
    </row>
    <row r="609" spans="1:1" x14ac:dyDescent="0.3">
      <c r="A609" s="49"/>
    </row>
    <row r="610" spans="1:1" x14ac:dyDescent="0.3">
      <c r="A610" s="49"/>
    </row>
    <row r="611" spans="1:1" x14ac:dyDescent="0.3">
      <c r="A611" s="49"/>
    </row>
    <row r="612" spans="1:1" x14ac:dyDescent="0.3">
      <c r="A612" s="49"/>
    </row>
    <row r="613" spans="1:1" x14ac:dyDescent="0.3">
      <c r="A613" s="49"/>
    </row>
    <row r="614" spans="1:1" x14ac:dyDescent="0.3">
      <c r="A614" s="49"/>
    </row>
    <row r="615" spans="1:1" x14ac:dyDescent="0.3">
      <c r="A615" s="49"/>
    </row>
    <row r="616" spans="1:1" x14ac:dyDescent="0.3">
      <c r="A616" s="49"/>
    </row>
    <row r="617" spans="1:1" x14ac:dyDescent="0.3">
      <c r="A617" s="49"/>
    </row>
    <row r="618" spans="1:1" x14ac:dyDescent="0.3">
      <c r="A618" s="49"/>
    </row>
    <row r="619" spans="1:1" x14ac:dyDescent="0.3">
      <c r="A619" s="49"/>
    </row>
    <row r="620" spans="1:1" x14ac:dyDescent="0.3">
      <c r="A620" s="49"/>
    </row>
    <row r="621" spans="1:1" x14ac:dyDescent="0.3">
      <c r="A621" s="49"/>
    </row>
    <row r="622" spans="1:1" x14ac:dyDescent="0.3">
      <c r="A622" s="49"/>
    </row>
    <row r="623" spans="1:1" x14ac:dyDescent="0.3">
      <c r="A623" s="49"/>
    </row>
    <row r="624" spans="1:1" x14ac:dyDescent="0.3">
      <c r="A624" s="49"/>
    </row>
    <row r="625" spans="1:1" x14ac:dyDescent="0.3">
      <c r="A625" s="49"/>
    </row>
    <row r="626" spans="1:1" x14ac:dyDescent="0.3">
      <c r="A626" s="49"/>
    </row>
    <row r="627" spans="1:1" x14ac:dyDescent="0.3">
      <c r="A627" s="49"/>
    </row>
    <row r="628" spans="1:1" x14ac:dyDescent="0.3">
      <c r="A628" s="49"/>
    </row>
    <row r="629" spans="1:1" x14ac:dyDescent="0.3">
      <c r="A629" s="49"/>
    </row>
    <row r="630" spans="1:1" x14ac:dyDescent="0.3">
      <c r="A630" s="49"/>
    </row>
    <row r="631" spans="1:1" x14ac:dyDescent="0.3">
      <c r="A631" s="49"/>
    </row>
    <row r="632" spans="1:1" x14ac:dyDescent="0.3">
      <c r="A632" s="49"/>
    </row>
    <row r="633" spans="1:1" x14ac:dyDescent="0.3">
      <c r="A633" s="49"/>
    </row>
    <row r="634" spans="1:1" x14ac:dyDescent="0.3">
      <c r="A634" s="49"/>
    </row>
    <row r="635" spans="1:1" x14ac:dyDescent="0.3">
      <c r="A635" s="49"/>
    </row>
    <row r="636" spans="1:1" x14ac:dyDescent="0.3">
      <c r="A636" s="49"/>
    </row>
    <row r="637" spans="1:1" x14ac:dyDescent="0.3">
      <c r="A637" s="49"/>
    </row>
    <row r="638" spans="1:1" x14ac:dyDescent="0.3">
      <c r="A638" s="49"/>
    </row>
    <row r="639" spans="1:1" x14ac:dyDescent="0.3">
      <c r="A639" s="49"/>
    </row>
    <row r="640" spans="1:1" x14ac:dyDescent="0.3">
      <c r="A640" s="49"/>
    </row>
    <row r="641" spans="1:1" x14ac:dyDescent="0.3">
      <c r="A641" s="49"/>
    </row>
    <row r="642" spans="1:1" x14ac:dyDescent="0.3">
      <c r="A642" s="49"/>
    </row>
    <row r="643" spans="1:1" x14ac:dyDescent="0.3">
      <c r="A643" s="49"/>
    </row>
    <row r="644" spans="1:1" x14ac:dyDescent="0.3">
      <c r="A644" s="49"/>
    </row>
    <row r="645" spans="1:1" x14ac:dyDescent="0.3">
      <c r="A645" s="49"/>
    </row>
    <row r="646" spans="1:1" x14ac:dyDescent="0.3">
      <c r="A646" s="49"/>
    </row>
    <row r="647" spans="1:1" x14ac:dyDescent="0.3">
      <c r="A647" s="49"/>
    </row>
    <row r="648" spans="1:1" x14ac:dyDescent="0.3">
      <c r="A648" s="49"/>
    </row>
    <row r="649" spans="1:1" x14ac:dyDescent="0.3">
      <c r="A649" s="49"/>
    </row>
    <row r="650" spans="1:1" x14ac:dyDescent="0.3">
      <c r="A650" s="49"/>
    </row>
    <row r="651" spans="1:1" x14ac:dyDescent="0.3">
      <c r="A651" s="49"/>
    </row>
    <row r="652" spans="1:1" x14ac:dyDescent="0.3">
      <c r="A652" s="49"/>
    </row>
    <row r="653" spans="1:1" x14ac:dyDescent="0.3">
      <c r="A653" s="49"/>
    </row>
    <row r="654" spans="1:1" x14ac:dyDescent="0.3">
      <c r="A654" s="49"/>
    </row>
    <row r="655" spans="1:1" x14ac:dyDescent="0.3">
      <c r="A655" s="49"/>
    </row>
    <row r="656" spans="1:1" x14ac:dyDescent="0.3">
      <c r="A656" s="49"/>
    </row>
    <row r="657" spans="1:1" x14ac:dyDescent="0.3">
      <c r="A657" s="49"/>
    </row>
    <row r="658" spans="1:1" x14ac:dyDescent="0.3">
      <c r="A658" s="49"/>
    </row>
    <row r="659" spans="1:1" x14ac:dyDescent="0.3">
      <c r="A659" s="49"/>
    </row>
    <row r="660" spans="1:1" x14ac:dyDescent="0.3">
      <c r="A660" s="49"/>
    </row>
    <row r="661" spans="1:1" x14ac:dyDescent="0.3">
      <c r="A661" s="49"/>
    </row>
    <row r="662" spans="1:1" x14ac:dyDescent="0.3">
      <c r="A662" s="49"/>
    </row>
    <row r="663" spans="1:1" x14ac:dyDescent="0.3">
      <c r="A663" s="49"/>
    </row>
    <row r="664" spans="1:1" x14ac:dyDescent="0.3">
      <c r="A664" s="49"/>
    </row>
    <row r="665" spans="1:1" x14ac:dyDescent="0.3">
      <c r="A665" s="49"/>
    </row>
    <row r="666" spans="1:1" x14ac:dyDescent="0.3">
      <c r="A666" s="49"/>
    </row>
    <row r="667" spans="1:1" x14ac:dyDescent="0.3">
      <c r="A667" s="49"/>
    </row>
    <row r="668" spans="1:1" x14ac:dyDescent="0.3">
      <c r="A668" s="49"/>
    </row>
    <row r="669" spans="1:1" x14ac:dyDescent="0.3">
      <c r="A669" s="49"/>
    </row>
    <row r="670" spans="1:1" x14ac:dyDescent="0.3">
      <c r="A670" s="49"/>
    </row>
    <row r="671" spans="1:1" x14ac:dyDescent="0.3">
      <c r="A671" s="49"/>
    </row>
    <row r="672" spans="1:1" x14ac:dyDescent="0.3">
      <c r="A672" s="49"/>
    </row>
    <row r="673" spans="1:1" x14ac:dyDescent="0.3">
      <c r="A673" s="49"/>
    </row>
    <row r="674" spans="1:1" x14ac:dyDescent="0.3">
      <c r="A674" s="49"/>
    </row>
    <row r="675" spans="1:1" x14ac:dyDescent="0.3">
      <c r="A675" s="49"/>
    </row>
    <row r="676" spans="1:1" x14ac:dyDescent="0.3">
      <c r="A676" s="49"/>
    </row>
    <row r="677" spans="1:1" x14ac:dyDescent="0.3">
      <c r="A677" s="49"/>
    </row>
    <row r="678" spans="1:1" x14ac:dyDescent="0.3">
      <c r="A678" s="49"/>
    </row>
    <row r="679" spans="1:1" x14ac:dyDescent="0.3">
      <c r="A679" s="49"/>
    </row>
    <row r="680" spans="1:1" x14ac:dyDescent="0.3">
      <c r="A680" s="49"/>
    </row>
    <row r="681" spans="1:1" x14ac:dyDescent="0.3">
      <c r="A681" s="49"/>
    </row>
    <row r="682" spans="1:1" x14ac:dyDescent="0.3">
      <c r="A682" s="49"/>
    </row>
    <row r="683" spans="1:1" x14ac:dyDescent="0.3">
      <c r="A683" s="49"/>
    </row>
    <row r="684" spans="1:1" x14ac:dyDescent="0.3">
      <c r="A684" s="49"/>
    </row>
    <row r="685" spans="1:1" x14ac:dyDescent="0.3">
      <c r="A685" s="49"/>
    </row>
    <row r="686" spans="1:1" x14ac:dyDescent="0.3">
      <c r="A686" s="49"/>
    </row>
    <row r="687" spans="1:1" x14ac:dyDescent="0.3">
      <c r="A687" s="49"/>
    </row>
    <row r="688" spans="1:1" x14ac:dyDescent="0.3">
      <c r="A688" s="49"/>
    </row>
    <row r="689" spans="1:1" x14ac:dyDescent="0.3">
      <c r="A689" s="49"/>
    </row>
    <row r="690" spans="1:1" x14ac:dyDescent="0.3">
      <c r="A690" s="49"/>
    </row>
    <row r="691" spans="1:1" x14ac:dyDescent="0.3">
      <c r="A691" s="49"/>
    </row>
    <row r="692" spans="1:1" x14ac:dyDescent="0.3">
      <c r="A692" s="49"/>
    </row>
    <row r="693" spans="1:1" x14ac:dyDescent="0.3">
      <c r="A693" s="49"/>
    </row>
    <row r="694" spans="1:1" x14ac:dyDescent="0.3">
      <c r="A694" s="49"/>
    </row>
    <row r="695" spans="1:1" x14ac:dyDescent="0.3">
      <c r="A695" s="49"/>
    </row>
    <row r="696" spans="1:1" x14ac:dyDescent="0.3">
      <c r="A696" s="49"/>
    </row>
    <row r="697" spans="1:1" x14ac:dyDescent="0.3">
      <c r="A697" s="49"/>
    </row>
    <row r="698" spans="1:1" x14ac:dyDescent="0.3">
      <c r="A698" s="49"/>
    </row>
    <row r="699" spans="1:1" x14ac:dyDescent="0.3">
      <c r="A699" s="49"/>
    </row>
    <row r="700" spans="1:1" x14ac:dyDescent="0.3">
      <c r="A700" s="49"/>
    </row>
    <row r="701" spans="1:1" x14ac:dyDescent="0.3">
      <c r="A701" s="49"/>
    </row>
    <row r="702" spans="1:1" x14ac:dyDescent="0.3">
      <c r="A702" s="49"/>
    </row>
    <row r="703" spans="1:1" x14ac:dyDescent="0.3">
      <c r="A703" s="49"/>
    </row>
    <row r="704" spans="1:1" x14ac:dyDescent="0.3">
      <c r="A704" s="49"/>
    </row>
    <row r="705" spans="1:1" x14ac:dyDescent="0.3">
      <c r="A705" s="49"/>
    </row>
    <row r="706" spans="1:1" x14ac:dyDescent="0.3">
      <c r="A706" s="49"/>
    </row>
    <row r="707" spans="1:1" x14ac:dyDescent="0.3">
      <c r="A707" s="49"/>
    </row>
    <row r="708" spans="1:1" x14ac:dyDescent="0.3">
      <c r="A708" s="49"/>
    </row>
    <row r="709" spans="1:1" x14ac:dyDescent="0.3">
      <c r="A709" s="49"/>
    </row>
    <row r="710" spans="1:1" x14ac:dyDescent="0.3">
      <c r="A710" s="49"/>
    </row>
    <row r="711" spans="1:1" x14ac:dyDescent="0.3">
      <c r="A711" s="49"/>
    </row>
    <row r="712" spans="1:1" x14ac:dyDescent="0.3">
      <c r="A712" s="49"/>
    </row>
    <row r="713" spans="1:1" x14ac:dyDescent="0.3">
      <c r="A713" s="49"/>
    </row>
    <row r="714" spans="1:1" x14ac:dyDescent="0.3">
      <c r="A714" s="49"/>
    </row>
    <row r="715" spans="1:1" x14ac:dyDescent="0.3">
      <c r="A715" s="49"/>
    </row>
    <row r="716" spans="1:1" x14ac:dyDescent="0.3">
      <c r="A716" s="49"/>
    </row>
    <row r="717" spans="1:1" x14ac:dyDescent="0.3">
      <c r="A717" s="49"/>
    </row>
    <row r="718" spans="1:1" x14ac:dyDescent="0.3">
      <c r="A718" s="49"/>
    </row>
    <row r="719" spans="1:1" x14ac:dyDescent="0.3">
      <c r="A719" s="49"/>
    </row>
    <row r="720" spans="1:1" x14ac:dyDescent="0.3">
      <c r="A720" s="49"/>
    </row>
    <row r="721" spans="1:1" x14ac:dyDescent="0.3">
      <c r="A721" s="49"/>
    </row>
    <row r="722" spans="1:1" x14ac:dyDescent="0.3">
      <c r="A722" s="49"/>
    </row>
    <row r="723" spans="1:1" x14ac:dyDescent="0.3">
      <c r="A723" s="49"/>
    </row>
    <row r="724" spans="1:1" x14ac:dyDescent="0.3">
      <c r="A724" s="49"/>
    </row>
    <row r="725" spans="1:1" x14ac:dyDescent="0.3">
      <c r="A725" s="49"/>
    </row>
    <row r="726" spans="1:1" x14ac:dyDescent="0.3">
      <c r="A726" s="49"/>
    </row>
    <row r="727" spans="1:1" x14ac:dyDescent="0.3">
      <c r="A727" s="49"/>
    </row>
    <row r="728" spans="1:1" x14ac:dyDescent="0.3">
      <c r="A728" s="49"/>
    </row>
    <row r="729" spans="1:1" x14ac:dyDescent="0.3">
      <c r="A729" s="49"/>
    </row>
    <row r="730" spans="1:1" x14ac:dyDescent="0.3">
      <c r="A730" s="49"/>
    </row>
    <row r="731" spans="1:1" x14ac:dyDescent="0.3">
      <c r="A731" s="49"/>
    </row>
    <row r="732" spans="1:1" x14ac:dyDescent="0.3">
      <c r="A732" s="49"/>
    </row>
    <row r="733" spans="1:1" x14ac:dyDescent="0.3">
      <c r="A733" s="49"/>
    </row>
    <row r="734" spans="1:1" x14ac:dyDescent="0.3">
      <c r="A734" s="49"/>
    </row>
    <row r="735" spans="1:1" x14ac:dyDescent="0.3">
      <c r="A735" s="49"/>
    </row>
    <row r="736" spans="1:1" x14ac:dyDescent="0.3">
      <c r="A736" s="49"/>
    </row>
    <row r="737" spans="1:1" x14ac:dyDescent="0.3">
      <c r="A737" s="49"/>
    </row>
    <row r="738" spans="1:1" x14ac:dyDescent="0.3">
      <c r="A738" s="49"/>
    </row>
    <row r="739" spans="1:1" x14ac:dyDescent="0.3">
      <c r="A739" s="49"/>
    </row>
    <row r="740" spans="1:1" x14ac:dyDescent="0.3">
      <c r="A740" s="49"/>
    </row>
    <row r="741" spans="1:1" x14ac:dyDescent="0.3">
      <c r="A741" s="49"/>
    </row>
    <row r="742" spans="1:1" x14ac:dyDescent="0.3">
      <c r="A742" s="49"/>
    </row>
    <row r="743" spans="1:1" x14ac:dyDescent="0.3">
      <c r="A743" s="49"/>
    </row>
    <row r="744" spans="1:1" x14ac:dyDescent="0.3">
      <c r="A744" s="49"/>
    </row>
    <row r="745" spans="1:1" x14ac:dyDescent="0.3">
      <c r="A745" s="49"/>
    </row>
    <row r="746" spans="1:1" x14ac:dyDescent="0.3">
      <c r="A746" s="49"/>
    </row>
    <row r="747" spans="1:1" x14ac:dyDescent="0.3">
      <c r="A747" s="49"/>
    </row>
    <row r="748" spans="1:1" x14ac:dyDescent="0.3">
      <c r="A748" s="49"/>
    </row>
    <row r="749" spans="1:1" x14ac:dyDescent="0.3">
      <c r="A749" s="49"/>
    </row>
    <row r="750" spans="1:1" x14ac:dyDescent="0.3">
      <c r="A750" s="49"/>
    </row>
    <row r="751" spans="1:1" x14ac:dyDescent="0.3">
      <c r="A751" s="49"/>
    </row>
    <row r="752" spans="1:1" x14ac:dyDescent="0.3">
      <c r="A752" s="49"/>
    </row>
    <row r="753" spans="1:1" x14ac:dyDescent="0.3">
      <c r="A753" s="49"/>
    </row>
    <row r="754" spans="1:1" x14ac:dyDescent="0.3">
      <c r="A754" s="49"/>
    </row>
    <row r="755" spans="1:1" x14ac:dyDescent="0.3">
      <c r="A755" s="49"/>
    </row>
    <row r="756" spans="1:1" x14ac:dyDescent="0.3">
      <c r="A756" s="49"/>
    </row>
    <row r="757" spans="1:1" x14ac:dyDescent="0.3">
      <c r="A757" s="49"/>
    </row>
    <row r="758" spans="1:1" x14ac:dyDescent="0.3">
      <c r="A758" s="49"/>
    </row>
    <row r="759" spans="1:1" x14ac:dyDescent="0.3">
      <c r="A759" s="49"/>
    </row>
    <row r="760" spans="1:1" x14ac:dyDescent="0.3">
      <c r="A760" s="49"/>
    </row>
    <row r="761" spans="1:1" x14ac:dyDescent="0.3">
      <c r="A761" s="49"/>
    </row>
    <row r="762" spans="1:1" x14ac:dyDescent="0.3">
      <c r="A762" s="49"/>
    </row>
    <row r="763" spans="1:1" x14ac:dyDescent="0.3">
      <c r="A763" s="49"/>
    </row>
    <row r="764" spans="1:1" x14ac:dyDescent="0.3">
      <c r="A764" s="49"/>
    </row>
    <row r="765" spans="1:1" x14ac:dyDescent="0.3">
      <c r="A765" s="49"/>
    </row>
    <row r="766" spans="1:1" x14ac:dyDescent="0.3">
      <c r="A766" s="49"/>
    </row>
    <row r="767" spans="1:1" x14ac:dyDescent="0.3">
      <c r="A767" s="49"/>
    </row>
    <row r="768" spans="1:1" x14ac:dyDescent="0.3">
      <c r="A768" s="49"/>
    </row>
    <row r="769" spans="1:1" x14ac:dyDescent="0.3">
      <c r="A769" s="49"/>
    </row>
    <row r="770" spans="1:1" x14ac:dyDescent="0.3">
      <c r="A770" s="49"/>
    </row>
    <row r="771" spans="1:1" x14ac:dyDescent="0.3">
      <c r="A771" s="49"/>
    </row>
    <row r="772" spans="1:1" x14ac:dyDescent="0.3">
      <c r="A772" s="49"/>
    </row>
    <row r="773" spans="1:1" x14ac:dyDescent="0.3">
      <c r="A773" s="49"/>
    </row>
    <row r="774" spans="1:1" x14ac:dyDescent="0.3">
      <c r="A774" s="49"/>
    </row>
    <row r="775" spans="1:1" x14ac:dyDescent="0.3">
      <c r="A775" s="49"/>
    </row>
    <row r="776" spans="1:1" x14ac:dyDescent="0.3">
      <c r="A776" s="49"/>
    </row>
    <row r="777" spans="1:1" x14ac:dyDescent="0.3">
      <c r="A777" s="49"/>
    </row>
    <row r="778" spans="1:1" x14ac:dyDescent="0.3">
      <c r="A778" s="49"/>
    </row>
    <row r="779" spans="1:1" x14ac:dyDescent="0.3">
      <c r="A779" s="49"/>
    </row>
    <row r="780" spans="1:1" x14ac:dyDescent="0.3">
      <c r="A780" s="49"/>
    </row>
    <row r="781" spans="1:1" x14ac:dyDescent="0.3">
      <c r="A781" s="49"/>
    </row>
    <row r="782" spans="1:1" x14ac:dyDescent="0.3">
      <c r="A782" s="49"/>
    </row>
    <row r="783" spans="1:1" x14ac:dyDescent="0.3">
      <c r="A783" s="49"/>
    </row>
    <row r="784" spans="1:1" x14ac:dyDescent="0.3">
      <c r="A784" s="49"/>
    </row>
    <row r="785" spans="1:1" x14ac:dyDescent="0.3">
      <c r="A785" s="49"/>
    </row>
    <row r="786" spans="1:1" x14ac:dyDescent="0.3">
      <c r="A786" s="49"/>
    </row>
    <row r="787" spans="1:1" x14ac:dyDescent="0.3">
      <c r="A787" s="49"/>
    </row>
    <row r="788" spans="1:1" x14ac:dyDescent="0.3">
      <c r="A788" s="49"/>
    </row>
    <row r="789" spans="1:1" x14ac:dyDescent="0.3">
      <c r="A789" s="49"/>
    </row>
    <row r="790" spans="1:1" x14ac:dyDescent="0.3">
      <c r="A790" s="49"/>
    </row>
    <row r="791" spans="1:1" x14ac:dyDescent="0.3">
      <c r="A791" s="49"/>
    </row>
    <row r="792" spans="1:1" x14ac:dyDescent="0.3">
      <c r="A792" s="49"/>
    </row>
    <row r="793" spans="1:1" x14ac:dyDescent="0.3">
      <c r="A793" s="49"/>
    </row>
    <row r="794" spans="1:1" x14ac:dyDescent="0.3">
      <c r="A794" s="49"/>
    </row>
    <row r="795" spans="1:1" x14ac:dyDescent="0.3">
      <c r="A795" s="49"/>
    </row>
    <row r="796" spans="1:1" x14ac:dyDescent="0.3">
      <c r="A796" s="49"/>
    </row>
    <row r="797" spans="1:1" x14ac:dyDescent="0.3">
      <c r="A797" s="49"/>
    </row>
    <row r="798" spans="1:1" x14ac:dyDescent="0.3">
      <c r="A798" s="49"/>
    </row>
    <row r="799" spans="1:1" x14ac:dyDescent="0.3">
      <c r="A799" s="49"/>
    </row>
    <row r="800" spans="1:1" x14ac:dyDescent="0.3">
      <c r="A800" s="49"/>
    </row>
    <row r="801" spans="1:1" x14ac:dyDescent="0.3">
      <c r="A801" s="49"/>
    </row>
    <row r="802" spans="1:1" x14ac:dyDescent="0.3">
      <c r="A802" s="49"/>
    </row>
    <row r="803" spans="1:1" x14ac:dyDescent="0.3">
      <c r="A803" s="49"/>
    </row>
    <row r="804" spans="1:1" x14ac:dyDescent="0.3">
      <c r="A804" s="49"/>
    </row>
    <row r="805" spans="1:1" x14ac:dyDescent="0.3">
      <c r="A805" s="49"/>
    </row>
    <row r="806" spans="1:1" x14ac:dyDescent="0.3">
      <c r="A806" s="49"/>
    </row>
    <row r="807" spans="1:1" x14ac:dyDescent="0.3">
      <c r="A807" s="49"/>
    </row>
    <row r="808" spans="1:1" x14ac:dyDescent="0.3">
      <c r="A808" s="49"/>
    </row>
    <row r="809" spans="1:1" x14ac:dyDescent="0.3">
      <c r="A809" s="49"/>
    </row>
    <row r="810" spans="1:1" x14ac:dyDescent="0.3">
      <c r="A810" s="49"/>
    </row>
    <row r="811" spans="1:1" x14ac:dyDescent="0.3">
      <c r="A811" s="49"/>
    </row>
    <row r="812" spans="1:1" x14ac:dyDescent="0.3">
      <c r="A812" s="49"/>
    </row>
    <row r="813" spans="1:1" x14ac:dyDescent="0.3">
      <c r="A813" s="49"/>
    </row>
    <row r="814" spans="1:1" x14ac:dyDescent="0.3">
      <c r="A814" s="49"/>
    </row>
    <row r="815" spans="1:1" x14ac:dyDescent="0.3">
      <c r="A815" s="49"/>
    </row>
    <row r="816" spans="1:1" x14ac:dyDescent="0.3">
      <c r="A816" s="49"/>
    </row>
    <row r="817" spans="1:1" x14ac:dyDescent="0.3">
      <c r="A817" s="49"/>
    </row>
    <row r="818" spans="1:1" x14ac:dyDescent="0.3">
      <c r="A818" s="49"/>
    </row>
    <row r="819" spans="1:1" x14ac:dyDescent="0.3">
      <c r="A819" s="49"/>
    </row>
    <row r="820" spans="1:1" x14ac:dyDescent="0.3">
      <c r="A820" s="49"/>
    </row>
    <row r="821" spans="1:1" x14ac:dyDescent="0.3">
      <c r="A821" s="49"/>
    </row>
    <row r="822" spans="1:1" x14ac:dyDescent="0.3">
      <c r="A822" s="49"/>
    </row>
    <row r="823" spans="1:1" x14ac:dyDescent="0.3">
      <c r="A823" s="49"/>
    </row>
    <row r="824" spans="1:1" x14ac:dyDescent="0.3">
      <c r="A824" s="49"/>
    </row>
    <row r="825" spans="1:1" x14ac:dyDescent="0.3">
      <c r="A825" s="49"/>
    </row>
    <row r="826" spans="1:1" x14ac:dyDescent="0.3">
      <c r="A826" s="49"/>
    </row>
    <row r="827" spans="1:1" x14ac:dyDescent="0.3">
      <c r="A827" s="49"/>
    </row>
    <row r="828" spans="1:1" x14ac:dyDescent="0.3">
      <c r="A828" s="49"/>
    </row>
    <row r="829" spans="1:1" x14ac:dyDescent="0.3">
      <c r="A829" s="49"/>
    </row>
    <row r="830" spans="1:1" x14ac:dyDescent="0.3">
      <c r="A830" s="49"/>
    </row>
    <row r="831" spans="1:1" x14ac:dyDescent="0.3">
      <c r="A831" s="49"/>
    </row>
    <row r="832" spans="1:1" x14ac:dyDescent="0.3">
      <c r="A832" s="49"/>
    </row>
    <row r="833" spans="1:1" x14ac:dyDescent="0.3">
      <c r="A833" s="49"/>
    </row>
    <row r="834" spans="1:1" x14ac:dyDescent="0.3">
      <c r="A834" s="49"/>
    </row>
  </sheetData>
  <mergeCells count="6">
    <mergeCell ref="J115:J138"/>
    <mergeCell ref="C6:G6"/>
    <mergeCell ref="J7:J30"/>
    <mergeCell ref="J34:J57"/>
    <mergeCell ref="J61:J84"/>
    <mergeCell ref="J88:J1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Reagent Stoichiometry</vt:lpstr>
      <vt:lpstr>Sorting Preparation</vt:lpstr>
      <vt:lpstr>Sorted Conditions</vt:lpstr>
      <vt:lpstr>Timing Calculation</vt:lpstr>
      <vt:lpstr>Final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2020-11-10T05:43:48Z</dcterms:modified>
</cp:coreProperties>
</file>