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9540" windowHeight="43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17" i="1"/>
  <c r="O18"/>
  <c r="O19"/>
  <c r="O20"/>
  <c r="O21"/>
  <c r="O22"/>
  <c r="O16"/>
  <c r="N17"/>
  <c r="N18"/>
  <c r="N19"/>
  <c r="N20"/>
  <c r="N21"/>
  <c r="N22"/>
  <c r="N16"/>
  <c r="M17"/>
  <c r="M18"/>
  <c r="M19"/>
  <c r="M20"/>
  <c r="M21"/>
  <c r="M22"/>
  <c r="M16"/>
  <c r="O31"/>
  <c r="J32"/>
  <c r="J31"/>
  <c r="T5"/>
  <c r="T6"/>
  <c r="T7"/>
  <c r="T8"/>
  <c r="T9"/>
  <c r="T10"/>
  <c r="T4"/>
  <c r="H17"/>
  <c r="H18"/>
  <c r="H19"/>
  <c r="H20"/>
  <c r="H21"/>
  <c r="H22"/>
  <c r="H16"/>
  <c r="B17"/>
  <c r="B32"/>
  <c r="B20"/>
  <c r="B22"/>
  <c r="B23"/>
  <c r="B26"/>
  <c r="B30"/>
  <c r="N5"/>
  <c r="N6"/>
  <c r="N7"/>
  <c r="N8"/>
  <c r="N9"/>
  <c r="N10"/>
  <c r="N4"/>
  <c r="J5"/>
  <c r="J6"/>
  <c r="K6" s="1"/>
  <c r="J7"/>
  <c r="J8"/>
  <c r="J9"/>
  <c r="J10"/>
  <c r="K10" s="1"/>
  <c r="J4"/>
  <c r="K4" s="1"/>
  <c r="D4"/>
  <c r="D5"/>
  <c r="D6"/>
  <c r="D7"/>
  <c r="D8"/>
  <c r="D9"/>
  <c r="D10"/>
  <c r="D11"/>
  <c r="D3"/>
  <c r="C4"/>
  <c r="C5"/>
  <c r="C6"/>
  <c r="C7"/>
  <c r="C8"/>
  <c r="C9"/>
  <c r="C10"/>
  <c r="C11"/>
  <c r="C3"/>
  <c r="E3" l="1"/>
  <c r="E9"/>
  <c r="E8"/>
  <c r="E6"/>
  <c r="G10"/>
  <c r="F10" s="1"/>
  <c r="G7"/>
  <c r="F7" s="1"/>
  <c r="E4"/>
  <c r="M6"/>
  <c r="E11"/>
  <c r="G5"/>
  <c r="F5" s="1"/>
  <c r="M10"/>
  <c r="L4"/>
  <c r="L7"/>
  <c r="L8"/>
  <c r="M4"/>
  <c r="L9"/>
  <c r="L5"/>
  <c r="E7"/>
  <c r="G11"/>
  <c r="G3"/>
  <c r="L10"/>
  <c r="L6"/>
  <c r="E10"/>
  <c r="E5"/>
  <c r="G4"/>
  <c r="F4" s="1"/>
  <c r="G9"/>
  <c r="F9" s="1"/>
  <c r="G8"/>
  <c r="F8" s="1"/>
  <c r="G6"/>
  <c r="F6" s="1"/>
  <c r="K7"/>
  <c r="M7" s="1"/>
  <c r="K8"/>
  <c r="M8" s="1"/>
  <c r="K9"/>
  <c r="M9" s="1"/>
  <c r="K5"/>
  <c r="M5" s="1"/>
  <c r="O10" l="1"/>
  <c r="P10" s="1"/>
  <c r="O7"/>
  <c r="K19"/>
  <c r="O9"/>
  <c r="K17"/>
  <c r="O5"/>
  <c r="O8"/>
  <c r="K18"/>
  <c r="O6"/>
  <c r="K16"/>
  <c r="O4"/>
  <c r="C32" l="1"/>
  <c r="P6"/>
  <c r="C22"/>
  <c r="P5"/>
  <c r="C20"/>
  <c r="P7"/>
  <c r="C23"/>
  <c r="P9"/>
  <c r="C30"/>
  <c r="P8"/>
  <c r="P12" s="1"/>
  <c r="C26"/>
  <c r="P4"/>
  <c r="C17"/>
  <c r="L20" l="1"/>
  <c r="S5"/>
  <c r="S10"/>
  <c r="R11"/>
  <c r="R6"/>
  <c r="R8"/>
  <c r="R9"/>
  <c r="Q6"/>
  <c r="Q8"/>
  <c r="Q9"/>
  <c r="L19"/>
  <c r="L16"/>
  <c r="S7"/>
  <c r="R3"/>
  <c r="R4"/>
  <c r="Q4"/>
  <c r="L18"/>
  <c r="L22"/>
  <c r="S4"/>
  <c r="S6"/>
  <c r="S8"/>
  <c r="S9"/>
  <c r="S3"/>
  <c r="R5"/>
  <c r="R10"/>
  <c r="Q5"/>
  <c r="Q10"/>
  <c r="L17"/>
  <c r="L21"/>
  <c r="S11"/>
  <c r="R7"/>
  <c r="Q7"/>
</calcChain>
</file>

<file path=xl/sharedStrings.xml><?xml version="1.0" encoding="utf-8"?>
<sst xmlns="http://schemas.openxmlformats.org/spreadsheetml/2006/main" count="40" uniqueCount="38">
  <si>
    <t>xb</t>
  </si>
  <si>
    <t>Pb (RL)</t>
  </si>
  <si>
    <t>Ptmp (RL)</t>
  </si>
  <si>
    <t>Pbub (RL)</t>
  </si>
  <si>
    <t>α b/tmp</t>
  </si>
  <si>
    <t>Yrl</t>
  </si>
  <si>
    <t>Pbub exp</t>
  </si>
  <si>
    <t>Yexp</t>
  </si>
  <si>
    <t>Pb actual</t>
  </si>
  <si>
    <t>Ptmp actual</t>
  </si>
  <si>
    <t>ϒb</t>
  </si>
  <si>
    <t>ϒtmp</t>
  </si>
  <si>
    <t xml:space="preserve"> α exp</t>
  </si>
  <si>
    <t>Ge</t>
  </si>
  <si>
    <t>ΔG im</t>
  </si>
  <si>
    <t>ΔG rm</t>
  </si>
  <si>
    <t>Ge/x1x2 (A)</t>
  </si>
  <si>
    <t>ϒ tmp</t>
  </si>
  <si>
    <t>GeM</t>
  </si>
  <si>
    <t>xbi</t>
  </si>
  <si>
    <t>X1X2</t>
  </si>
  <si>
    <t>1/X1X2</t>
  </si>
  <si>
    <t>x</t>
  </si>
  <si>
    <t>Gem</t>
  </si>
  <si>
    <t>NRTL</t>
  </si>
  <si>
    <t>aij</t>
  </si>
  <si>
    <t>bij</t>
  </si>
  <si>
    <t>cij</t>
  </si>
  <si>
    <t>tij</t>
  </si>
  <si>
    <t>Gij</t>
  </si>
  <si>
    <t>aji</t>
  </si>
  <si>
    <t>bji</t>
  </si>
  <si>
    <t>cji</t>
  </si>
  <si>
    <t>tji</t>
  </si>
  <si>
    <t>gji</t>
  </si>
  <si>
    <t>Nrtl</t>
  </si>
  <si>
    <t>x1x2/Ge</t>
  </si>
  <si>
    <t>Ge van lar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</si>
</sst>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2" fillId="3" borderId="2" xfId="2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3" fillId="0" borderId="10" xfId="0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3739328521434821"/>
          <c:y val="4.214129483814525E-2"/>
          <c:w val="0.59181714785651784"/>
          <c:h val="0.832619568387284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Eq val="1"/>
            <c:trendlineLbl>
              <c:numFmt formatCode="General" sourceLinked="0"/>
            </c:trendlineLbl>
          </c:trendline>
          <c:xVal>
            <c:numRef>
              <c:f>Sheet1!$H$16:$H$22</c:f>
              <c:numCache>
                <c:formatCode>General</c:formatCode>
                <c:ptCount val="7"/>
                <c:pt idx="0">
                  <c:v>7.5192389999999998E-2</c:v>
                </c:pt>
                <c:pt idx="1">
                  <c:v>0.17115136</c:v>
                </c:pt>
                <c:pt idx="2">
                  <c:v>0.22994943999999998</c:v>
                </c:pt>
                <c:pt idx="3">
                  <c:v>0.23633439000000001</c:v>
                </c:pt>
                <c:pt idx="4">
                  <c:v>0.24934464000000001</c:v>
                </c:pt>
                <c:pt idx="5">
                  <c:v>0.12903516000000001</c:v>
                </c:pt>
                <c:pt idx="6">
                  <c:v>1.2636160000000033E-2</c:v>
                </c:pt>
              </c:numCache>
            </c:numRef>
          </c:xVal>
          <c:yVal>
            <c:numRef>
              <c:f>Sheet1!$K$16:$K$22</c:f>
              <c:numCache>
                <c:formatCode>General</c:formatCode>
                <c:ptCount val="7"/>
                <c:pt idx="0">
                  <c:v>82.645468309765562</c:v>
                </c:pt>
                <c:pt idx="1">
                  <c:v>199.70954100914392</c:v>
                </c:pt>
                <c:pt idx="2">
                  <c:v>298.26483658823344</c:v>
                </c:pt>
                <c:pt idx="3">
                  <c:v>305.19956691370641</c:v>
                </c:pt>
                <c:pt idx="4">
                  <c:v>352.62490000000003</c:v>
                </c:pt>
                <c:pt idx="5">
                  <c:v>188.94460000000001</c:v>
                </c:pt>
                <c:pt idx="6">
                  <c:v>23.961449999999999</c:v>
                </c:pt>
              </c:numCache>
            </c:numRef>
          </c:yVal>
        </c:ser>
        <c:axId val="72644096"/>
        <c:axId val="72645632"/>
      </c:scatterChart>
      <c:valAx>
        <c:axId val="72644096"/>
        <c:scaling>
          <c:orientation val="minMax"/>
        </c:scaling>
        <c:axPos val="b"/>
        <c:numFmt formatCode="General" sourceLinked="1"/>
        <c:tickLblPos val="nextTo"/>
        <c:crossAx val="72645632"/>
        <c:crosses val="autoZero"/>
        <c:crossBetween val="midCat"/>
      </c:valAx>
      <c:valAx>
        <c:axId val="72645632"/>
        <c:scaling>
          <c:orientation val="minMax"/>
        </c:scaling>
        <c:axPos val="l"/>
        <c:majorGridlines/>
        <c:numFmt formatCode="General" sourceLinked="1"/>
        <c:tickLblPos val="nextTo"/>
        <c:crossAx val="726440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scatterChart>
        <c:scatterStyle val="smoothMarker"/>
        <c:ser>
          <c:idx val="0"/>
          <c:order val="0"/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Sheet1!$G$16:$G$22</c:f>
              <c:numCache>
                <c:formatCode>General</c:formatCode>
                <c:ptCount val="7"/>
                <c:pt idx="0">
                  <c:v>8.1900000000000001E-2</c:v>
                </c:pt>
                <c:pt idx="1">
                  <c:v>0.21920000000000001</c:v>
                </c:pt>
                <c:pt idx="2">
                  <c:v>0.3584</c:v>
                </c:pt>
                <c:pt idx="3">
                  <c:v>0.3831</c:v>
                </c:pt>
                <c:pt idx="4">
                  <c:v>0.52559999999999996</c:v>
                </c:pt>
                <c:pt idx="5">
                  <c:v>0.8478</c:v>
                </c:pt>
                <c:pt idx="6">
                  <c:v>0.98719999999999997</c:v>
                </c:pt>
              </c:numCache>
            </c:numRef>
          </c:xVal>
          <c:yVal>
            <c:numRef>
              <c:f>Sheet1!$N$16:$N$22</c:f>
              <c:numCache>
                <c:formatCode>General</c:formatCode>
                <c:ptCount val="7"/>
                <c:pt idx="0">
                  <c:v>9.0981866928467874E-4</c:v>
                </c:pt>
                <c:pt idx="1">
                  <c:v>8.5700141883638726E-4</c:v>
                </c:pt>
                <c:pt idx="2">
                  <c:v>7.7095725607592952E-4</c:v>
                </c:pt>
                <c:pt idx="3">
                  <c:v>7.7436017485182842E-4</c:v>
                </c:pt>
                <c:pt idx="4">
                  <c:v>7.0711004166445655E-4</c:v>
                </c:pt>
                <c:pt idx="5">
                  <c:v>6.8292580282288166E-4</c:v>
                </c:pt>
                <c:pt idx="6">
                  <c:v>5.2735369278585076E-4</c:v>
                </c:pt>
              </c:numCache>
            </c:numRef>
          </c:yVal>
          <c:smooth val="1"/>
        </c:ser>
        <c:axId val="86975232"/>
        <c:axId val="86976768"/>
      </c:scatterChart>
      <c:valAx>
        <c:axId val="86975232"/>
        <c:scaling>
          <c:orientation val="minMax"/>
        </c:scaling>
        <c:axPos val="b"/>
        <c:numFmt formatCode="General" sourceLinked="1"/>
        <c:tickLblPos val="nextTo"/>
        <c:crossAx val="86976768"/>
        <c:crosses val="autoZero"/>
        <c:crossBetween val="midCat"/>
      </c:valAx>
      <c:valAx>
        <c:axId val="86976768"/>
        <c:scaling>
          <c:orientation val="minMax"/>
        </c:scaling>
        <c:axPos val="l"/>
        <c:majorGridlines/>
        <c:numFmt formatCode="General" sourceLinked="1"/>
        <c:tickLblPos val="nextTo"/>
        <c:crossAx val="869752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577850</xdr:colOff>
      <xdr:row>32</xdr:row>
      <xdr:rowOff>95250</xdr:rowOff>
    </xdr:from>
    <xdr:to>
      <xdr:col>25</xdr:col>
      <xdr:colOff>273050</xdr:colOff>
      <xdr:row>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260350</xdr:colOff>
      <xdr:row>0</xdr:row>
      <xdr:rowOff>0</xdr:rowOff>
    </xdr:from>
    <xdr:to>
      <xdr:col>14</xdr:col>
      <xdr:colOff>431800</xdr:colOff>
      <xdr:row>14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topLeftCell="A3" workbookViewId="0">
      <selection activeCell="O16" sqref="O16:O22"/>
    </sheetView>
  </sheetViews>
  <sheetFormatPr defaultRowHeight="14.5"/>
  <cols>
    <col min="11" max="11" width="10.6328125" bestFit="1" customWidth="1"/>
    <col min="15" max="16" width="11.81640625" bestFit="1" customWidth="1"/>
    <col min="17" max="17" width="10.08984375" bestFit="1" customWidth="1"/>
  </cols>
  <sheetData>
    <row r="1" spans="1:20" ht="15" thickBot="1"/>
    <row r="2" spans="1:20">
      <c r="A2" s="2" t="s">
        <v>0</v>
      </c>
      <c r="B2" s="3" t="s">
        <v>19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3" t="s">
        <v>13</v>
      </c>
      <c r="P2" s="3" t="s">
        <v>16</v>
      </c>
      <c r="Q2" s="3" t="s">
        <v>18</v>
      </c>
      <c r="R2" s="5" t="s">
        <v>10</v>
      </c>
      <c r="S2" s="5" t="s">
        <v>17</v>
      </c>
      <c r="T2" s="6" t="s">
        <v>21</v>
      </c>
    </row>
    <row r="3" spans="1:20">
      <c r="A3" s="7"/>
      <c r="B3" s="8">
        <v>0</v>
      </c>
      <c r="C3" s="8">
        <f>B3*0.43596</f>
        <v>0</v>
      </c>
      <c r="D3" s="8">
        <f>(1-B3)*0.23738</f>
        <v>0.23738000000000001</v>
      </c>
      <c r="E3" s="8">
        <f>C3+D3</f>
        <v>0.23738000000000001</v>
      </c>
      <c r="F3" s="8"/>
      <c r="G3" s="8">
        <f>C3/(C3+D3)</f>
        <v>0</v>
      </c>
      <c r="H3" s="8"/>
      <c r="I3" s="8"/>
      <c r="J3" s="8"/>
      <c r="K3" s="8"/>
      <c r="L3" s="8"/>
      <c r="M3" s="8"/>
      <c r="N3" s="8"/>
      <c r="O3" s="8"/>
      <c r="P3" s="8"/>
      <c r="Q3" s="8"/>
      <c r="R3" s="8">
        <f t="shared" ref="R3:R11" si="0">EXP($P$12/(8.314459848*328.16)*(1-B3)^2)</f>
        <v>1.6438349997548438</v>
      </c>
      <c r="S3" s="8">
        <f t="shared" ref="S3:S11" si="1">EXP($P$12/(8.314459848*328.16)*B3*B3)</f>
        <v>1</v>
      </c>
      <c r="T3" s="9"/>
    </row>
    <row r="4" spans="1:20">
      <c r="A4" s="7">
        <v>8.1900000000000001E-2</v>
      </c>
      <c r="B4" s="10">
        <v>8.1900000000000001E-2</v>
      </c>
      <c r="C4" s="10">
        <f t="shared" ref="C4:C11" si="2">B4*0.43596</f>
        <v>3.5705124000000005E-2</v>
      </c>
      <c r="D4" s="10">
        <f t="shared" ref="D4:D11" si="3">(1-B4)*0.23738</f>
        <v>0.21793857800000002</v>
      </c>
      <c r="E4" s="10">
        <f t="shared" ref="E4:E11" si="4">C4+D4</f>
        <v>0.25364370200000003</v>
      </c>
      <c r="F4" s="10">
        <f>(G4/B4)/((1-G4)/(1-B4))</f>
        <v>1.8365489931754992</v>
      </c>
      <c r="G4" s="10">
        <f>C4/(C4+D4)</f>
        <v>0.14076881751237016</v>
      </c>
      <c r="H4" s="10">
        <v>0.26872000000000001</v>
      </c>
      <c r="I4" s="10">
        <v>0.18690000000000001</v>
      </c>
      <c r="J4" s="10">
        <f>H4*I4</f>
        <v>5.0223768000000009E-2</v>
      </c>
      <c r="K4" s="10">
        <f>H4-J4</f>
        <v>0.21849623200000001</v>
      </c>
      <c r="L4" s="8">
        <f t="shared" ref="L4:M10" si="5">J4/C4</f>
        <v>1.4066263430425281</v>
      </c>
      <c r="M4" s="8">
        <f t="shared" si="5"/>
        <v>1.0025587668099771</v>
      </c>
      <c r="N4" s="8">
        <f t="shared" ref="N4:N10" si="6">(I4/B4)/((1-I4)/(1-B4))</f>
        <v>2.5767449047488409</v>
      </c>
      <c r="O4" s="8">
        <f t="shared" ref="O4:O10" si="7">8.314459848*328.16*(B4*LN(L4)+(1-B4)*LN(M4))</f>
        <v>82.645468309765562</v>
      </c>
      <c r="P4" s="8">
        <f>O4/(B4*(1-B4))</f>
        <v>1099.1201145457082</v>
      </c>
      <c r="Q4" s="8">
        <f t="shared" ref="Q4:Q10" si="8">$P$12*B4*(1-B4)</f>
        <v>101.97127716422079</v>
      </c>
      <c r="R4" s="8">
        <f t="shared" si="0"/>
        <v>1.520367365137191</v>
      </c>
      <c r="S4" s="8">
        <f t="shared" si="1"/>
        <v>1.0033394599338625</v>
      </c>
      <c r="T4" s="9">
        <f>(A4*(1-A4))</f>
        <v>7.5192389999999998E-2</v>
      </c>
    </row>
    <row r="5" spans="1:20">
      <c r="A5" s="7">
        <v>0.21920000000000001</v>
      </c>
      <c r="B5" s="10">
        <v>0.21920000000000001</v>
      </c>
      <c r="C5" s="10">
        <f t="shared" si="2"/>
        <v>9.5562432000000003E-2</v>
      </c>
      <c r="D5" s="10">
        <f t="shared" si="3"/>
        <v>0.18534630399999999</v>
      </c>
      <c r="E5" s="10">
        <f t="shared" si="4"/>
        <v>0.28090873599999999</v>
      </c>
      <c r="F5" s="10">
        <f t="shared" ref="F5:F10" si="9">(G5/B5)/((1-G5)/(1-B5))</f>
        <v>1.836548993175499</v>
      </c>
      <c r="G5" s="10">
        <f t="shared" ref="G5:G11" si="10">C5/(C5+D5)</f>
        <v>0.34019031718543635</v>
      </c>
      <c r="H5" s="10">
        <v>0.31573000000000001</v>
      </c>
      <c r="I5" s="10">
        <v>0.40649999999999997</v>
      </c>
      <c r="J5" s="10">
        <f t="shared" ref="J5:J10" si="11">H5*I5</f>
        <v>0.128344245</v>
      </c>
      <c r="K5" s="10">
        <f t="shared" ref="K5:K9" si="12">H5-J5</f>
        <v>0.18738575500000001</v>
      </c>
      <c r="L5" s="8">
        <f t="shared" si="5"/>
        <v>1.3430407987105224</v>
      </c>
      <c r="M5" s="8">
        <f t="shared" si="5"/>
        <v>1.0110034619303767</v>
      </c>
      <c r="N5" s="8">
        <f t="shared" si="6"/>
        <v>2.4397149164611758</v>
      </c>
      <c r="O5" s="8">
        <f t="shared" si="7"/>
        <v>199.70954100914392</v>
      </c>
      <c r="P5" s="8">
        <f t="shared" ref="P5:P10" si="13">O5/(B5*(1-B5))</f>
        <v>1166.8592116892551</v>
      </c>
      <c r="Q5" s="8">
        <f t="shared" si="8"/>
        <v>232.10490805776132</v>
      </c>
      <c r="R5" s="8">
        <f t="shared" si="0"/>
        <v>1.3539345539982877</v>
      </c>
      <c r="S5" s="8">
        <f t="shared" si="1"/>
        <v>1.0241691598131759</v>
      </c>
      <c r="T5" s="9">
        <f t="shared" ref="T5:T10" si="14">(A5*(1-A5))</f>
        <v>0.17115136</v>
      </c>
    </row>
    <row r="6" spans="1:20">
      <c r="A6" s="7">
        <v>0.3584</v>
      </c>
      <c r="B6" s="10">
        <v>0.3584</v>
      </c>
      <c r="C6" s="10">
        <f t="shared" si="2"/>
        <v>0.15624806399999999</v>
      </c>
      <c r="D6" s="10">
        <f t="shared" si="3"/>
        <v>0.15230300799999999</v>
      </c>
      <c r="E6" s="10">
        <f t="shared" si="4"/>
        <v>0.30855107199999998</v>
      </c>
      <c r="F6" s="10">
        <f t="shared" si="9"/>
        <v>1.8365489931754997</v>
      </c>
      <c r="G6" s="10">
        <f t="shared" si="10"/>
        <v>0.50639287359209051</v>
      </c>
      <c r="H6" s="10">
        <v>0.35482999999999998</v>
      </c>
      <c r="I6" s="10">
        <v>0.55089999999999995</v>
      </c>
      <c r="J6" s="10">
        <f t="shared" si="11"/>
        <v>0.19547584699999998</v>
      </c>
      <c r="K6" s="10">
        <f t="shared" si="12"/>
        <v>0.159354153</v>
      </c>
      <c r="L6" s="8">
        <f t="shared" si="5"/>
        <v>1.2510609219452473</v>
      </c>
      <c r="M6" s="8">
        <f t="shared" si="5"/>
        <v>1.0462968203490768</v>
      </c>
      <c r="N6" s="8">
        <f t="shared" si="6"/>
        <v>2.195968325539968</v>
      </c>
      <c r="O6" s="8">
        <f t="shared" si="7"/>
        <v>298.26483658823344</v>
      </c>
      <c r="P6" s="8">
        <f t="shared" si="13"/>
        <v>1297.0887712891733</v>
      </c>
      <c r="Q6" s="8">
        <f t="shared" si="8"/>
        <v>311.8432341357597</v>
      </c>
      <c r="R6" s="8">
        <f t="shared" si="0"/>
        <v>1.2270384120159101</v>
      </c>
      <c r="S6" s="8">
        <f t="shared" si="1"/>
        <v>1.0659261325449352</v>
      </c>
      <c r="T6" s="9">
        <f t="shared" si="14"/>
        <v>0.22994943999999998</v>
      </c>
    </row>
    <row r="7" spans="1:20">
      <c r="A7" s="7">
        <v>0.3831</v>
      </c>
      <c r="B7" s="10">
        <v>0.3831</v>
      </c>
      <c r="C7" s="10">
        <f t="shared" si="2"/>
        <v>0.16701627599999999</v>
      </c>
      <c r="D7" s="10">
        <f t="shared" si="3"/>
        <v>0.14643972199999999</v>
      </c>
      <c r="E7" s="10">
        <f t="shared" si="4"/>
        <v>0.31345599800000001</v>
      </c>
      <c r="F7" s="10">
        <f t="shared" si="9"/>
        <v>1.8365489931754986</v>
      </c>
      <c r="G7" s="10">
        <f t="shared" si="10"/>
        <v>0.53282207731115094</v>
      </c>
      <c r="H7" s="10">
        <v>0.36087999999999998</v>
      </c>
      <c r="I7" s="10">
        <v>0.57479999999999998</v>
      </c>
      <c r="J7" s="10">
        <f t="shared" si="11"/>
        <v>0.20743382399999999</v>
      </c>
      <c r="K7" s="10">
        <f t="shared" si="12"/>
        <v>0.15344617599999999</v>
      </c>
      <c r="L7" s="8">
        <f t="shared" si="5"/>
        <v>1.2419976601561875</v>
      </c>
      <c r="M7" s="8">
        <f t="shared" si="5"/>
        <v>1.0478453107142609</v>
      </c>
      <c r="N7" s="8">
        <f t="shared" si="6"/>
        <v>2.1768380589796608</v>
      </c>
      <c r="O7" s="8">
        <f t="shared" si="7"/>
        <v>305.19956691370641</v>
      </c>
      <c r="P7" s="8">
        <f t="shared" si="13"/>
        <v>1291.3887264299808</v>
      </c>
      <c r="Q7" s="8">
        <f t="shared" si="8"/>
        <v>320.50210913799987</v>
      </c>
      <c r="R7" s="8">
        <f t="shared" si="0"/>
        <v>1.2082261089640012</v>
      </c>
      <c r="S7" s="8">
        <f t="shared" si="1"/>
        <v>1.0756737332586495</v>
      </c>
      <c r="T7" s="9">
        <f t="shared" si="14"/>
        <v>0.23633439000000001</v>
      </c>
    </row>
    <row r="8" spans="1:20">
      <c r="A8" s="7">
        <v>0.52559999999999996</v>
      </c>
      <c r="B8" s="10">
        <v>0.52559999999999996</v>
      </c>
      <c r="C8" s="10">
        <f t="shared" si="2"/>
        <v>0.22914057599999998</v>
      </c>
      <c r="D8" s="10">
        <f t="shared" si="3"/>
        <v>0.11261307200000001</v>
      </c>
      <c r="E8" s="10">
        <f t="shared" si="4"/>
        <v>0.34175364799999997</v>
      </c>
      <c r="F8" s="10">
        <f t="shared" si="9"/>
        <v>1.8365489931754997</v>
      </c>
      <c r="G8" s="10">
        <f t="shared" si="10"/>
        <v>0.67048465273441649</v>
      </c>
      <c r="H8" s="10">
        <v>0.39105000000000001</v>
      </c>
      <c r="I8" s="10">
        <v>0.67859999999999998</v>
      </c>
      <c r="J8" s="10">
        <f t="shared" si="11"/>
        <v>0.26536652999999999</v>
      </c>
      <c r="K8" s="10">
        <f t="shared" si="12"/>
        <v>0.12568347000000002</v>
      </c>
      <c r="L8" s="8">
        <f t="shared" si="5"/>
        <v>1.1580948893137111</v>
      </c>
      <c r="M8" s="8">
        <f t="shared" si="5"/>
        <v>1.1160646607704656</v>
      </c>
      <c r="N8" s="8">
        <f t="shared" si="6"/>
        <v>1.9057121668044774</v>
      </c>
      <c r="O8" s="8">
        <f t="shared" si="7"/>
        <v>352.62494563515332</v>
      </c>
      <c r="P8" s="8">
        <f t="shared" si="13"/>
        <v>1414.2070414473451</v>
      </c>
      <c r="Q8" s="8">
        <f t="shared" si="8"/>
        <v>338.14580697398839</v>
      </c>
      <c r="R8" s="8">
        <f t="shared" si="0"/>
        <v>1.1183559433440642</v>
      </c>
      <c r="S8" s="8">
        <f t="shared" si="1"/>
        <v>1.1471811205922977</v>
      </c>
      <c r="T8" s="9">
        <f t="shared" si="14"/>
        <v>0.24934464000000001</v>
      </c>
    </row>
    <row r="9" spans="1:20">
      <c r="A9" s="7">
        <v>0.8478</v>
      </c>
      <c r="B9" s="10">
        <v>0.8478</v>
      </c>
      <c r="C9" s="10">
        <f t="shared" si="2"/>
        <v>0.36960688800000002</v>
      </c>
      <c r="D9" s="10">
        <f t="shared" si="3"/>
        <v>3.6129236000000002E-2</v>
      </c>
      <c r="E9" s="10">
        <f t="shared" si="4"/>
        <v>0.40573612400000003</v>
      </c>
      <c r="F9" s="10">
        <f t="shared" si="9"/>
        <v>1.8365489931754984</v>
      </c>
      <c r="G9" s="10">
        <f t="shared" si="10"/>
        <v>0.91095385926247963</v>
      </c>
      <c r="H9" s="10">
        <v>0.42720000000000002</v>
      </c>
      <c r="I9" s="10">
        <v>0.87409999999999999</v>
      </c>
      <c r="J9" s="10">
        <f t="shared" si="11"/>
        <v>0.37341552</v>
      </c>
      <c r="K9" s="10">
        <f t="shared" si="12"/>
        <v>5.3784480000000023E-2</v>
      </c>
      <c r="L9" s="8">
        <f t="shared" si="5"/>
        <v>1.0103045482204325</v>
      </c>
      <c r="M9" s="8">
        <f t="shared" si="5"/>
        <v>1.4886691763977522</v>
      </c>
      <c r="N9" s="8">
        <f t="shared" si="6"/>
        <v>1.2463976753550421</v>
      </c>
      <c r="O9" s="8">
        <f t="shared" si="7"/>
        <v>188.94462541411042</v>
      </c>
      <c r="P9" s="8">
        <f t="shared" si="13"/>
        <v>1464.2879151241445</v>
      </c>
      <c r="Q9" s="8">
        <f t="shared" si="8"/>
        <v>174.98951774627162</v>
      </c>
      <c r="R9" s="8">
        <f t="shared" si="0"/>
        <v>1.011580202411122</v>
      </c>
      <c r="S9" s="8">
        <f t="shared" si="1"/>
        <v>1.4293918485992207</v>
      </c>
      <c r="T9" s="9">
        <f t="shared" si="14"/>
        <v>0.12903516000000001</v>
      </c>
    </row>
    <row r="10" spans="1:20">
      <c r="A10" s="7">
        <v>0.98719999999999997</v>
      </c>
      <c r="B10" s="10">
        <v>0.98719999999999997</v>
      </c>
      <c r="C10" s="10">
        <f t="shared" si="2"/>
        <v>0.43037971200000003</v>
      </c>
      <c r="D10" s="10">
        <f t="shared" si="3"/>
        <v>3.0384640000000081E-3</v>
      </c>
      <c r="E10" s="10">
        <f t="shared" si="4"/>
        <v>0.43341817600000004</v>
      </c>
      <c r="F10" s="10">
        <f t="shared" si="9"/>
        <v>1.8365489931754866</v>
      </c>
      <c r="G10" s="10">
        <f t="shared" si="10"/>
        <v>0.99298953258480782</v>
      </c>
      <c r="H10" s="10">
        <v>0.43641000000000002</v>
      </c>
      <c r="I10" s="10">
        <v>0.98629999999999995</v>
      </c>
      <c r="J10" s="10">
        <f t="shared" si="11"/>
        <v>0.43043118299999999</v>
      </c>
      <c r="K10" s="10">
        <f>H10-J10</f>
        <v>5.9788170000000251E-3</v>
      </c>
      <c r="L10" s="8">
        <f t="shared" si="5"/>
        <v>1.0001195943920329</v>
      </c>
      <c r="M10" s="8">
        <f t="shared" si="5"/>
        <v>1.9677103299561913</v>
      </c>
      <c r="N10" s="8">
        <f t="shared" si="6"/>
        <v>0.93345479066355874</v>
      </c>
      <c r="O10" s="8">
        <f t="shared" si="7"/>
        <v>23.961451626984928</v>
      </c>
      <c r="P10" s="8">
        <f t="shared" si="13"/>
        <v>1896.2605433125939</v>
      </c>
      <c r="Q10" s="8">
        <f t="shared" si="8"/>
        <v>17.136380073188839</v>
      </c>
      <c r="R10" s="8">
        <f t="shared" si="0"/>
        <v>1.0000814370266498</v>
      </c>
      <c r="S10" s="8">
        <f t="shared" si="1"/>
        <v>1.6231834975740578</v>
      </c>
      <c r="T10" s="9">
        <f t="shared" si="14"/>
        <v>1.2636160000000033E-2</v>
      </c>
    </row>
    <row r="11" spans="1:20">
      <c r="A11" s="7"/>
      <c r="B11" s="8">
        <v>1</v>
      </c>
      <c r="C11" s="8">
        <f t="shared" si="2"/>
        <v>0.43596000000000001</v>
      </c>
      <c r="D11" s="8">
        <f t="shared" si="3"/>
        <v>0</v>
      </c>
      <c r="E11" s="8">
        <f t="shared" si="4"/>
        <v>0.43596000000000001</v>
      </c>
      <c r="F11" s="8"/>
      <c r="G11" s="8">
        <f t="shared" si="10"/>
        <v>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>
        <f t="shared" si="0"/>
        <v>1</v>
      </c>
      <c r="S11" s="8">
        <f t="shared" si="1"/>
        <v>1.6438349997548438</v>
      </c>
      <c r="T11" s="9"/>
    </row>
    <row r="12" spans="1:20" ht="15" thickBo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>
        <f>(PRODUCT(P8,P6:P7,P5,P4,P9,P10))^(1/7)</f>
        <v>1356.1382629840705</v>
      </c>
      <c r="Q12" s="12"/>
      <c r="R12" s="12"/>
      <c r="S12" s="12"/>
      <c r="T12" s="13"/>
    </row>
    <row r="15" spans="1:20">
      <c r="B15" s="1" t="s">
        <v>14</v>
      </c>
      <c r="C15" s="1" t="s">
        <v>15</v>
      </c>
      <c r="G15" t="s">
        <v>22</v>
      </c>
      <c r="H15" t="s">
        <v>20</v>
      </c>
      <c r="I15" s="1"/>
      <c r="J15" s="1"/>
      <c r="K15" t="s">
        <v>13</v>
      </c>
      <c r="L15" t="s">
        <v>23</v>
      </c>
      <c r="M15" t="s">
        <v>35</v>
      </c>
      <c r="N15" t="s">
        <v>36</v>
      </c>
      <c r="O15" t="s">
        <v>37</v>
      </c>
    </row>
    <row r="16" spans="1:20">
      <c r="G16">
        <v>8.1900000000000001E-2</v>
      </c>
      <c r="H16">
        <f>(G16*(1-G16))</f>
        <v>7.5192389999999998E-2</v>
      </c>
      <c r="K16">
        <f>8.314459848*328.16*(B4*LN(L4)+(1-B4)*LN(M4))</f>
        <v>82.645468309765562</v>
      </c>
      <c r="L16">
        <f t="shared" ref="L16:L22" si="15">$P$12*H16</f>
        <v>101.97127716422079</v>
      </c>
      <c r="M16">
        <f t="shared" ref="M16:M22" si="16">($O$31*$O$32/(G16+(1-G16)*$O$32)+$J$31*$J$32/((1-G16)+G16*$J$32))*8.314*(55+273.16)*H16</f>
        <v>4.9443400303006273</v>
      </c>
      <c r="N16">
        <f>1/P4</f>
        <v>9.0981866928467874E-4</v>
      </c>
      <c r="O16">
        <f>H16/(0.0009-0.0004*G16)</f>
        <v>86.703092569530924</v>
      </c>
    </row>
    <row r="17" spans="2:15">
      <c r="B17">
        <f>8.3144598*328.16*(I4*LN(I4)+(1-I4)*LN(1-I4))</f>
        <v>-1314.2961755268143</v>
      </c>
      <c r="C17">
        <f>B17+O4</f>
        <v>-1231.6507072170486</v>
      </c>
      <c r="G17">
        <v>0.21920000000000001</v>
      </c>
      <c r="H17">
        <f t="shared" ref="H17:H22" si="17">(G17*(1-G17))</f>
        <v>0.17115136</v>
      </c>
      <c r="K17">
        <f>8.314459848*328.16*(B5*LN(L5)+(1-B5)*LN(M5))</f>
        <v>199.70954100914392</v>
      </c>
      <c r="L17">
        <f t="shared" si="15"/>
        <v>232.10490805776132</v>
      </c>
      <c r="M17">
        <f t="shared" si="16"/>
        <v>15.865838270949382</v>
      </c>
      <c r="N17">
        <f t="shared" ref="N17:N22" si="18">1/P5</f>
        <v>8.5700141883638726E-4</v>
      </c>
      <c r="O17">
        <f t="shared" ref="O17:O22" si="19">H17/(0.0009-0.0004*G17)</f>
        <v>210.69450462871777</v>
      </c>
    </row>
    <row r="18" spans="2:15">
      <c r="G18">
        <v>0.3584</v>
      </c>
      <c r="H18">
        <f t="shared" si="17"/>
        <v>0.22994943999999998</v>
      </c>
      <c r="K18">
        <f>8.314459848*328.16*(B6*LN(L6)+(1-B6)*LN(M6))</f>
        <v>298.26483658823344</v>
      </c>
      <c r="L18">
        <f t="shared" si="15"/>
        <v>311.8432341357597</v>
      </c>
      <c r="M18">
        <f t="shared" si="16"/>
        <v>27.872690205951447</v>
      </c>
      <c r="N18">
        <f t="shared" si="18"/>
        <v>7.7095725607592952E-4</v>
      </c>
      <c r="O18">
        <f t="shared" si="19"/>
        <v>303.908648762952</v>
      </c>
    </row>
    <row r="19" spans="2:15">
      <c r="G19">
        <v>0.3831</v>
      </c>
      <c r="H19">
        <f t="shared" si="17"/>
        <v>0.23633439000000001</v>
      </c>
      <c r="K19">
        <f>8.314459848*328.16*(B7*LN(L7)+(1-B7)*LN(M7))</f>
        <v>305.19956691370641</v>
      </c>
      <c r="L19">
        <f t="shared" si="15"/>
        <v>320.50210913799987</v>
      </c>
      <c r="M19">
        <f t="shared" si="16"/>
        <v>29.873380578433402</v>
      </c>
      <c r="N19">
        <f t="shared" si="18"/>
        <v>7.7436017485182842E-4</v>
      </c>
      <c r="O19">
        <f t="shared" si="19"/>
        <v>316.4797123573839</v>
      </c>
    </row>
    <row r="20" spans="2:15">
      <c r="B20">
        <f>8.3144598*328.16*(I5*LN(I5)+(1-I5)*LN(1-I5))</f>
        <v>-1843.2454654566893</v>
      </c>
      <c r="C20">
        <f>B20+O5</f>
        <v>-1643.5359244475453</v>
      </c>
      <c r="G20">
        <v>0.52559999999999996</v>
      </c>
      <c r="H20">
        <f t="shared" si="17"/>
        <v>0.24934464000000001</v>
      </c>
      <c r="K20">
        <v>352.62490000000003</v>
      </c>
      <c r="L20">
        <f t="shared" si="15"/>
        <v>338.14580697398839</v>
      </c>
      <c r="M20">
        <f t="shared" si="16"/>
        <v>39.187681780450099</v>
      </c>
      <c r="N20">
        <f t="shared" si="18"/>
        <v>7.0711004166445655E-4</v>
      </c>
      <c r="O20">
        <f t="shared" si="19"/>
        <v>361.49478079331942</v>
      </c>
    </row>
    <row r="21" spans="2:15">
      <c r="G21">
        <v>0.8478</v>
      </c>
      <c r="H21">
        <f t="shared" si="17"/>
        <v>0.12903516000000001</v>
      </c>
      <c r="K21">
        <v>188.94460000000001</v>
      </c>
      <c r="L21">
        <f t="shared" si="15"/>
        <v>174.98951774627162</v>
      </c>
      <c r="M21">
        <f t="shared" si="16"/>
        <v>29.968324958874003</v>
      </c>
      <c r="N21">
        <f t="shared" si="18"/>
        <v>6.8292580282288166E-4</v>
      </c>
      <c r="O21">
        <f t="shared" si="19"/>
        <v>230.05840821566116</v>
      </c>
    </row>
    <row r="22" spans="2:15">
      <c r="B22">
        <f>8.3144598*328.16*(I6*LN(I6)+(1-I6)*LN(1-I6))</f>
        <v>-1877.0710240712497</v>
      </c>
      <c r="C22">
        <f>B22+O6</f>
        <v>-1578.8061874830162</v>
      </c>
      <c r="G22">
        <v>0.98719999999999997</v>
      </c>
      <c r="H22">
        <f t="shared" si="17"/>
        <v>1.2636160000000033E-2</v>
      </c>
      <c r="K22">
        <v>23.961449999999999</v>
      </c>
      <c r="L22">
        <f t="shared" si="15"/>
        <v>17.136380073188839</v>
      </c>
      <c r="M22">
        <f t="shared" si="16"/>
        <v>3.3784996720189278</v>
      </c>
      <c r="N22">
        <f t="shared" si="18"/>
        <v>5.2735369278585076E-4</v>
      </c>
      <c r="O22">
        <f t="shared" si="19"/>
        <v>25.016154577130255</v>
      </c>
    </row>
    <row r="23" spans="2:15">
      <c r="B23">
        <f>8.3144598*328.16*(I7*LN(I7)+(1-I7)*LN(1-I7))</f>
        <v>-1860.5867068572607</v>
      </c>
      <c r="C23">
        <f>B23+O7</f>
        <v>-1555.3871399435543</v>
      </c>
    </row>
    <row r="26" spans="2:15">
      <c r="B26">
        <f>8.3144598*328.16*(I8*LN(I8)+(1-I8)*LN(1-I8))</f>
        <v>-1713.2634955781946</v>
      </c>
      <c r="C26">
        <f>B26+O8</f>
        <v>-1360.6385499430412</v>
      </c>
    </row>
    <row r="30" spans="2:15">
      <c r="B30">
        <f>8.3144598*328.16*(I9*LN(I9)+(1-I9)*LN(1-I9))</f>
        <v>-1032.7756051655115</v>
      </c>
      <c r="C30">
        <f>B30+O9</f>
        <v>-843.83097975140106</v>
      </c>
    </row>
    <row r="31" spans="2:15">
      <c r="F31" t="s">
        <v>25</v>
      </c>
      <c r="G31">
        <v>-2.8849999999999998</v>
      </c>
      <c r="I31" t="s">
        <v>28</v>
      </c>
      <c r="J31">
        <f>G31+G32/(55+273.16)</f>
        <v>0.54015845928815187</v>
      </c>
      <c r="L31" t="s">
        <v>30</v>
      </c>
      <c r="M31">
        <v>2.1909999999999998</v>
      </c>
      <c r="N31" t="s">
        <v>33</v>
      </c>
      <c r="O31">
        <f>M31+M32/(55+273.16)</f>
        <v>-0.44094783032667006</v>
      </c>
    </row>
    <row r="32" spans="2:15">
      <c r="B32">
        <f>8.3144598*328.16*(I10*LN(I10)+(1-I10)*LN(1-I10))</f>
        <v>-197.4968381814771</v>
      </c>
      <c r="C32">
        <f>B32+O10</f>
        <v>-173.53538655449216</v>
      </c>
      <c r="F32" t="s">
        <v>26</v>
      </c>
      <c r="G32">
        <v>1124</v>
      </c>
      <c r="I32" t="s">
        <v>29</v>
      </c>
      <c r="J32">
        <f>EXP(-G33*J31)</f>
        <v>0.85040077740878284</v>
      </c>
      <c r="L32" t="s">
        <v>31</v>
      </c>
      <c r="M32">
        <v>-863.7</v>
      </c>
      <c r="N32" t="s">
        <v>34</v>
      </c>
      <c r="O32">
        <v>1</v>
      </c>
    </row>
    <row r="33" spans="2:13">
      <c r="F33" t="s">
        <v>27</v>
      </c>
      <c r="G33">
        <v>0.3</v>
      </c>
      <c r="L33" t="s">
        <v>32</v>
      </c>
      <c r="M33">
        <v>0</v>
      </c>
    </row>
    <row r="35" spans="2:13">
      <c r="B35" s="15"/>
      <c r="C35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:H2"/>
  <sheetViews>
    <sheetView workbookViewId="0">
      <selection activeCell="E9" sqref="E9"/>
    </sheetView>
  </sheetViews>
  <sheetFormatPr defaultRowHeight="14.5"/>
  <sheetData>
    <row r="1" spans="8:8" ht="15" thickBot="1"/>
    <row r="2" spans="8:8" ht="15" thickBot="1">
      <c r="H2" s="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2016-03-14T17:53:12Z</dcterms:created>
  <dcterms:modified xsi:type="dcterms:W3CDTF">2016-04-03T17:30:40Z</dcterms:modified>
</cp:coreProperties>
</file>