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MTech\ACMOS\Project Report and Excel sheet\"/>
    </mc:Choice>
  </mc:AlternateContent>
  <xr:revisionPtr revIDLastSave="0" documentId="8_{15F0F2CD-371B-41AC-AA5C-310CFBF1AB3C}" xr6:coauthVersionLast="47" xr6:coauthVersionMax="47" xr10:uidLastSave="{00000000-0000-0000-0000-000000000000}"/>
  <bookViews>
    <workbookView xWindow="-108" yWindow="-108" windowWidth="23256" windowHeight="13176" tabRatio="624" xr2:uid="{00000000-000D-0000-FFFF-FFFF00000000}"/>
  </bookViews>
  <sheets>
    <sheet name="EXTERNAL(HEAVY)" sheetId="4" r:id="rId1"/>
    <sheet name="EXTERNAL(LIGHT)" sheetId="2" r:id="rId2"/>
    <sheet name="INTERNAL(HEAVY LOAD)" sheetId="1" r:id="rId3"/>
    <sheet name="INTERNAL(LIGHT LOAD)" sheetId="3" r:id="rId4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5" i="4" l="1"/>
  <c r="C61" i="4" s="1"/>
  <c r="C45" i="4"/>
  <c r="C49" i="4" s="1"/>
  <c r="C22" i="4"/>
  <c r="C23" i="4" s="1"/>
  <c r="C13" i="4"/>
  <c r="C32" i="3"/>
  <c r="C37" i="3" s="1"/>
  <c r="C66" i="3"/>
  <c r="C70" i="3" s="1"/>
  <c r="C73" i="3" s="1"/>
  <c r="C56" i="3"/>
  <c r="C60" i="3" s="1"/>
  <c r="C47" i="3"/>
  <c r="C24" i="3"/>
  <c r="E24" i="3" s="1"/>
  <c r="C20" i="3"/>
  <c r="C19" i="3"/>
  <c r="C17" i="3"/>
  <c r="C49" i="3" s="1"/>
  <c r="C50" i="3" s="1"/>
  <c r="C27" i="4" l="1"/>
  <c r="C28" i="4" s="1"/>
  <c r="C33" i="4" s="1"/>
  <c r="C36" i="4" s="1"/>
  <c r="C37" i="4"/>
  <c r="C38" i="4" s="1"/>
  <c r="C59" i="4"/>
  <c r="C62" i="4" s="1"/>
  <c r="C61" i="3"/>
  <c r="C80" i="3" s="1"/>
  <c r="C84" i="3" s="1"/>
  <c r="C85" i="3" s="1"/>
  <c r="C50" i="4"/>
  <c r="C51" i="4" s="1"/>
  <c r="C21" i="3"/>
  <c r="C38" i="3"/>
  <c r="C39" i="3"/>
  <c r="C72" i="3"/>
  <c r="C55" i="2"/>
  <c r="C59" i="2" s="1"/>
  <c r="C62" i="2" s="1"/>
  <c r="C45" i="2"/>
  <c r="C50" i="2" s="1"/>
  <c r="C51" i="2" s="1"/>
  <c r="C13" i="2"/>
  <c r="C37" i="2" s="1"/>
  <c r="C38" i="2" s="1"/>
  <c r="C22" i="2"/>
  <c r="C32" i="1"/>
  <c r="C33" i="1" s="1"/>
  <c r="C55" i="1"/>
  <c r="C59" i="1" s="1"/>
  <c r="C65" i="1"/>
  <c r="C69" i="1" s="1"/>
  <c r="C72" i="1" s="1"/>
  <c r="C17" i="1"/>
  <c r="C48" i="1" s="1"/>
  <c r="C49" i="1" s="1"/>
  <c r="C24" i="1"/>
  <c r="E24" i="1" s="1"/>
  <c r="C20" i="1"/>
  <c r="C19" i="1"/>
  <c r="C61" i="2" l="1"/>
  <c r="C63" i="4"/>
  <c r="C29" i="4"/>
  <c r="C35" i="4"/>
  <c r="C37" i="1"/>
  <c r="C38" i="1" s="1"/>
  <c r="C63" i="2"/>
  <c r="C49" i="2"/>
  <c r="C62" i="3"/>
  <c r="C77" i="3" s="1"/>
  <c r="C21" i="1"/>
  <c r="C27" i="2"/>
  <c r="C60" i="1"/>
  <c r="C71" i="1"/>
  <c r="C39" i="1" l="1"/>
  <c r="C29" i="2"/>
  <c r="C28" i="2"/>
  <c r="C33" i="2" s="1"/>
  <c r="C79" i="1"/>
  <c r="C83" i="1" s="1"/>
  <c r="C84" i="1" s="1"/>
  <c r="C61" i="1"/>
  <c r="C76" i="1" s="1"/>
  <c r="C45" i="1" l="1"/>
  <c r="C35" i="2"/>
  <c r="C36" i="2"/>
  <c r="C47" i="1"/>
</calcChain>
</file>

<file path=xl/sharedStrings.xml><?xml version="1.0" encoding="utf-8"?>
<sst xmlns="http://schemas.openxmlformats.org/spreadsheetml/2006/main" count="879" uniqueCount="220">
  <si>
    <t>gm/Id</t>
  </si>
  <si>
    <t>Id/W</t>
  </si>
  <si>
    <t>gmro</t>
  </si>
  <si>
    <t>Id</t>
  </si>
  <si>
    <t>W</t>
  </si>
  <si>
    <t>Length</t>
  </si>
  <si>
    <t>gm</t>
  </si>
  <si>
    <t>fu</t>
  </si>
  <si>
    <t>Vin</t>
  </si>
  <si>
    <t>Vout</t>
  </si>
  <si>
    <t>PSRR</t>
  </si>
  <si>
    <t>Iload|min</t>
  </si>
  <si>
    <t>Iload|max</t>
  </si>
  <si>
    <t>Cload</t>
  </si>
  <si>
    <t>Load Slew Rate</t>
  </si>
  <si>
    <t>Units</t>
  </si>
  <si>
    <t>V</t>
  </si>
  <si>
    <t>dB</t>
  </si>
  <si>
    <t>mA</t>
  </si>
  <si>
    <t>nF</t>
  </si>
  <si>
    <t>mA/μs</t>
  </si>
  <si>
    <t>Low Freq Loop Gain</t>
  </si>
  <si>
    <t>Value</t>
  </si>
  <si>
    <t>Drop Out Voltage</t>
  </si>
  <si>
    <t>Transient spread</t>
  </si>
  <si>
    <t>% of vout peak to peak</t>
  </si>
  <si>
    <t>ΔI (Load step)</t>
  </si>
  <si>
    <t>ΔV (Load step) overshoot/undershoot</t>
  </si>
  <si>
    <t>Assuming overshoot and undershoot same</t>
  </si>
  <si>
    <t>Comments</t>
  </si>
  <si>
    <t>s</t>
  </si>
  <si>
    <t>V/V</t>
  </si>
  <si>
    <t>A</t>
  </si>
  <si>
    <t>Power FET</t>
  </si>
  <si>
    <t>Simulation</t>
  </si>
  <si>
    <t>ft</t>
  </si>
  <si>
    <t>μm</t>
  </si>
  <si>
    <t>ro</t>
  </si>
  <si>
    <t>Cgs+Cgd</t>
  </si>
  <si>
    <t>Step 1: List Down the Specifications and classify them</t>
  </si>
  <si>
    <t>Relaxed</t>
  </si>
  <si>
    <t>Aggressive</t>
  </si>
  <si>
    <t>Moderate</t>
  </si>
  <si>
    <t>Iquiescent</t>
  </si>
  <si>
    <t>μA</t>
  </si>
  <si>
    <t>Transient duration</t>
  </si>
  <si>
    <t>μs</t>
  </si>
  <si>
    <t>Step 2: Evaluate Interim Design Goals</t>
  </si>
  <si>
    <t>Δt (Response time of the loopbound)</t>
  </si>
  <si>
    <t>Note the current slew rate wasnt taken into picture which will play a role in this.</t>
  </si>
  <si>
    <t>wumin</t>
  </si>
  <si>
    <t>Hz</t>
  </si>
  <si>
    <t>(fu must be more than 159 kHz)</t>
  </si>
  <si>
    <t>Step 3: Power FET Sizing</t>
  </si>
  <si>
    <t>Hand/Techplots Calculations</t>
  </si>
  <si>
    <t>1/V</t>
  </si>
  <si>
    <t>Assumption for Vov=200mV; Vov&lt;Vdsat</t>
  </si>
  <si>
    <t>A/m</t>
  </si>
  <si>
    <t>From Id/W vs. gm/Id plot</t>
  </si>
  <si>
    <t>m</t>
  </si>
  <si>
    <t>A/V</t>
  </si>
  <si>
    <t>Ohm</t>
  </si>
  <si>
    <t>F</t>
  </si>
  <si>
    <t>Step 4: Revaluate Interim Design Parameters</t>
  </si>
  <si>
    <t>rad/s</t>
  </si>
  <si>
    <t>MHz</t>
  </si>
  <si>
    <t>gm*(ron||rop)</t>
  </si>
  <si>
    <t>gmron</t>
  </si>
  <si>
    <t>rodiff</t>
  </si>
  <si>
    <t>Cc</t>
  </si>
  <si>
    <t>Cg</t>
  </si>
  <si>
    <t>Ceq</t>
  </si>
  <si>
    <t>tslew</t>
  </si>
  <si>
    <t>tslewmax</t>
  </si>
  <si>
    <t>Stop at this stage to simulate because not very clear boundary plus assumptions made</t>
  </si>
  <si>
    <t>Plus we assume really fast slew rate that is not captured here.</t>
  </si>
  <si>
    <t>Step 5: Diffamp Input Pair Sizing (Heavy load error will be higher than light load because we used light load Charts)</t>
  </si>
  <si>
    <t>gm/Iddiff</t>
  </si>
  <si>
    <t>Taking all budget available and check later</t>
  </si>
  <si>
    <t>um</t>
  </si>
  <si>
    <t>Vds for heavy load lower</t>
  </si>
  <si>
    <t>Please simulate for Vds of 0.5 everything and you are good to go</t>
  </si>
  <si>
    <t>kHz</t>
  </si>
  <si>
    <t>ns</t>
  </si>
  <si>
    <t>Get the length for the desired gain from the techplots (gmro vs. gm/Id)</t>
  </si>
  <si>
    <t>Hand Calculation.</t>
  </si>
  <si>
    <t>Keep Loop Gain Margin vs. PSRR (PSRR will degrade)</t>
  </si>
  <si>
    <t>Worst case approximation because loop can start responsing midway</t>
  </si>
  <si>
    <t>Step 6: PMOS Load sizing (Vds assumed to be 0.4 for techplots - which can change)</t>
  </si>
  <si>
    <t>Sizing CC</t>
  </si>
  <si>
    <t>Adiffamp_min</t>
  </si>
  <si>
    <t>Adiff_n_min</t>
  </si>
  <si>
    <t>1/wp1/Apass/rodiff</t>
  </si>
  <si>
    <t>gmn/wu</t>
  </si>
  <si>
    <t>Cc+Cgd</t>
  </si>
  <si>
    <t>22ns</t>
  </si>
  <si>
    <t>In real world, gm doesn’t scale as sqrt I</t>
  </si>
  <si>
    <t>Check Slew Rate</t>
  </si>
  <si>
    <t>We want to make sure that the Bias fet has enough headroom</t>
  </si>
  <si>
    <t>uF</t>
  </si>
  <si>
    <t>wp1</t>
  </si>
  <si>
    <t>fp1</t>
  </si>
  <si>
    <t>wp2</t>
  </si>
  <si>
    <t>For &gt;45 degrees phase margin</t>
  </si>
  <si>
    <t>gm/Idload</t>
  </si>
  <si>
    <t>rocheck</t>
  </si>
  <si>
    <t>Step 7: Performance Results</t>
  </si>
  <si>
    <t>Phase margin</t>
  </si>
  <si>
    <t>Expected</t>
  </si>
  <si>
    <t>fp2</t>
  </si>
  <si>
    <t>&gt;45 deg</t>
  </si>
  <si>
    <t>Simulated</t>
  </si>
  <si>
    <t>60 dB</t>
  </si>
  <si>
    <t>Name</t>
  </si>
  <si>
    <t>Model</t>
  </si>
  <si>
    <t>Vgs</t>
  </si>
  <si>
    <t>Vds</t>
  </si>
  <si>
    <t>Vbs</t>
  </si>
  <si>
    <t>Vth</t>
  </si>
  <si>
    <t>Vdsat</t>
  </si>
  <si>
    <t>Gm</t>
  </si>
  <si>
    <t>Gds</t>
  </si>
  <si>
    <t>Gmb</t>
  </si>
  <si>
    <t>Cbd</t>
  </si>
  <si>
    <t>Cbs</t>
  </si>
  <si>
    <t>gm * ro</t>
  </si>
  <si>
    <t>Parameter</t>
  </si>
  <si>
    <t>Hand Calculation</t>
  </si>
  <si>
    <t>Simulation Result</t>
  </si>
  <si>
    <t>% Difference</t>
  </si>
  <si>
    <t>ro (ohm)</t>
  </si>
  <si>
    <t>gm (A/V)</t>
  </si>
  <si>
    <t>Wp1 (Hz)</t>
  </si>
  <si>
    <t>Wp2 (Hz)</t>
  </si>
  <si>
    <t>Wugb (Hz)</t>
  </si>
  <si>
    <t>rodiff (ohm)</t>
  </si>
  <si>
    <t>gmdiff (A/V)</t>
  </si>
  <si>
    <t>Hand Calculation vs Simulation Results</t>
  </si>
  <si>
    <t>wpu</t>
  </si>
  <si>
    <t>318.30 Hz</t>
  </si>
  <si>
    <t xml:space="preserve"> 3.5MHz</t>
  </si>
  <si>
    <t>62.34 dB</t>
  </si>
  <si>
    <t>1.59E+3 Hz</t>
  </si>
  <si>
    <t>1.58E+3 Hz</t>
  </si>
  <si>
    <t xml:space="preserve"> 7.95MHz</t>
  </si>
  <si>
    <t xml:space="preserve"> 1.59MHz</t>
  </si>
  <si>
    <t>63.66 Hz</t>
  </si>
  <si>
    <t xml:space="preserve"> 17.5MHz</t>
  </si>
  <si>
    <t>Operating Region</t>
  </si>
  <si>
    <t>Saturation</t>
  </si>
  <si>
    <t>Transistor Operating Regions Table</t>
  </si>
  <si>
    <t>OUTPUT LOG FILE</t>
  </si>
  <si>
    <t>wugb</t>
  </si>
  <si>
    <t>58.6 dB</t>
  </si>
  <si>
    <t>401.27 Hz</t>
  </si>
  <si>
    <t>2.83 MHz</t>
  </si>
  <si>
    <t>83.15 deg</t>
  </si>
  <si>
    <t xml:space="preserve"> pmos </t>
  </si>
  <si>
    <t xml:space="preserve"> nmos </t>
  </si>
  <si>
    <t xml:space="preserve">Name </t>
  </si>
  <si>
    <t xml:space="preserve"> mpass </t>
  </si>
  <si>
    <t xml:space="preserve"> m1 </t>
  </si>
  <si>
    <t xml:space="preserve"> m2 </t>
  </si>
  <si>
    <t xml:space="preserve"> m3 </t>
  </si>
  <si>
    <t xml:space="preserve"> m4 </t>
  </si>
  <si>
    <t xml:space="preserve"> m5 </t>
  </si>
  <si>
    <t xml:space="preserve"> m6 </t>
  </si>
  <si>
    <t xml:space="preserve"> m7 </t>
  </si>
  <si>
    <t xml:space="preserve">Model </t>
  </si>
  <si>
    <t xml:space="preserve">Id </t>
  </si>
  <si>
    <t xml:space="preserve">Vgs </t>
  </si>
  <si>
    <t xml:space="preserve">Vds </t>
  </si>
  <si>
    <t xml:space="preserve">Vbs </t>
  </si>
  <si>
    <t xml:space="preserve">Vth </t>
  </si>
  <si>
    <t xml:space="preserve">Vdsat </t>
  </si>
  <si>
    <t xml:space="preserve">Gm </t>
  </si>
  <si>
    <t xml:space="preserve">Gds </t>
  </si>
  <si>
    <t xml:space="preserve">Gmb </t>
  </si>
  <si>
    <t xml:space="preserve">Cbd </t>
  </si>
  <si>
    <t xml:space="preserve">Cbs </t>
  </si>
  <si>
    <t xml:space="preserve">rds </t>
  </si>
  <si>
    <t xml:space="preserve">gm*rds </t>
  </si>
  <si>
    <t xml:space="preserve">Device Name </t>
  </si>
  <si>
    <t xml:space="preserve"> Device Type </t>
  </si>
  <si>
    <t xml:space="preserve"> |V_ds| </t>
  </si>
  <si>
    <t xml:space="preserve"> |V_gs| </t>
  </si>
  <si>
    <t xml:space="preserve"> |V_t| </t>
  </si>
  <si>
    <t xml:space="preserve"> |V_gs| - |V_t| </t>
  </si>
  <si>
    <t xml:space="preserve">MPass1 </t>
  </si>
  <si>
    <t xml:space="preserve"> PMOS </t>
  </si>
  <si>
    <t xml:space="preserve">M1 </t>
  </si>
  <si>
    <t xml:space="preserve">M2 </t>
  </si>
  <si>
    <t xml:space="preserve">M5 </t>
  </si>
  <si>
    <t xml:space="preserve"> NMOS </t>
  </si>
  <si>
    <t xml:space="preserve">M6 </t>
  </si>
  <si>
    <t xml:space="preserve">M3 </t>
  </si>
  <si>
    <t xml:space="preserve">M7 </t>
  </si>
  <si>
    <t xml:space="preserve">M4 </t>
  </si>
  <si>
    <t xml:space="preserve">Parameter </t>
  </si>
  <si>
    <t xml:space="preserve">ro </t>
  </si>
  <si>
    <t xml:space="preserve">Hand Calculation </t>
  </si>
  <si>
    <t xml:space="preserve"> Simulation Result </t>
  </si>
  <si>
    <t xml:space="preserve"> % Difference </t>
  </si>
  <si>
    <t>105.09 Hz</t>
  </si>
  <si>
    <t>13.45 MHz</t>
  </si>
  <si>
    <t>87.67 deg</t>
  </si>
  <si>
    <t>62 dB</t>
  </si>
  <si>
    <t>ohm</t>
  </si>
  <si>
    <t>Low-Frequency
Loop Gain</t>
  </si>
  <si>
    <r>
      <rPr>
        <b/>
        <sz val="16"/>
        <color theme="1"/>
        <rFont val="Times New Roman"/>
        <family val="1"/>
      </rPr>
      <t>Hand Calculation vs Simulation Result</t>
    </r>
    <r>
      <rPr>
        <sz val="16"/>
        <color theme="1"/>
        <rFont val="Times New Roman"/>
        <family val="1"/>
      </rPr>
      <t>s</t>
    </r>
  </si>
  <si>
    <t>Low-Frequency
 Loop Gain</t>
  </si>
  <si>
    <t>79.69 deg</t>
  </si>
  <si>
    <t xml:space="preserve"> 7.92 MHz</t>
  </si>
  <si>
    <t>1.56E+3 Hz</t>
  </si>
  <si>
    <t>Low-Frequency 
Loop Gain</t>
  </si>
  <si>
    <t>mho</t>
  </si>
  <si>
    <t>V^(-1)</t>
  </si>
  <si>
    <t>65.38 degrees</t>
  </si>
  <si>
    <t xml:space="preserve"> 2.85MHz</t>
  </si>
  <si>
    <t xml:space="preserve"> 1.125Hz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</si>
</sst>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rgb="FF000000"/>
      <name val="Times New Roman"/>
      <family val="1"/>
    </font>
    <font>
      <sz val="16"/>
      <color theme="1"/>
      <name val="Times New Roman"/>
      <family val="1"/>
    </font>
    <font>
      <b/>
      <sz val="20"/>
      <color rgb="FF000000"/>
      <name val="Times New Roman"/>
      <family val="1"/>
    </font>
    <font>
      <b/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3" fillId="3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0" xfId="0" applyFont="1"/>
    <xf numFmtId="11" fontId="4" fillId="0" borderId="0" xfId="0" applyNumberFormat="1" applyFont="1"/>
    <xf numFmtId="0" fontId="3" fillId="0" borderId="0" xfId="0" applyFont="1"/>
    <xf numFmtId="9" fontId="4" fillId="0" borderId="0" xfId="0" applyNumberFormat="1" applyFont="1"/>
    <xf numFmtId="0" fontId="3" fillId="4" borderId="0" xfId="0" applyFont="1" applyFill="1"/>
    <xf numFmtId="0" fontId="5" fillId="4" borderId="0" xfId="0" applyFont="1" applyFill="1"/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/>
    <xf numFmtId="0" fontId="5" fillId="0" borderId="0" xfId="0" applyFont="1" applyAlignment="1">
      <alignment horizontal="center" wrapText="1"/>
    </xf>
    <xf numFmtId="1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 wrapText="1"/>
    </xf>
    <xf numFmtId="11" fontId="4" fillId="0" borderId="0" xfId="0" applyNumberFormat="1" applyFont="1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11" fontId="5" fillId="0" borderId="0" xfId="0" applyNumberFormat="1" applyFont="1"/>
    <xf numFmtId="0" fontId="10" fillId="3" borderId="0" xfId="0" applyFont="1" applyFill="1"/>
    <xf numFmtId="0" fontId="11" fillId="3" borderId="0" xfId="0" applyFont="1" applyFill="1"/>
    <xf numFmtId="0" fontId="8" fillId="3" borderId="0" xfId="0" applyFont="1" applyFill="1"/>
    <xf numFmtId="11" fontId="8" fillId="0" borderId="0" xfId="0" applyNumberFormat="1" applyFont="1"/>
    <xf numFmtId="11" fontId="10" fillId="3" borderId="0" xfId="0" applyNumberFormat="1" applyFont="1" applyFill="1"/>
    <xf numFmtId="0" fontId="10" fillId="0" borderId="0" xfId="0" applyFont="1"/>
    <xf numFmtId="11" fontId="10" fillId="0" borderId="0" xfId="0" applyNumberFormat="1" applyFont="1"/>
    <xf numFmtId="0" fontId="8" fillId="0" borderId="0" xfId="0" applyFont="1" applyAlignment="1">
      <alignment vertical="center"/>
    </xf>
    <xf numFmtId="0" fontId="4" fillId="0" borderId="0" xfId="0" applyFont="1" applyAlignment="1">
      <alignment wrapText="1"/>
    </xf>
    <xf numFmtId="11" fontId="4" fillId="0" borderId="0" xfId="0" applyNumberFormat="1" applyFont="1" applyAlignment="1">
      <alignment wrapText="1"/>
    </xf>
    <xf numFmtId="0" fontId="5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1" fontId="4" fillId="2" borderId="0" xfId="0" applyNumberFormat="1" applyFont="1" applyFill="1" applyAlignment="1">
      <alignment horizontal="center"/>
    </xf>
    <xf numFmtId="10" fontId="4" fillId="0" borderId="0" xfId="0" applyNumberFormat="1" applyFont="1" applyAlignment="1">
      <alignment horizontal="center" wrapText="1"/>
    </xf>
    <xf numFmtId="0" fontId="5" fillId="2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1" fontId="8" fillId="0" borderId="0" xfId="0" applyNumberFormat="1" applyFont="1" applyAlignment="1">
      <alignment horizontal="center"/>
    </xf>
    <xf numFmtId="0" fontId="11" fillId="2" borderId="0" xfId="0" applyFont="1" applyFill="1" applyAlignment="1">
      <alignment horizontal="center"/>
    </xf>
    <xf numFmtId="11" fontId="8" fillId="2" borderId="0" xfId="0" applyNumberFormat="1" applyFont="1" applyFill="1" applyAlignment="1">
      <alignment horizontal="center"/>
    </xf>
    <xf numFmtId="11" fontId="5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/>
    </xf>
  </cellXfs>
  <cellStyles count="3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Normal" xfId="0" builtinId="0"/>
  </cellStyles>
  <dxfs count="104">
    <dxf>
      <font>
        <strike val="0"/>
        <outline val="0"/>
        <shadow val="0"/>
        <u val="none"/>
        <vertAlign val="baseline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numFmt numFmtId="15" formatCode="0.00E+0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numFmt numFmtId="15" formatCode="0.00E+0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numFmt numFmtId="15" formatCode="0.00E+0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numFmt numFmtId="15" formatCode="0.00E+0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numFmt numFmtId="15" formatCode="0.00E+0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numFmt numFmtId="15" formatCode="0.00E+00"/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numFmt numFmtId="15" formatCode="0.00E+00"/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numFmt numFmtId="15" formatCode="0.00E+00"/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numFmt numFmtId="15" formatCode="0.00E+00"/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numFmt numFmtId="15" formatCode="0.00E+00"/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numFmt numFmtId="15" formatCode="0.00E+00"/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numFmt numFmtId="15" formatCode="0.00E+00"/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name val="Times New Roman"/>
        <family val="1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numFmt numFmtId="14" formatCode="0.00%"/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name val="Times New Roman"/>
        <family val="1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numFmt numFmtId="15" formatCode="0.00E+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numFmt numFmtId="15" formatCode="0.00E+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numFmt numFmtId="15" formatCode="0.00E+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numFmt numFmtId="15" formatCode="0.00E+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numFmt numFmtId="15" formatCode="0.00E+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numFmt numFmtId="15" formatCode="0.00E+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numFmt numFmtId="15" formatCode="0.00E+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numFmt numFmtId="15" formatCode="0.00E+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numFmt numFmtId="2" formatCode="0.00"/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numFmt numFmtId="15" formatCode="0.00E+00"/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numFmt numFmtId="15" formatCode="0.00E+00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name val="Times New Roman"/>
        <family val="1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numFmt numFmtId="15" formatCode="0.00E+00"/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numFmt numFmtId="15" formatCode="0.00E+00"/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numFmt numFmtId="15" formatCode="0.00E+00"/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numFmt numFmtId="15" formatCode="0.00E+00"/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numFmt numFmtId="15" formatCode="0.00E+00"/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numFmt numFmtId="15" formatCode="0.00E+00"/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Times New Roman"/>
        <family val="1"/>
        <scheme val="none"/>
      </font>
      <numFmt numFmtId="15" formatCode="0.00E+0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Times New Roman"/>
        <family val="1"/>
        <scheme val="none"/>
      </font>
      <numFmt numFmtId="15" formatCode="0.00E+0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Times New Roman"/>
        <family val="1"/>
        <scheme val="none"/>
      </font>
      <numFmt numFmtId="15" formatCode="0.00E+0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Times New Roman"/>
        <family val="1"/>
        <scheme val="none"/>
      </font>
      <numFmt numFmtId="15" formatCode="0.00E+0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Times New Roman"/>
        <family val="1"/>
        <scheme val="none"/>
      </font>
      <numFmt numFmtId="15" formatCode="0.00E+0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Times New Roman"/>
        <family val="1"/>
        <scheme val="none"/>
      </font>
      <numFmt numFmtId="14" formatCode="0.00%"/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Times New Roman"/>
        <family val="1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Times New Roman"/>
        <family val="1"/>
        <scheme val="none"/>
      </font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Times New Roman"/>
        <family val="1"/>
        <scheme val="none"/>
      </font>
      <alignment horizont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Times New Roman"/>
        <family val="1"/>
        <scheme val="none"/>
      </font>
      <numFmt numFmtId="15" formatCode="0.00E+00"/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Times New Roman"/>
        <family val="1"/>
        <scheme val="none"/>
      </font>
      <numFmt numFmtId="15" formatCode="0.00E+00"/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Times New Roman"/>
        <family val="1"/>
        <scheme val="none"/>
      </font>
      <numFmt numFmtId="15" formatCode="0.00E+00"/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Times New Roman"/>
        <family val="1"/>
        <scheme val="none"/>
      </font>
      <numFmt numFmtId="15" formatCode="0.00E+00"/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Times New Roman"/>
        <family val="1"/>
        <scheme val="none"/>
      </font>
      <numFmt numFmtId="15" formatCode="0.00E+00"/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Times New Roman"/>
        <family val="1"/>
        <scheme val="none"/>
      </font>
      <numFmt numFmtId="15" formatCode="0.00E+00"/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Times New Roman"/>
        <family val="1"/>
        <scheme val="none"/>
      </font>
      <numFmt numFmtId="15" formatCode="0.00E+00"/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Times New Roman"/>
        <family val="1"/>
        <scheme val="none"/>
      </font>
      <numFmt numFmtId="15" formatCode="0.00E+00"/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Times New Roman"/>
        <family val="1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Times New Roman"/>
        <family val="1"/>
        <scheme val="none"/>
      </font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numFmt numFmtId="15" formatCode="0.00E+0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numFmt numFmtId="15" formatCode="0.00E+0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numFmt numFmtId="15" formatCode="0.00E+0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numFmt numFmtId="15" formatCode="0.00E+0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numFmt numFmtId="15" formatCode="0.00E+0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numFmt numFmtId="14" formatCode="0.00%"/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numFmt numFmtId="15" formatCode="0.00E+00"/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numFmt numFmtId="15" formatCode="0.00E+00"/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numFmt numFmtId="15" formatCode="0.00E+00"/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numFmt numFmtId="15" formatCode="0.00E+00"/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numFmt numFmtId="15" formatCode="0.00E+00"/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numFmt numFmtId="15" formatCode="0.00E+00"/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numFmt numFmtId="15" formatCode="0.00E+00"/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numFmt numFmtId="15" formatCode="0.00E+00"/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B74:J88" totalsRowShown="0" headerRowDxfId="103" dataDxfId="102">
  <autoFilter ref="B74:J88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00000000-0010-0000-0000-000001000000}" name="Name" dataDxfId="101"/>
    <tableColumn id="2" xr3:uid="{00000000-0010-0000-0000-000002000000}" name=" mpass " dataDxfId="100"/>
    <tableColumn id="3" xr3:uid="{00000000-0010-0000-0000-000003000000}" name=" m1 " dataDxfId="99"/>
    <tableColumn id="4" xr3:uid="{00000000-0010-0000-0000-000004000000}" name=" m2 " dataDxfId="98"/>
    <tableColumn id="5" xr3:uid="{00000000-0010-0000-0000-000005000000}" name=" m3 " dataDxfId="97"/>
    <tableColumn id="6" xr3:uid="{00000000-0010-0000-0000-000006000000}" name=" m4 " dataDxfId="96"/>
    <tableColumn id="7" xr3:uid="{00000000-0010-0000-0000-000007000000}" name=" m5 " dataDxfId="95"/>
    <tableColumn id="8" xr3:uid="{00000000-0010-0000-0000-000008000000}" name=" m6 " dataDxfId="94"/>
    <tableColumn id="9" xr3:uid="{00000000-0010-0000-0000-000009000000}" name=" m7 " dataDxfId="93"/>
  </tableColumns>
  <tableStyleInfo name="TableStyleMedium9"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9000000}" name="Table5" displayName="Table5" ref="B113:E121" totalsRowShown="0" headerRowDxfId="25" dataDxfId="24">
  <autoFilter ref="B113:E121" xr:uid="{00000000-0009-0000-0100-000005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900-000001000000}" name="Parameter " dataDxfId="23"/>
    <tableColumn id="2" xr3:uid="{00000000-0010-0000-0900-000002000000}" name="Hand Calculation " dataDxfId="22"/>
    <tableColumn id="3" xr3:uid="{00000000-0010-0000-0900-000003000000}" name=" Simulation Result " dataDxfId="21"/>
    <tableColumn id="4" xr3:uid="{00000000-0010-0000-0900-000004000000}" name=" % Difference " dataDxfId="20"/>
  </tableColumns>
  <tableStyleInfo name="TableStyleMedium9" showFirstColumn="0" showLastColumn="0" showRowStripes="0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A000000}" name="Table6" displayName="Table6" ref="B96:J110" totalsRowShown="0" headerRowDxfId="19" dataDxfId="18">
  <autoFilter ref="B96:J110" xr:uid="{00000000-0009-0000-0100-000006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00000000-0010-0000-0A00-000001000000}" name="Parameter " dataDxfId="17"/>
    <tableColumn id="2" xr3:uid="{00000000-0010-0000-0A00-000002000000}" name=" mpass " dataDxfId="16"/>
    <tableColumn id="3" xr3:uid="{00000000-0010-0000-0A00-000003000000}" name=" m1 " dataDxfId="15"/>
    <tableColumn id="4" xr3:uid="{00000000-0010-0000-0A00-000004000000}" name=" m2 " dataDxfId="14"/>
    <tableColumn id="5" xr3:uid="{00000000-0010-0000-0A00-000005000000}" name=" m3 " dataDxfId="13"/>
    <tableColumn id="6" xr3:uid="{00000000-0010-0000-0A00-000006000000}" name=" m4 " dataDxfId="12"/>
    <tableColumn id="7" xr3:uid="{00000000-0010-0000-0A00-000007000000}" name=" m5 " dataDxfId="11"/>
    <tableColumn id="8" xr3:uid="{00000000-0010-0000-0A00-000008000000}" name=" m6 " dataDxfId="10"/>
    <tableColumn id="9" xr3:uid="{00000000-0010-0000-0A00-000009000000}" name=" m7 " dataDxfId="9"/>
  </tableColumns>
  <tableStyleInfo name="TableStyleMedium9" showFirstColumn="0" showLastColumn="0" showRowStripes="0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B124:H132" totalsRowShown="0" headerRowDxfId="8" dataDxfId="7">
  <autoFilter ref="B124:H132" xr:uid="{00000000-0009-0000-0100-00000C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0000000-0010-0000-0B00-000001000000}" name="Device Name " dataDxfId="6"/>
    <tableColumn id="2" xr3:uid="{00000000-0010-0000-0B00-000002000000}" name=" Device Type " dataDxfId="5"/>
    <tableColumn id="3" xr3:uid="{00000000-0010-0000-0B00-000003000000}" name=" |V_ds| " dataDxfId="4"/>
    <tableColumn id="4" xr3:uid="{00000000-0010-0000-0B00-000004000000}" name=" |V_gs| " dataDxfId="3"/>
    <tableColumn id="5" xr3:uid="{00000000-0010-0000-0B00-000005000000}" name=" |V_t| " dataDxfId="2"/>
    <tableColumn id="6" xr3:uid="{00000000-0010-0000-0B00-000006000000}" name=" |V_gs| - |V_t| " dataDxfId="1"/>
    <tableColumn id="7" xr3:uid="{00000000-0010-0000-0B00-000007000000}" name="Operating Region" dataDxfId="0"/>
  </tableColumns>
  <tableStyleInfo name="TableStyleMedium9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B91:E99" totalsRowShown="0" headerRowDxfId="92" dataDxfId="91">
  <autoFilter ref="B91:E99" xr:uid="{00000000-0009-0000-0100-000004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Parameter" dataDxfId="90"/>
    <tableColumn id="2" xr3:uid="{00000000-0010-0000-0100-000002000000}" name="Hand Calculation" dataDxfId="89"/>
    <tableColumn id="3" xr3:uid="{00000000-0010-0000-0100-000003000000}" name="Simulation Result" dataDxfId="88"/>
    <tableColumn id="4" xr3:uid="{00000000-0010-0000-0100-000004000000}" name="% Difference" dataDxfId="87">
      <calculatedColumnFormula>(Table4[[#This Row],[Hand Calculation]]-Table4[[#This Row],[Simulation Result]])/Table4[[#This Row],[Hand Calculation]]*100</calculatedColumnFormula>
    </tableColumn>
  </tableColumns>
  <tableStyleInfo name="TableStyleMedium9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2000000}" name="Table8" displayName="Table8" ref="B102:H110" totalsRowShown="0" headerRowDxfId="86" dataDxfId="85">
  <autoFilter ref="B102:H110" xr:uid="{00000000-0009-0000-0100-000008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0000000-0010-0000-0200-000001000000}" name="Device Name " dataDxfId="84"/>
    <tableColumn id="2" xr3:uid="{00000000-0010-0000-0200-000002000000}" name=" Device Type " dataDxfId="83"/>
    <tableColumn id="3" xr3:uid="{00000000-0010-0000-0200-000003000000}" name=" |V_ds| " dataDxfId="82"/>
    <tableColumn id="4" xr3:uid="{00000000-0010-0000-0200-000004000000}" name=" |V_gs| " dataDxfId="81"/>
    <tableColumn id="5" xr3:uid="{00000000-0010-0000-0200-000005000000}" name=" |V_t| " dataDxfId="80"/>
    <tableColumn id="6" xr3:uid="{00000000-0010-0000-0200-000006000000}" name=" |V_gs| - |V_t| " dataDxfId="79"/>
    <tableColumn id="7" xr3:uid="{00000000-0010-0000-0200-000007000000}" name="Operating Region" dataDxfId="78"/>
  </tableColumns>
  <tableStyleInfo name="TableStyleMedium9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Table68" displayName="Table68" ref="B75:J89" totalsRowShown="0" headerRowDxfId="77" dataDxfId="76">
  <autoFilter ref="B75:J89" xr:uid="{00000000-0009-0000-0100-000007000000}"/>
  <tableColumns count="9">
    <tableColumn id="1" xr3:uid="{00000000-0010-0000-0300-000001000000}" name="Parameter " dataDxfId="75"/>
    <tableColumn id="2" xr3:uid="{00000000-0010-0000-0300-000002000000}" name=" mpass " dataDxfId="74"/>
    <tableColumn id="3" xr3:uid="{00000000-0010-0000-0300-000003000000}" name=" m1 " dataDxfId="73"/>
    <tableColumn id="4" xr3:uid="{00000000-0010-0000-0300-000004000000}" name=" m2 " dataDxfId="72"/>
    <tableColumn id="5" xr3:uid="{00000000-0010-0000-0300-000005000000}" name=" m3 " dataDxfId="71"/>
    <tableColumn id="6" xr3:uid="{00000000-0010-0000-0300-000006000000}" name=" m4 " dataDxfId="70"/>
    <tableColumn id="7" xr3:uid="{00000000-0010-0000-0300-000007000000}" name=" m5 " dataDxfId="69"/>
    <tableColumn id="8" xr3:uid="{00000000-0010-0000-0300-000008000000}" name=" m6 " dataDxfId="68"/>
    <tableColumn id="9" xr3:uid="{00000000-0010-0000-0300-000009000000}" name=" m7 " dataDxfId="67"/>
  </tableColumns>
  <tableStyleInfo name="TableStyleMedium9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5000000}" name="Table2" displayName="Table2" ref="B92:E100" totalsRowShown="0" headerRowDxfId="66" dataDxfId="65">
  <autoFilter ref="B92:E100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500-000001000000}" name="Parameter" dataDxfId="64"/>
    <tableColumn id="2" xr3:uid="{00000000-0010-0000-0500-000002000000}" name="Hand Calculation" dataDxfId="63"/>
    <tableColumn id="3" xr3:uid="{00000000-0010-0000-0500-000003000000}" name="Simulation Result" dataDxfId="62"/>
    <tableColumn id="4" xr3:uid="{00000000-0010-0000-0500-000004000000}" name="% Difference" dataDxfId="61"/>
  </tableColumns>
  <tableStyleInfo name="TableStyleMedium9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679E553-4DBC-40AF-8E69-BE1DC6BBC0DA}" name="Table815" displayName="Table815" ref="B103:H111" totalsRowShown="0" headerRowDxfId="60" dataDxfId="59">
  <autoFilter ref="B103:H111" xr:uid="{D679E553-4DBC-40AF-8E69-BE1DC6BBC0DA}"/>
  <tableColumns count="7">
    <tableColumn id="1" xr3:uid="{E690FD94-B5CA-4984-B096-E06E84391C53}" name="Device Name " dataDxfId="58"/>
    <tableColumn id="2" xr3:uid="{468E9D61-BDAC-498E-9080-E20373F39F5F}" name=" Device Type " dataDxfId="57"/>
    <tableColumn id="3" xr3:uid="{F1BD6767-313F-4121-9F87-9A4D03238387}" name=" |V_ds| " dataDxfId="56"/>
    <tableColumn id="4" xr3:uid="{F6F13C08-C0B4-49F5-8BC4-4F526BF220A2}" name=" |V_gs| " dataDxfId="55"/>
    <tableColumn id="5" xr3:uid="{3F88F19F-BC04-4ED4-B85B-870168C3A4DC}" name=" |V_t| " dataDxfId="54"/>
    <tableColumn id="6" xr3:uid="{62833C6B-A2F0-420F-A0EF-764F3522566E}" name=" |V_gs| - |V_t| " dataDxfId="53"/>
    <tableColumn id="7" xr3:uid="{01C46618-2882-4E36-AB6E-1BC1BEBE3E1C}" name="Operating Region" dataDxfId="52"/>
  </tableColumns>
  <tableStyleInfo name="TableStyleMedium9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Table9" displayName="Table9" ref="B123:H131" totalsRowShown="0" headerRowDxfId="51" dataDxfId="50">
  <autoFilter ref="B123:H131" xr:uid="{00000000-0009-0000-0100-000009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0000000-0010-0000-0600-000001000000}" name="Device Name " dataDxfId="49"/>
    <tableColumn id="2" xr3:uid="{00000000-0010-0000-0600-000002000000}" name=" Device Type " dataDxfId="48"/>
    <tableColumn id="3" xr3:uid="{00000000-0010-0000-0600-000003000000}" name=" |V_ds| " dataDxfId="47"/>
    <tableColumn id="4" xr3:uid="{00000000-0010-0000-0600-000004000000}" name=" |V_gs| " dataDxfId="46"/>
    <tableColumn id="5" xr3:uid="{00000000-0010-0000-0600-000005000000}" name=" |V_t| " dataDxfId="45"/>
    <tableColumn id="6" xr3:uid="{00000000-0010-0000-0600-000006000000}" name=" |V_gs| - |V_t| " dataDxfId="44"/>
    <tableColumn id="7" xr3:uid="{F97D7207-5310-4D2B-968D-76A79A7D50BD}" name="Operating Region" dataDxfId="43"/>
  </tableColumns>
  <tableStyleInfo name="TableStyleMedium9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7000000}" name="Table10" displayName="Table10" ref="B112:E120" totalsRowShown="0" headerRowDxfId="42" dataDxfId="41">
  <autoFilter ref="B112:E120" xr:uid="{00000000-0009-0000-0100-00000A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700-000001000000}" name="Parameter " dataDxfId="40"/>
    <tableColumn id="2" xr3:uid="{00000000-0010-0000-0700-000002000000}" name="Hand Calculation " dataDxfId="39"/>
    <tableColumn id="3" xr3:uid="{00000000-0010-0000-0700-000003000000}" name=" Simulation Result " dataDxfId="38"/>
    <tableColumn id="4" xr3:uid="{00000000-0010-0000-0700-000004000000}" name=" % Difference " dataDxfId="37"/>
  </tableColumns>
  <tableStyleInfo name="TableStyleMedium9"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11" displayName="Table11" ref="B95:J109" totalsRowShown="0" headerRowDxfId="36" dataDxfId="35">
  <autoFilter ref="B95:J109" xr:uid="{00000000-0009-0000-0100-00000B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00000000-0010-0000-0800-000001000000}" name="Name " dataDxfId="34"/>
    <tableColumn id="2" xr3:uid="{00000000-0010-0000-0800-000002000000}" name=" mpass " dataDxfId="33"/>
    <tableColumn id="3" xr3:uid="{00000000-0010-0000-0800-000003000000}" name=" m1 " dataDxfId="32"/>
    <tableColumn id="4" xr3:uid="{00000000-0010-0000-0800-000004000000}" name=" m2 " dataDxfId="31"/>
    <tableColumn id="5" xr3:uid="{00000000-0010-0000-0800-000005000000}" name=" m3 " dataDxfId="30"/>
    <tableColumn id="6" xr3:uid="{00000000-0010-0000-0800-000006000000}" name=" m4 " dataDxfId="29"/>
    <tableColumn id="7" xr3:uid="{00000000-0010-0000-0800-000007000000}" name=" m5 " dataDxfId="28"/>
    <tableColumn id="8" xr3:uid="{00000000-0010-0000-0800-000008000000}" name=" m6 " dataDxfId="27"/>
    <tableColumn id="9" xr3:uid="{00000000-0010-0000-0800-000009000000}" name=" m7 " dataDxfId="26"/>
  </tableColumns>
  <tableStyleInfo name="TableStyleMedium9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10"/>
  <sheetViews>
    <sheetView tabSelected="1" workbookViewId="0">
      <selection activeCell="D99" sqref="D99"/>
    </sheetView>
  </sheetViews>
  <sheetFormatPr defaultColWidth="11.19921875" defaultRowHeight="15.6" x14ac:dyDescent="0.3"/>
  <cols>
    <col min="1" max="1" width="11.19921875" style="3"/>
    <col min="2" max="2" width="18.796875" style="3" customWidth="1"/>
    <col min="3" max="3" width="18.19921875" style="3" customWidth="1"/>
    <col min="4" max="4" width="17" style="3" customWidth="1"/>
    <col min="5" max="5" width="17.296875" style="3" customWidth="1"/>
    <col min="6" max="6" width="13.19921875" style="3" customWidth="1"/>
    <col min="7" max="7" width="15.8984375" style="3" customWidth="1"/>
    <col min="8" max="8" width="20.796875" style="3" customWidth="1"/>
    <col min="9" max="9" width="17.19921875" style="3" customWidth="1"/>
    <col min="10" max="11" width="11.19921875" style="3"/>
    <col min="12" max="12" width="12.19921875" style="3" bestFit="1" customWidth="1"/>
    <col min="13" max="14" width="11.19921875" style="3"/>
    <col min="15" max="15" width="11.19921875" style="3" bestFit="1" customWidth="1"/>
    <col min="16" max="16" width="12.19921875" style="3" bestFit="1" customWidth="1"/>
    <col min="17" max="16384" width="11.19921875" style="3"/>
  </cols>
  <sheetData>
    <row r="1" spans="2:9" s="2" customFormat="1" ht="24.6" x14ac:dyDescent="0.4">
      <c r="B1" s="1" t="s">
        <v>39</v>
      </c>
    </row>
    <row r="3" spans="2:9" x14ac:dyDescent="0.3">
      <c r="B3" s="11"/>
      <c r="C3" s="29" t="s">
        <v>22</v>
      </c>
      <c r="D3" s="29" t="s">
        <v>15</v>
      </c>
      <c r="E3" s="29" t="s">
        <v>29</v>
      </c>
    </row>
    <row r="4" spans="2:9" x14ac:dyDescent="0.3">
      <c r="B4" s="29" t="s">
        <v>8</v>
      </c>
      <c r="C4" s="11">
        <v>1.4</v>
      </c>
      <c r="D4" s="11" t="s">
        <v>16</v>
      </c>
      <c r="E4" s="11"/>
    </row>
    <row r="5" spans="2:9" x14ac:dyDescent="0.3">
      <c r="B5" s="29" t="s">
        <v>9</v>
      </c>
      <c r="C5" s="11">
        <v>1</v>
      </c>
      <c r="D5" s="11" t="s">
        <v>16</v>
      </c>
      <c r="E5" s="11" t="s">
        <v>40</v>
      </c>
    </row>
    <row r="6" spans="2:9" x14ac:dyDescent="0.3">
      <c r="B6" s="29" t="s">
        <v>10</v>
      </c>
      <c r="C6" s="11">
        <v>60</v>
      </c>
      <c r="D6" s="11" t="s">
        <v>17</v>
      </c>
      <c r="E6" s="11" t="s">
        <v>41</v>
      </c>
    </row>
    <row r="7" spans="2:9" x14ac:dyDescent="0.3">
      <c r="B7" s="29" t="s">
        <v>12</v>
      </c>
      <c r="C7" s="11">
        <v>10</v>
      </c>
      <c r="D7" s="11" t="s">
        <v>18</v>
      </c>
      <c r="E7" s="11" t="s">
        <v>42</v>
      </c>
    </row>
    <row r="8" spans="2:9" x14ac:dyDescent="0.3">
      <c r="B8" s="29" t="s">
        <v>13</v>
      </c>
      <c r="C8" s="11">
        <v>1</v>
      </c>
      <c r="D8" s="11" t="s">
        <v>99</v>
      </c>
      <c r="E8" s="11" t="s">
        <v>41</v>
      </c>
    </row>
    <row r="9" spans="2:9" x14ac:dyDescent="0.3">
      <c r="B9" s="29" t="s">
        <v>43</v>
      </c>
      <c r="C9" s="11">
        <v>50</v>
      </c>
      <c r="D9" s="11" t="s">
        <v>44</v>
      </c>
      <c r="E9" s="11" t="s">
        <v>42</v>
      </c>
    </row>
    <row r="11" spans="2:9" s="2" customFormat="1" ht="24.6" x14ac:dyDescent="0.4">
      <c r="B11" s="1" t="s">
        <v>47</v>
      </c>
    </row>
    <row r="13" spans="2:9" x14ac:dyDescent="0.3">
      <c r="B13" s="29" t="s">
        <v>21</v>
      </c>
      <c r="C13" s="11">
        <f>1000</f>
        <v>1000</v>
      </c>
      <c r="D13" s="11" t="s">
        <v>31</v>
      </c>
      <c r="I13" s="3" t="s">
        <v>86</v>
      </c>
    </row>
    <row r="14" spans="2:9" x14ac:dyDescent="0.3">
      <c r="B14" s="29" t="s">
        <v>23</v>
      </c>
      <c r="C14" s="11">
        <v>0.4</v>
      </c>
      <c r="D14" s="11" t="s">
        <v>16</v>
      </c>
    </row>
    <row r="16" spans="2:9" s="2" customFormat="1" ht="24.6" x14ac:dyDescent="0.4">
      <c r="B16" s="1" t="s">
        <v>53</v>
      </c>
    </row>
    <row r="18" spans="2:10" ht="17.399999999999999" x14ac:dyDescent="0.3">
      <c r="B18" s="42" t="s">
        <v>33</v>
      </c>
      <c r="C18" s="42"/>
      <c r="D18" s="42"/>
    </row>
    <row r="19" spans="2:10" x14ac:dyDescent="0.3">
      <c r="B19" s="11"/>
      <c r="C19" s="29" t="s">
        <v>54</v>
      </c>
      <c r="D19" s="11"/>
      <c r="F19" s="3" t="s">
        <v>29</v>
      </c>
    </row>
    <row r="20" spans="2:10" x14ac:dyDescent="0.3">
      <c r="B20" s="29" t="s">
        <v>0</v>
      </c>
      <c r="C20" s="11">
        <v>10</v>
      </c>
      <c r="D20" s="11" t="s">
        <v>55</v>
      </c>
      <c r="F20" s="3" t="s">
        <v>56</v>
      </c>
    </row>
    <row r="21" spans="2:10" x14ac:dyDescent="0.3">
      <c r="B21" s="29" t="s">
        <v>1</v>
      </c>
      <c r="C21" s="11">
        <v>37</v>
      </c>
      <c r="D21" s="11" t="s">
        <v>57</v>
      </c>
      <c r="F21" s="3" t="s">
        <v>58</v>
      </c>
    </row>
    <row r="22" spans="2:10" x14ac:dyDescent="0.3">
      <c r="B22" s="29" t="s">
        <v>3</v>
      </c>
      <c r="C22" s="11">
        <f>C7*0.001</f>
        <v>0.01</v>
      </c>
      <c r="D22" s="11" t="s">
        <v>32</v>
      </c>
    </row>
    <row r="23" spans="2:10" x14ac:dyDescent="0.3">
      <c r="B23" s="34" t="s">
        <v>4</v>
      </c>
      <c r="C23" s="30">
        <f>C22/C21</f>
        <v>2.7027027027027027E-4</v>
      </c>
      <c r="D23" s="11" t="s">
        <v>59</v>
      </c>
    </row>
    <row r="24" spans="2:10" x14ac:dyDescent="0.3">
      <c r="B24" s="29" t="s">
        <v>2</v>
      </c>
      <c r="C24" s="11">
        <v>50</v>
      </c>
      <c r="D24" s="11" t="s">
        <v>31</v>
      </c>
    </row>
    <row r="25" spans="2:10" x14ac:dyDescent="0.3">
      <c r="B25" s="29" t="s">
        <v>35</v>
      </c>
      <c r="C25" s="14">
        <v>28000000000</v>
      </c>
      <c r="D25" s="11" t="s">
        <v>51</v>
      </c>
    </row>
    <row r="26" spans="2:10" x14ac:dyDescent="0.3">
      <c r="B26" s="34" t="s">
        <v>5</v>
      </c>
      <c r="C26" s="30">
        <v>0.09</v>
      </c>
      <c r="D26" s="11" t="s">
        <v>36</v>
      </c>
    </row>
    <row r="27" spans="2:10" x14ac:dyDescent="0.3">
      <c r="B27" s="29" t="s">
        <v>6</v>
      </c>
      <c r="C27" s="14">
        <f>C20*C22</f>
        <v>0.1</v>
      </c>
      <c r="D27" s="11" t="s">
        <v>60</v>
      </c>
    </row>
    <row r="28" spans="2:10" x14ac:dyDescent="0.3">
      <c r="B28" s="29" t="s">
        <v>37</v>
      </c>
      <c r="C28" s="14">
        <f>C24/C27</f>
        <v>500</v>
      </c>
      <c r="D28" s="11" t="s">
        <v>61</v>
      </c>
    </row>
    <row r="29" spans="2:10" x14ac:dyDescent="0.3">
      <c r="B29" s="29" t="s">
        <v>38</v>
      </c>
      <c r="C29" s="14">
        <f>C27/2/3.142/C25</f>
        <v>5.6833681913249082E-13</v>
      </c>
      <c r="D29" s="11" t="s">
        <v>62</v>
      </c>
    </row>
    <row r="30" spans="2:10" x14ac:dyDescent="0.3">
      <c r="J30" s="5"/>
    </row>
    <row r="31" spans="2:10" s="2" customFormat="1" ht="24.6" x14ac:dyDescent="0.4">
      <c r="B31" s="1" t="s">
        <v>63</v>
      </c>
    </row>
    <row r="33" spans="2:9" x14ac:dyDescent="0.3">
      <c r="B33" s="29" t="s">
        <v>100</v>
      </c>
      <c r="C33" s="14">
        <f>1/C8/0.000001/C28</f>
        <v>2000</v>
      </c>
      <c r="D33" s="3" t="s">
        <v>64</v>
      </c>
    </row>
    <row r="34" spans="2:9" x14ac:dyDescent="0.3">
      <c r="B34" s="29" t="s">
        <v>102</v>
      </c>
      <c r="C34" s="14">
        <v>22000000</v>
      </c>
      <c r="D34" s="3" t="s">
        <v>64</v>
      </c>
    </row>
    <row r="35" spans="2:9" x14ac:dyDescent="0.3">
      <c r="B35" s="29" t="s">
        <v>152</v>
      </c>
      <c r="C35" s="14">
        <f>C13*C33</f>
        <v>2000000</v>
      </c>
      <c r="D35" s="3" t="s">
        <v>64</v>
      </c>
      <c r="H35" s="3" t="s">
        <v>103</v>
      </c>
    </row>
    <row r="36" spans="2:9" x14ac:dyDescent="0.3">
      <c r="B36" s="29" t="s">
        <v>101</v>
      </c>
      <c r="C36" s="14">
        <f>C33/2/3.142</f>
        <v>318.26861871419482</v>
      </c>
      <c r="D36" s="3" t="s">
        <v>51</v>
      </c>
    </row>
    <row r="37" spans="2:9" x14ac:dyDescent="0.3">
      <c r="B37" s="29" t="s">
        <v>90</v>
      </c>
      <c r="C37" s="11">
        <f>C13/C24</f>
        <v>20</v>
      </c>
    </row>
    <row r="38" spans="2:9" x14ac:dyDescent="0.3">
      <c r="B38" s="29" t="s">
        <v>91</v>
      </c>
      <c r="C38" s="11">
        <f>C37*2</f>
        <v>40</v>
      </c>
    </row>
    <row r="39" spans="2:9" x14ac:dyDescent="0.3">
      <c r="B39" s="29" t="s">
        <v>68</v>
      </c>
      <c r="C39" s="14">
        <v>80000</v>
      </c>
      <c r="D39" s="3" t="s">
        <v>207</v>
      </c>
    </row>
    <row r="41" spans="2:9" s="2" customFormat="1" ht="24.6" x14ac:dyDescent="0.4">
      <c r="B41" s="1" t="s">
        <v>76</v>
      </c>
    </row>
    <row r="43" spans="2:9" ht="24.6" x14ac:dyDescent="0.4">
      <c r="B43" s="31"/>
      <c r="C43" s="11" t="s">
        <v>85</v>
      </c>
    </row>
    <row r="44" spans="2:9" x14ac:dyDescent="0.3">
      <c r="B44" s="29" t="s">
        <v>77</v>
      </c>
      <c r="C44" s="11">
        <v>10</v>
      </c>
      <c r="D44" s="11" t="s">
        <v>216</v>
      </c>
      <c r="E44" s="5"/>
      <c r="I44" s="3" t="s">
        <v>98</v>
      </c>
    </row>
    <row r="45" spans="2:9" x14ac:dyDescent="0.3">
      <c r="B45" s="29" t="s">
        <v>3</v>
      </c>
      <c r="C45" s="11">
        <f>C9/2/1000000</f>
        <v>2.5000000000000001E-5</v>
      </c>
      <c r="D45" s="11" t="s">
        <v>32</v>
      </c>
      <c r="I45" s="3" t="s">
        <v>78</v>
      </c>
    </row>
    <row r="46" spans="2:9" x14ac:dyDescent="0.3">
      <c r="B46" s="29" t="s">
        <v>2</v>
      </c>
      <c r="C46" s="11">
        <v>40</v>
      </c>
      <c r="D46" s="11"/>
      <c r="E46" s="5"/>
      <c r="I46" s="3" t="s">
        <v>80</v>
      </c>
    </row>
    <row r="47" spans="2:9" x14ac:dyDescent="0.3">
      <c r="B47" s="34" t="s">
        <v>5</v>
      </c>
      <c r="C47" s="30">
        <v>0.09</v>
      </c>
      <c r="D47" s="11" t="s">
        <v>79</v>
      </c>
      <c r="I47" s="3" t="s">
        <v>84</v>
      </c>
    </row>
    <row r="48" spans="2:9" x14ac:dyDescent="0.3">
      <c r="B48" s="29" t="s">
        <v>1</v>
      </c>
      <c r="C48" s="11">
        <v>88.33</v>
      </c>
      <c r="D48" s="11" t="s">
        <v>57</v>
      </c>
    </row>
    <row r="49" spans="2:9" x14ac:dyDescent="0.3">
      <c r="B49" s="34" t="s">
        <v>4</v>
      </c>
      <c r="C49" s="30">
        <f>C45/C48</f>
        <v>2.8302954828484094E-7</v>
      </c>
      <c r="D49" s="11" t="s">
        <v>79</v>
      </c>
    </row>
    <row r="50" spans="2:9" x14ac:dyDescent="0.3">
      <c r="B50" s="29" t="s">
        <v>6</v>
      </c>
      <c r="C50" s="11">
        <f>C44*C45</f>
        <v>2.5000000000000001E-4</v>
      </c>
      <c r="D50" s="11" t="s">
        <v>215</v>
      </c>
      <c r="E50" s="5"/>
      <c r="G50" s="7"/>
    </row>
    <row r="51" spans="2:9" x14ac:dyDescent="0.3">
      <c r="B51" s="29" t="s">
        <v>37</v>
      </c>
      <c r="C51" s="11">
        <f>C46/C50</f>
        <v>160000</v>
      </c>
      <c r="D51" s="11" t="s">
        <v>207</v>
      </c>
    </row>
    <row r="53" spans="2:9" s="2" customFormat="1" ht="24.6" x14ac:dyDescent="0.4">
      <c r="B53" s="1" t="s">
        <v>88</v>
      </c>
    </row>
    <row r="55" spans="2:9" x14ac:dyDescent="0.3">
      <c r="B55" s="29" t="s">
        <v>3</v>
      </c>
      <c r="C55" s="11">
        <f>0.000025</f>
        <v>2.5000000000000001E-5</v>
      </c>
      <c r="D55" s="11" t="s">
        <v>32</v>
      </c>
    </row>
    <row r="56" spans="2:9" x14ac:dyDescent="0.3">
      <c r="B56" s="29" t="s">
        <v>104</v>
      </c>
      <c r="C56" s="11">
        <v>10</v>
      </c>
      <c r="D56" s="11" t="s">
        <v>216</v>
      </c>
    </row>
    <row r="57" spans="2:9" x14ac:dyDescent="0.3">
      <c r="B57" s="29" t="s">
        <v>2</v>
      </c>
      <c r="C57" s="11">
        <v>40</v>
      </c>
      <c r="D57" s="11"/>
    </row>
    <row r="58" spans="2:9" x14ac:dyDescent="0.3">
      <c r="B58" s="34" t="s">
        <v>5</v>
      </c>
      <c r="C58" s="30">
        <v>0.09</v>
      </c>
      <c r="D58" s="11" t="s">
        <v>79</v>
      </c>
      <c r="I58" s="3" t="s">
        <v>81</v>
      </c>
    </row>
    <row r="59" spans="2:9" x14ac:dyDescent="0.3">
      <c r="B59" s="29" t="s">
        <v>6</v>
      </c>
      <c r="C59" s="11">
        <f>C56*C55</f>
        <v>2.5000000000000001E-4</v>
      </c>
      <c r="D59" s="11" t="s">
        <v>215</v>
      </c>
    </row>
    <row r="60" spans="2:9" x14ac:dyDescent="0.3">
      <c r="B60" s="29" t="s">
        <v>1</v>
      </c>
      <c r="C60" s="11">
        <v>37</v>
      </c>
      <c r="D60" s="11" t="s">
        <v>57</v>
      </c>
    </row>
    <row r="61" spans="2:9" x14ac:dyDescent="0.3">
      <c r="B61" s="34" t="s">
        <v>4</v>
      </c>
      <c r="C61" s="30">
        <f>C55/C60</f>
        <v>6.7567567567567575E-7</v>
      </c>
      <c r="D61" s="11" t="s">
        <v>59</v>
      </c>
    </row>
    <row r="62" spans="2:9" x14ac:dyDescent="0.3">
      <c r="B62" s="29" t="s">
        <v>37</v>
      </c>
      <c r="C62" s="11">
        <f>C57/C59</f>
        <v>160000</v>
      </c>
      <c r="D62" s="11" t="s">
        <v>207</v>
      </c>
    </row>
    <row r="63" spans="2:9" x14ac:dyDescent="0.3">
      <c r="B63" s="29" t="s">
        <v>105</v>
      </c>
      <c r="C63" s="11">
        <f>(C62*C51)/(C51+C62)</f>
        <v>80000</v>
      </c>
      <c r="D63" s="11" t="s">
        <v>207</v>
      </c>
      <c r="E63" s="5"/>
    </row>
    <row r="64" spans="2:9" x14ac:dyDescent="0.3">
      <c r="C64" s="5"/>
    </row>
    <row r="65" spans="2:12" s="9" customFormat="1" ht="24.6" x14ac:dyDescent="0.4">
      <c r="B65" s="8" t="s">
        <v>106</v>
      </c>
    </row>
    <row r="67" spans="2:12" x14ac:dyDescent="0.3">
      <c r="B67" s="11"/>
      <c r="C67" s="29" t="s">
        <v>108</v>
      </c>
      <c r="D67" s="29" t="s">
        <v>111</v>
      </c>
    </row>
    <row r="68" spans="2:12" ht="31.2" x14ac:dyDescent="0.3">
      <c r="B68" s="13" t="s">
        <v>208</v>
      </c>
      <c r="C68" s="11" t="s">
        <v>112</v>
      </c>
      <c r="D68" s="11" t="s">
        <v>153</v>
      </c>
    </row>
    <row r="69" spans="2:12" x14ac:dyDescent="0.3">
      <c r="B69" s="29" t="s">
        <v>101</v>
      </c>
      <c r="C69" s="14" t="s">
        <v>139</v>
      </c>
      <c r="D69" s="11" t="s">
        <v>154</v>
      </c>
    </row>
    <row r="70" spans="2:12" x14ac:dyDescent="0.3">
      <c r="B70" s="29" t="s">
        <v>109</v>
      </c>
      <c r="C70" s="14" t="s">
        <v>140</v>
      </c>
      <c r="D70" s="11" t="s">
        <v>155</v>
      </c>
    </row>
    <row r="71" spans="2:12" x14ac:dyDescent="0.3">
      <c r="B71" s="29" t="s">
        <v>107</v>
      </c>
      <c r="C71" s="11" t="s">
        <v>110</v>
      </c>
      <c r="D71" s="11" t="s">
        <v>156</v>
      </c>
    </row>
    <row r="73" spans="2:12" ht="20.399999999999999" x14ac:dyDescent="0.35">
      <c r="B73" s="44" t="s">
        <v>151</v>
      </c>
      <c r="C73" s="44"/>
      <c r="D73" s="44"/>
      <c r="E73" s="44"/>
      <c r="F73" s="44"/>
      <c r="G73" s="44"/>
      <c r="H73" s="44"/>
      <c r="I73" s="44"/>
      <c r="J73" s="44"/>
    </row>
    <row r="74" spans="2:12" x14ac:dyDescent="0.3">
      <c r="B74" s="10" t="s">
        <v>113</v>
      </c>
      <c r="C74" s="11" t="s">
        <v>160</v>
      </c>
      <c r="D74" s="11" t="s">
        <v>161</v>
      </c>
      <c r="E74" s="11" t="s">
        <v>162</v>
      </c>
      <c r="F74" s="11" t="s">
        <v>163</v>
      </c>
      <c r="G74" s="11" t="s">
        <v>164</v>
      </c>
      <c r="H74" s="11" t="s">
        <v>165</v>
      </c>
      <c r="I74" s="11" t="s">
        <v>166</v>
      </c>
      <c r="J74" s="11" t="s">
        <v>167</v>
      </c>
      <c r="L74" s="12"/>
    </row>
    <row r="75" spans="2:12" x14ac:dyDescent="0.3">
      <c r="B75" s="13" t="s">
        <v>114</v>
      </c>
      <c r="C75" s="11" t="s">
        <v>157</v>
      </c>
      <c r="D75" s="11" t="s">
        <v>157</v>
      </c>
      <c r="E75" s="11" t="s">
        <v>157</v>
      </c>
      <c r="F75" s="11" t="s">
        <v>158</v>
      </c>
      <c r="G75" s="11" t="s">
        <v>158</v>
      </c>
      <c r="H75" s="11" t="s">
        <v>158</v>
      </c>
      <c r="I75" s="11" t="s">
        <v>158</v>
      </c>
      <c r="J75" s="11" t="s">
        <v>158</v>
      </c>
    </row>
    <row r="76" spans="2:12" x14ac:dyDescent="0.3">
      <c r="B76" s="13" t="s">
        <v>3</v>
      </c>
      <c r="C76" s="14">
        <v>-1.01E-2</v>
      </c>
      <c r="D76" s="14">
        <v>-2.48E-5</v>
      </c>
      <c r="E76" s="14">
        <v>-2.48E-5</v>
      </c>
      <c r="F76" s="14">
        <v>4.9700000000000002E-5</v>
      </c>
      <c r="G76" s="14">
        <v>5.0599999999999997E-5</v>
      </c>
      <c r="H76" s="14">
        <v>2.48E-5</v>
      </c>
      <c r="I76" s="14">
        <v>2.4899999999999999E-5</v>
      </c>
      <c r="J76" s="14">
        <v>5.0000000000000002E-5</v>
      </c>
    </row>
    <row r="77" spans="2:12" x14ac:dyDescent="0.3">
      <c r="B77" s="13" t="s">
        <v>115</v>
      </c>
      <c r="C77" s="14">
        <v>-0.64900000000000002</v>
      </c>
      <c r="D77" s="14">
        <v>-0.64300000000000002</v>
      </c>
      <c r="E77" s="14">
        <v>-0.64300000000000002</v>
      </c>
      <c r="F77" s="14">
        <v>0.58199999999999996</v>
      </c>
      <c r="G77" s="14">
        <v>0.58199999999999996</v>
      </c>
      <c r="H77" s="14">
        <v>0.60099999999999998</v>
      </c>
      <c r="I77" s="14">
        <v>0.60099999999999998</v>
      </c>
      <c r="J77" s="14">
        <v>0.58199999999999996</v>
      </c>
    </row>
    <row r="78" spans="2:12" x14ac:dyDescent="0.3">
      <c r="B78" s="13" t="s">
        <v>116</v>
      </c>
      <c r="C78" s="14">
        <v>-0.38700000000000001</v>
      </c>
      <c r="D78" s="14">
        <v>-0.64900000000000002</v>
      </c>
      <c r="E78" s="14">
        <v>-0.64300000000000002</v>
      </c>
      <c r="F78" s="14">
        <v>0.39900000000000002</v>
      </c>
      <c r="G78" s="14">
        <v>1.01</v>
      </c>
      <c r="H78" s="14">
        <v>0.35899999999999999</v>
      </c>
      <c r="I78" s="14">
        <v>0.35299999999999998</v>
      </c>
      <c r="J78" s="14">
        <v>0.58199999999999996</v>
      </c>
    </row>
    <row r="79" spans="2:12" x14ac:dyDescent="0.3">
      <c r="B79" s="13" t="s">
        <v>117</v>
      </c>
      <c r="C79" s="14">
        <v>0</v>
      </c>
      <c r="D79" s="14">
        <v>0</v>
      </c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</row>
    <row r="80" spans="2:12" x14ac:dyDescent="0.3">
      <c r="B80" s="13" t="s">
        <v>118</v>
      </c>
      <c r="C80" s="14">
        <v>-0.48699999999999999</v>
      </c>
      <c r="D80" s="14">
        <v>-0.48399999999999999</v>
      </c>
      <c r="E80" s="14">
        <v>-0.48399999999999999</v>
      </c>
      <c r="F80" s="14">
        <v>0.46899999999999997</v>
      </c>
      <c r="G80" s="14">
        <v>0.46899999999999997</v>
      </c>
      <c r="H80" s="14">
        <v>0.46600000000000003</v>
      </c>
      <c r="I80" s="14">
        <v>0.46600000000000003</v>
      </c>
      <c r="J80" s="14">
        <v>0.46899999999999997</v>
      </c>
    </row>
    <row r="81" spans="2:10" x14ac:dyDescent="0.3">
      <c r="B81" s="13" t="s">
        <v>119</v>
      </c>
      <c r="C81" s="14">
        <v>-0.17699999999999999</v>
      </c>
      <c r="D81" s="14">
        <v>-0.17499999999999999</v>
      </c>
      <c r="E81" s="14">
        <v>-0.17499999999999999</v>
      </c>
      <c r="F81" s="14">
        <v>0.13800000000000001</v>
      </c>
      <c r="G81" s="14">
        <v>0.13800000000000001</v>
      </c>
      <c r="H81" s="14">
        <v>0.14299999999999999</v>
      </c>
      <c r="I81" s="14">
        <v>0.14299999999999999</v>
      </c>
      <c r="J81" s="14">
        <v>0.13800000000000001</v>
      </c>
    </row>
    <row r="82" spans="2:10" x14ac:dyDescent="0.3">
      <c r="B82" s="13" t="s">
        <v>120</v>
      </c>
      <c r="C82" s="14">
        <v>9.9500000000000005E-2</v>
      </c>
      <c r="D82" s="14">
        <v>2.5000000000000001E-4</v>
      </c>
      <c r="E82" s="14">
        <v>2.4899999999999998E-4</v>
      </c>
      <c r="F82" s="14">
        <v>6.0599999999999998E-4</v>
      </c>
      <c r="G82" s="14">
        <v>6.1600000000000001E-4</v>
      </c>
      <c r="H82" s="14">
        <v>2.4399999999999999E-4</v>
      </c>
      <c r="I82" s="14">
        <v>2.4399999999999999E-4</v>
      </c>
      <c r="J82" s="14">
        <v>6.0999999999999997E-4</v>
      </c>
    </row>
    <row r="83" spans="2:10" x14ac:dyDescent="0.3">
      <c r="B83" s="13" t="s">
        <v>121</v>
      </c>
      <c r="C83" s="14">
        <v>2.5200000000000001E-3</v>
      </c>
      <c r="D83" s="14">
        <v>5.0000000000000004E-6</v>
      </c>
      <c r="E83" s="14">
        <v>5.0100000000000003E-6</v>
      </c>
      <c r="F83" s="14">
        <v>1.9300000000000002E-6</v>
      </c>
      <c r="G83" s="14">
        <v>1.3E-6</v>
      </c>
      <c r="H83" s="14">
        <v>5.0699999999999997E-6</v>
      </c>
      <c r="I83" s="14">
        <v>5.1599999999999997E-6</v>
      </c>
      <c r="J83" s="14">
        <v>1.48E-6</v>
      </c>
    </row>
    <row r="84" spans="2:10" x14ac:dyDescent="0.3">
      <c r="B84" s="13" t="s">
        <v>122</v>
      </c>
      <c r="C84" s="14">
        <v>2.1100000000000001E-2</v>
      </c>
      <c r="D84" s="14">
        <v>5.2800000000000003E-5</v>
      </c>
      <c r="E84" s="14">
        <v>5.2800000000000003E-5</v>
      </c>
      <c r="F84" s="14">
        <v>1.3999999999999999E-4</v>
      </c>
      <c r="G84" s="14">
        <v>1.4200000000000001E-4</v>
      </c>
      <c r="H84" s="14">
        <v>5.6199999999999997E-5</v>
      </c>
      <c r="I84" s="14">
        <v>5.63E-5</v>
      </c>
      <c r="J84" s="14">
        <v>1.4100000000000001E-4</v>
      </c>
    </row>
    <row r="85" spans="2:10" x14ac:dyDescent="0.3">
      <c r="B85" s="13" t="s">
        <v>123</v>
      </c>
      <c r="C85" s="14">
        <v>1.2099999999999999E-13</v>
      </c>
      <c r="D85" s="14">
        <v>2.8600000000000001E-16</v>
      </c>
      <c r="E85" s="14">
        <v>2.8699999999999998E-16</v>
      </c>
      <c r="F85" s="14">
        <v>4.4800000000000002E-15</v>
      </c>
      <c r="G85" s="14">
        <v>3.9700000000000002E-15</v>
      </c>
      <c r="H85" s="14">
        <v>1.2800000000000001E-16</v>
      </c>
      <c r="I85" s="14">
        <v>1.2800000000000001E-16</v>
      </c>
      <c r="J85" s="14">
        <v>4.2999999999999997E-15</v>
      </c>
    </row>
    <row r="86" spans="2:10" x14ac:dyDescent="0.3">
      <c r="B86" s="13" t="s">
        <v>124</v>
      </c>
      <c r="C86" s="14">
        <v>2.1599999999999999E-13</v>
      </c>
      <c r="D86" s="14">
        <v>5.4100000000000001E-16</v>
      </c>
      <c r="E86" s="14">
        <v>5.4100000000000001E-16</v>
      </c>
      <c r="F86" s="14">
        <v>8.0000000000000006E-15</v>
      </c>
      <c r="G86" s="14">
        <v>8.0000000000000006E-15</v>
      </c>
      <c r="H86" s="14">
        <v>2.2600000000000002E-16</v>
      </c>
      <c r="I86" s="14">
        <v>2.2600000000000002E-16</v>
      </c>
      <c r="J86" s="14">
        <v>8.0000000000000006E-15</v>
      </c>
    </row>
    <row r="87" spans="2:10" x14ac:dyDescent="0.3">
      <c r="B87" s="13" t="s">
        <v>37</v>
      </c>
      <c r="C87" s="14">
        <v>397</v>
      </c>
      <c r="D87" s="14">
        <v>200000</v>
      </c>
      <c r="E87" s="14">
        <v>200000</v>
      </c>
      <c r="F87" s="14">
        <v>518000</v>
      </c>
      <c r="G87" s="14">
        <v>769000</v>
      </c>
      <c r="H87" s="14">
        <v>197000</v>
      </c>
      <c r="I87" s="14">
        <v>194000</v>
      </c>
      <c r="J87" s="14">
        <v>676000</v>
      </c>
    </row>
    <row r="88" spans="2:10" x14ac:dyDescent="0.3">
      <c r="B88" s="13" t="s">
        <v>125</v>
      </c>
      <c r="C88" s="14">
        <v>39.5</v>
      </c>
      <c r="D88" s="14">
        <v>50</v>
      </c>
      <c r="E88" s="14">
        <v>49.7</v>
      </c>
      <c r="F88" s="14">
        <v>314</v>
      </c>
      <c r="G88" s="14">
        <v>474</v>
      </c>
      <c r="H88" s="14">
        <v>48.1</v>
      </c>
      <c r="I88" s="14">
        <v>47.3</v>
      </c>
      <c r="J88" s="14">
        <v>412</v>
      </c>
    </row>
    <row r="90" spans="2:10" ht="20.399999999999999" x14ac:dyDescent="0.35">
      <c r="B90" s="44" t="s">
        <v>137</v>
      </c>
      <c r="C90" s="44"/>
      <c r="D90" s="44"/>
      <c r="E90" s="44"/>
    </row>
    <row r="91" spans="2:10" x14ac:dyDescent="0.3">
      <c r="B91" s="10" t="s">
        <v>126</v>
      </c>
      <c r="C91" s="10" t="s">
        <v>127</v>
      </c>
      <c r="D91" s="10" t="s">
        <v>128</v>
      </c>
      <c r="E91" s="10" t="s">
        <v>129</v>
      </c>
    </row>
    <row r="92" spans="2:10" x14ac:dyDescent="0.3">
      <c r="B92" s="13" t="s">
        <v>130</v>
      </c>
      <c r="C92" s="15">
        <v>500</v>
      </c>
      <c r="D92" s="15">
        <v>396.82</v>
      </c>
      <c r="E92" s="11">
        <v>20.63</v>
      </c>
    </row>
    <row r="93" spans="2:10" x14ac:dyDescent="0.3">
      <c r="B93" s="13" t="s">
        <v>131</v>
      </c>
      <c r="C93" s="15">
        <v>0.1</v>
      </c>
      <c r="D93" s="15">
        <v>9.9500000000000005E-2</v>
      </c>
      <c r="E93" s="11">
        <v>0.5</v>
      </c>
    </row>
    <row r="94" spans="2:10" x14ac:dyDescent="0.3">
      <c r="B94" s="13" t="s">
        <v>125</v>
      </c>
      <c r="C94" s="15">
        <v>50</v>
      </c>
      <c r="D94" s="15">
        <v>39.479999999999997</v>
      </c>
      <c r="E94" s="11">
        <v>21.04</v>
      </c>
    </row>
    <row r="95" spans="2:10" x14ac:dyDescent="0.3">
      <c r="B95" s="13" t="s">
        <v>132</v>
      </c>
      <c r="C95" s="16">
        <v>2000</v>
      </c>
      <c r="D95" s="16">
        <v>2520</v>
      </c>
      <c r="E95" s="11">
        <v>20.63</v>
      </c>
    </row>
    <row r="96" spans="2:10" x14ac:dyDescent="0.3">
      <c r="B96" s="13" t="s">
        <v>133</v>
      </c>
      <c r="C96" s="16">
        <v>22000000</v>
      </c>
      <c r="D96" s="16">
        <v>17820000</v>
      </c>
      <c r="E96" s="11">
        <v>19.02</v>
      </c>
    </row>
    <row r="97" spans="2:8" x14ac:dyDescent="0.3">
      <c r="B97" s="13" t="s">
        <v>134</v>
      </c>
      <c r="C97" s="16">
        <v>2000000</v>
      </c>
      <c r="D97" s="16">
        <v>2520000</v>
      </c>
      <c r="E97" s="11">
        <v>20.36</v>
      </c>
    </row>
    <row r="98" spans="2:8" x14ac:dyDescent="0.3">
      <c r="B98" s="13" t="s">
        <v>135</v>
      </c>
      <c r="C98" s="16">
        <v>80000</v>
      </c>
      <c r="D98" s="16">
        <v>99304</v>
      </c>
      <c r="E98" s="11">
        <v>19.43</v>
      </c>
    </row>
    <row r="99" spans="2:8" x14ac:dyDescent="0.3">
      <c r="B99" s="13" t="s">
        <v>136</v>
      </c>
      <c r="C99" s="16">
        <v>2.5000000000000001E-4</v>
      </c>
      <c r="D99" s="16">
        <v>2.5000000000000001E-4</v>
      </c>
      <c r="E99" s="11">
        <v>0</v>
      </c>
    </row>
    <row r="101" spans="2:8" ht="20.399999999999999" customHeight="1" x14ac:dyDescent="0.35">
      <c r="B101" s="43" t="s">
        <v>150</v>
      </c>
      <c r="C101" s="43"/>
      <c r="D101" s="43"/>
      <c r="E101" s="43"/>
      <c r="F101" s="43"/>
      <c r="G101" s="43"/>
      <c r="H101" s="43"/>
    </row>
    <row r="102" spans="2:8" x14ac:dyDescent="0.3">
      <c r="B102" s="11" t="s">
        <v>182</v>
      </c>
      <c r="C102" s="11" t="s">
        <v>183</v>
      </c>
      <c r="D102" s="11" t="s">
        <v>184</v>
      </c>
      <c r="E102" s="11" t="s">
        <v>185</v>
      </c>
      <c r="F102" s="11" t="s">
        <v>186</v>
      </c>
      <c r="G102" s="11" t="s">
        <v>187</v>
      </c>
      <c r="H102" s="10" t="s">
        <v>148</v>
      </c>
    </row>
    <row r="103" spans="2:8" x14ac:dyDescent="0.3">
      <c r="B103" s="11" t="s">
        <v>188</v>
      </c>
      <c r="C103" s="11" t="s">
        <v>189</v>
      </c>
      <c r="D103" s="11">
        <v>0.38</v>
      </c>
      <c r="E103" s="11">
        <v>0.64900000000000002</v>
      </c>
      <c r="F103" s="11">
        <v>0.48</v>
      </c>
      <c r="G103" s="11">
        <v>0.16</v>
      </c>
      <c r="H103" s="17" t="s">
        <v>149</v>
      </c>
    </row>
    <row r="104" spans="2:8" x14ac:dyDescent="0.3">
      <c r="B104" s="11" t="s">
        <v>190</v>
      </c>
      <c r="C104" s="14" t="s">
        <v>189</v>
      </c>
      <c r="D104" s="14">
        <v>0.64</v>
      </c>
      <c r="E104" s="14">
        <v>0.64300000000000002</v>
      </c>
      <c r="F104" s="14">
        <v>0.48</v>
      </c>
      <c r="G104" s="14">
        <v>0.16300000000000001</v>
      </c>
      <c r="H104" s="17" t="s">
        <v>149</v>
      </c>
    </row>
    <row r="105" spans="2:8" x14ac:dyDescent="0.3">
      <c r="B105" s="11" t="s">
        <v>191</v>
      </c>
      <c r="C105" s="14" t="s">
        <v>189</v>
      </c>
      <c r="D105" s="14">
        <v>0.64300000000000002</v>
      </c>
      <c r="E105" s="14">
        <v>0.64300000000000002</v>
      </c>
      <c r="F105" s="14">
        <v>0.48</v>
      </c>
      <c r="G105" s="14">
        <v>0.16300000000000001</v>
      </c>
      <c r="H105" s="17" t="s">
        <v>149</v>
      </c>
    </row>
    <row r="106" spans="2:8" x14ac:dyDescent="0.3">
      <c r="B106" s="11" t="s">
        <v>192</v>
      </c>
      <c r="C106" s="14" t="s">
        <v>193</v>
      </c>
      <c r="D106" s="14">
        <v>0.35899999999999999</v>
      </c>
      <c r="E106" s="14">
        <v>0.60099999999999998</v>
      </c>
      <c r="F106" s="14">
        <v>0.46800000000000003</v>
      </c>
      <c r="G106" s="14">
        <v>0.13300000000000001</v>
      </c>
      <c r="H106" s="17" t="s">
        <v>149</v>
      </c>
    </row>
    <row r="107" spans="2:8" x14ac:dyDescent="0.3">
      <c r="B107" s="11" t="s">
        <v>194</v>
      </c>
      <c r="C107" s="14" t="s">
        <v>193</v>
      </c>
      <c r="D107" s="14">
        <v>0.35299999999999998</v>
      </c>
      <c r="E107" s="14">
        <v>0.60099999999999998</v>
      </c>
      <c r="F107" s="14">
        <v>0.46800000000000003</v>
      </c>
      <c r="G107" s="14">
        <v>0.13300000000000001</v>
      </c>
      <c r="H107" s="17" t="s">
        <v>149</v>
      </c>
    </row>
    <row r="108" spans="2:8" x14ac:dyDescent="0.3">
      <c r="B108" s="11" t="s">
        <v>195</v>
      </c>
      <c r="C108" s="14" t="s">
        <v>193</v>
      </c>
      <c r="D108" s="14">
        <v>0.39900000000000002</v>
      </c>
      <c r="E108" s="14">
        <v>0.58199999999999996</v>
      </c>
      <c r="F108" s="14">
        <v>0.46800000000000003</v>
      </c>
      <c r="G108" s="14">
        <v>0.114</v>
      </c>
      <c r="H108" s="17" t="s">
        <v>149</v>
      </c>
    </row>
    <row r="109" spans="2:8" x14ac:dyDescent="0.3">
      <c r="B109" s="11" t="s">
        <v>196</v>
      </c>
      <c r="C109" s="14" t="s">
        <v>193</v>
      </c>
      <c r="D109" s="14">
        <v>0.58199999999999996</v>
      </c>
      <c r="E109" s="14">
        <v>0.58199999999999996</v>
      </c>
      <c r="F109" s="14">
        <v>0.46800000000000003</v>
      </c>
      <c r="G109" s="14">
        <v>0.114</v>
      </c>
      <c r="H109" s="17" t="s">
        <v>149</v>
      </c>
    </row>
    <row r="110" spans="2:8" x14ac:dyDescent="0.3">
      <c r="B110" s="11" t="s">
        <v>197</v>
      </c>
      <c r="C110" s="14" t="s">
        <v>193</v>
      </c>
      <c r="D110" s="14">
        <v>1.01</v>
      </c>
      <c r="E110" s="14">
        <v>0.58199999999999996</v>
      </c>
      <c r="F110" s="14">
        <v>0.46800000000000003</v>
      </c>
      <c r="G110" s="14">
        <v>0.114</v>
      </c>
      <c r="H110" s="17" t="s">
        <v>149</v>
      </c>
    </row>
  </sheetData>
  <mergeCells count="4">
    <mergeCell ref="B18:D18"/>
    <mergeCell ref="B101:H101"/>
    <mergeCell ref="B90:E90"/>
    <mergeCell ref="B73:J73"/>
  </mergeCells>
  <conditionalFormatting sqref="B102:B110">
    <cfRule type="containsText" priority="1" operator="containsText" text="\hline">
      <formula>NOT(ISERROR(SEARCH("\hline",B102)))</formula>
    </cfRule>
    <cfRule type="cellIs" priority="2" operator="equal">
      <formula>"\hline"</formula>
    </cfRule>
  </conditionalFormatting>
  <pageMargins left="0.75" right="0.75" top="1" bottom="1" header="0.5" footer="0.5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111"/>
  <sheetViews>
    <sheetView topLeftCell="A55" workbookViewId="0">
      <selection activeCell="E96" sqref="E96"/>
    </sheetView>
  </sheetViews>
  <sheetFormatPr defaultColWidth="11.19921875" defaultRowHeight="15.6" x14ac:dyDescent="0.3"/>
  <cols>
    <col min="1" max="1" width="11.19921875" style="3"/>
    <col min="2" max="2" width="18.796875" style="3" customWidth="1"/>
    <col min="3" max="3" width="18.19921875" style="3" customWidth="1"/>
    <col min="4" max="4" width="17.296875" style="3" customWidth="1"/>
    <col min="5" max="5" width="16.5" style="3" customWidth="1"/>
    <col min="6" max="6" width="11.19921875" style="3"/>
    <col min="7" max="7" width="20.09765625" style="3" customWidth="1"/>
    <col min="8" max="8" width="23.5" style="3" customWidth="1"/>
    <col min="9" max="9" width="15.69921875" style="3" customWidth="1"/>
    <col min="10" max="11" width="11.19921875" style="3"/>
    <col min="12" max="12" width="12.19921875" style="3" bestFit="1" customWidth="1"/>
    <col min="13" max="14" width="11.19921875" style="3"/>
    <col min="15" max="15" width="11.19921875" style="3" bestFit="1" customWidth="1"/>
    <col min="16" max="16" width="12.19921875" style="3" bestFit="1" customWidth="1"/>
    <col min="17" max="16384" width="11.19921875" style="3"/>
  </cols>
  <sheetData>
    <row r="1" spans="2:9" s="2" customFormat="1" ht="24.6" x14ac:dyDescent="0.4">
      <c r="B1" s="1" t="s">
        <v>39</v>
      </c>
    </row>
    <row r="3" spans="2:9" x14ac:dyDescent="0.3">
      <c r="B3" s="11"/>
      <c r="C3" s="29" t="s">
        <v>22</v>
      </c>
      <c r="D3" s="29" t="s">
        <v>15</v>
      </c>
      <c r="E3" s="29" t="s">
        <v>29</v>
      </c>
    </row>
    <row r="4" spans="2:9" x14ac:dyDescent="0.3">
      <c r="B4" s="29" t="s">
        <v>8</v>
      </c>
      <c r="C4" s="11">
        <v>1.4</v>
      </c>
      <c r="D4" s="11" t="s">
        <v>16</v>
      </c>
      <c r="E4" s="11"/>
    </row>
    <row r="5" spans="2:9" x14ac:dyDescent="0.3">
      <c r="B5" s="29" t="s">
        <v>9</v>
      </c>
      <c r="C5" s="11">
        <v>1</v>
      </c>
      <c r="D5" s="11" t="s">
        <v>16</v>
      </c>
      <c r="E5" s="11" t="s">
        <v>40</v>
      </c>
    </row>
    <row r="6" spans="2:9" x14ac:dyDescent="0.3">
      <c r="B6" s="29" t="s">
        <v>10</v>
      </c>
      <c r="C6" s="11">
        <v>60</v>
      </c>
      <c r="D6" s="11" t="s">
        <v>17</v>
      </c>
      <c r="E6" s="11" t="s">
        <v>41</v>
      </c>
    </row>
    <row r="7" spans="2:9" x14ac:dyDescent="0.3">
      <c r="B7" s="29" t="s">
        <v>11</v>
      </c>
      <c r="C7" s="11">
        <v>2</v>
      </c>
      <c r="D7" s="11" t="s">
        <v>18</v>
      </c>
      <c r="E7" s="11" t="s">
        <v>42</v>
      </c>
    </row>
    <row r="8" spans="2:9" x14ac:dyDescent="0.3">
      <c r="B8" s="29" t="s">
        <v>13</v>
      </c>
      <c r="C8" s="11">
        <v>1</v>
      </c>
      <c r="D8" s="11" t="s">
        <v>99</v>
      </c>
      <c r="E8" s="11" t="s">
        <v>41</v>
      </c>
    </row>
    <row r="9" spans="2:9" x14ac:dyDescent="0.3">
      <c r="B9" s="29" t="s">
        <v>43</v>
      </c>
      <c r="C9" s="11">
        <v>50</v>
      </c>
      <c r="D9" s="11" t="s">
        <v>44</v>
      </c>
      <c r="E9" s="11" t="s">
        <v>42</v>
      </c>
    </row>
    <row r="11" spans="2:9" s="2" customFormat="1" ht="24.6" x14ac:dyDescent="0.4">
      <c r="B11" s="1" t="s">
        <v>47</v>
      </c>
    </row>
    <row r="13" spans="2:9" x14ac:dyDescent="0.3">
      <c r="B13" s="29" t="s">
        <v>21</v>
      </c>
      <c r="C13" s="11">
        <f>1000</f>
        <v>1000</v>
      </c>
      <c r="D13" s="11" t="s">
        <v>31</v>
      </c>
      <c r="I13" s="3" t="s">
        <v>86</v>
      </c>
    </row>
    <row r="14" spans="2:9" x14ac:dyDescent="0.3">
      <c r="B14" s="29" t="s">
        <v>23</v>
      </c>
      <c r="C14" s="11">
        <v>0.4</v>
      </c>
      <c r="D14" s="11" t="s">
        <v>16</v>
      </c>
    </row>
    <row r="16" spans="2:9" s="2" customFormat="1" ht="24.6" x14ac:dyDescent="0.4">
      <c r="B16" s="1" t="s">
        <v>53</v>
      </c>
    </row>
    <row r="18" spans="2:10" ht="17.399999999999999" x14ac:dyDescent="0.3">
      <c r="B18" s="42" t="s">
        <v>33</v>
      </c>
      <c r="C18" s="42"/>
      <c r="D18" s="42"/>
    </row>
    <row r="19" spans="2:10" x14ac:dyDescent="0.3">
      <c r="B19" s="45" t="s">
        <v>54</v>
      </c>
      <c r="C19" s="45"/>
      <c r="D19" s="45"/>
      <c r="F19" s="3" t="s">
        <v>29</v>
      </c>
    </row>
    <row r="20" spans="2:10" x14ac:dyDescent="0.3">
      <c r="B20" s="29" t="s">
        <v>0</v>
      </c>
      <c r="C20" s="11">
        <v>10</v>
      </c>
      <c r="D20" s="11" t="s">
        <v>55</v>
      </c>
      <c r="F20" s="3" t="s">
        <v>56</v>
      </c>
    </row>
    <row r="21" spans="2:10" x14ac:dyDescent="0.3">
      <c r="B21" s="29" t="s">
        <v>1</v>
      </c>
      <c r="C21" s="11">
        <v>37</v>
      </c>
      <c r="D21" s="11" t="s">
        <v>57</v>
      </c>
      <c r="F21" s="3" t="s">
        <v>58</v>
      </c>
    </row>
    <row r="22" spans="2:10" x14ac:dyDescent="0.3">
      <c r="B22" s="29" t="s">
        <v>3</v>
      </c>
      <c r="C22" s="11">
        <f>C7*0.001</f>
        <v>2E-3</v>
      </c>
      <c r="D22" s="11" t="s">
        <v>32</v>
      </c>
    </row>
    <row r="23" spans="2:10" x14ac:dyDescent="0.3">
      <c r="B23" s="34" t="s">
        <v>4</v>
      </c>
      <c r="C23" s="32">
        <v>2.8571400000000001E-4</v>
      </c>
      <c r="D23" s="11" t="s">
        <v>59</v>
      </c>
    </row>
    <row r="24" spans="2:10" x14ac:dyDescent="0.3">
      <c r="B24" s="29" t="s">
        <v>2</v>
      </c>
      <c r="C24" s="11">
        <v>50</v>
      </c>
      <c r="D24" s="11" t="s">
        <v>31</v>
      </c>
    </row>
    <row r="25" spans="2:10" x14ac:dyDescent="0.3">
      <c r="B25" s="29" t="s">
        <v>35</v>
      </c>
      <c r="C25" s="14">
        <v>28000000000</v>
      </c>
      <c r="D25" s="11" t="s">
        <v>51</v>
      </c>
    </row>
    <row r="26" spans="2:10" x14ac:dyDescent="0.3">
      <c r="B26" s="34" t="s">
        <v>5</v>
      </c>
      <c r="C26" s="30">
        <v>0.09</v>
      </c>
      <c r="D26" s="11" t="s">
        <v>36</v>
      </c>
    </row>
    <row r="27" spans="2:10" x14ac:dyDescent="0.3">
      <c r="B27" s="29" t="s">
        <v>6</v>
      </c>
      <c r="C27" s="14">
        <f>C20*C22</f>
        <v>0.02</v>
      </c>
      <c r="D27" s="11" t="s">
        <v>60</v>
      </c>
    </row>
    <row r="28" spans="2:10" x14ac:dyDescent="0.3">
      <c r="B28" s="29" t="s">
        <v>37</v>
      </c>
      <c r="C28" s="14">
        <f>C24/C27</f>
        <v>2500</v>
      </c>
      <c r="D28" s="11" t="s">
        <v>61</v>
      </c>
    </row>
    <row r="29" spans="2:10" x14ac:dyDescent="0.3">
      <c r="B29" s="29" t="s">
        <v>38</v>
      </c>
      <c r="C29" s="14">
        <f>C27/2/3.142/C25</f>
        <v>1.1366736382649814E-13</v>
      </c>
      <c r="D29" s="11" t="s">
        <v>62</v>
      </c>
    </row>
    <row r="30" spans="2:10" x14ac:dyDescent="0.3">
      <c r="J30" s="5"/>
    </row>
    <row r="31" spans="2:10" s="2" customFormat="1" ht="24.6" x14ac:dyDescent="0.4">
      <c r="B31" s="1" t="s">
        <v>63</v>
      </c>
    </row>
    <row r="33" spans="2:9" x14ac:dyDescent="0.3">
      <c r="B33" s="29" t="s">
        <v>100</v>
      </c>
      <c r="C33" s="14">
        <f>1/C8/0.000001/C28</f>
        <v>400</v>
      </c>
      <c r="D33" s="11" t="s">
        <v>51</v>
      </c>
    </row>
    <row r="34" spans="2:9" x14ac:dyDescent="0.3">
      <c r="B34" s="29" t="s">
        <v>102</v>
      </c>
      <c r="C34" s="14">
        <v>110000000</v>
      </c>
      <c r="D34" s="11" t="s">
        <v>51</v>
      </c>
    </row>
    <row r="35" spans="2:9" x14ac:dyDescent="0.3">
      <c r="B35" s="29" t="s">
        <v>138</v>
      </c>
      <c r="C35" s="14">
        <f>C13*C33</f>
        <v>400000</v>
      </c>
      <c r="D35" s="11" t="s">
        <v>51</v>
      </c>
      <c r="H35" s="3" t="s">
        <v>103</v>
      </c>
    </row>
    <row r="36" spans="2:9" x14ac:dyDescent="0.3">
      <c r="B36" s="29" t="s">
        <v>101</v>
      </c>
      <c r="C36" s="14">
        <f>C33/2/3.142</f>
        <v>63.653723742838956</v>
      </c>
      <c r="D36" s="11" t="s">
        <v>64</v>
      </c>
    </row>
    <row r="37" spans="2:9" x14ac:dyDescent="0.3">
      <c r="B37" s="29" t="s">
        <v>90</v>
      </c>
      <c r="C37" s="11">
        <f>C13/C24</f>
        <v>20</v>
      </c>
      <c r="D37" s="11"/>
      <c r="G37" s="3" t="s">
        <v>66</v>
      </c>
    </row>
    <row r="38" spans="2:9" x14ac:dyDescent="0.3">
      <c r="B38" s="29" t="s">
        <v>91</v>
      </c>
      <c r="C38" s="11">
        <f>C37*2</f>
        <v>40</v>
      </c>
      <c r="D38" s="11"/>
      <c r="G38" s="3" t="s">
        <v>67</v>
      </c>
    </row>
    <row r="39" spans="2:9" x14ac:dyDescent="0.3">
      <c r="B39" s="29" t="s">
        <v>68</v>
      </c>
      <c r="C39" s="14">
        <v>80000</v>
      </c>
      <c r="D39" s="11" t="s">
        <v>207</v>
      </c>
    </row>
    <row r="41" spans="2:9" s="2" customFormat="1" ht="24.6" x14ac:dyDescent="0.4">
      <c r="B41" s="1" t="s">
        <v>76</v>
      </c>
    </row>
    <row r="43" spans="2:9" ht="24.6" x14ac:dyDescent="0.4">
      <c r="B43" s="31"/>
      <c r="C43" s="11" t="s">
        <v>85</v>
      </c>
      <c r="D43" s="11"/>
    </row>
    <row r="44" spans="2:9" x14ac:dyDescent="0.3">
      <c r="B44" s="29" t="s">
        <v>77</v>
      </c>
      <c r="C44" s="11">
        <v>10</v>
      </c>
      <c r="D44" s="11" t="s">
        <v>216</v>
      </c>
      <c r="E44" s="5"/>
      <c r="I44" s="3" t="s">
        <v>98</v>
      </c>
    </row>
    <row r="45" spans="2:9" x14ac:dyDescent="0.3">
      <c r="B45" s="29" t="s">
        <v>3</v>
      </c>
      <c r="C45" s="11">
        <f>C9/2/1000000</f>
        <v>2.5000000000000001E-5</v>
      </c>
      <c r="D45" s="11" t="s">
        <v>32</v>
      </c>
      <c r="I45" s="3" t="s">
        <v>78</v>
      </c>
    </row>
    <row r="46" spans="2:9" x14ac:dyDescent="0.3">
      <c r="B46" s="29" t="s">
        <v>2</v>
      </c>
      <c r="C46" s="11">
        <v>40</v>
      </c>
      <c r="D46" s="11"/>
      <c r="E46" s="5"/>
      <c r="I46" s="3" t="s">
        <v>80</v>
      </c>
    </row>
    <row r="47" spans="2:9" x14ac:dyDescent="0.3">
      <c r="B47" s="34" t="s">
        <v>5</v>
      </c>
      <c r="C47" s="30">
        <v>0.09</v>
      </c>
      <c r="D47" s="11" t="s">
        <v>79</v>
      </c>
      <c r="I47" s="3" t="s">
        <v>84</v>
      </c>
    </row>
    <row r="48" spans="2:9" x14ac:dyDescent="0.3">
      <c r="B48" s="29" t="s">
        <v>1</v>
      </c>
      <c r="C48" s="11">
        <v>88.33</v>
      </c>
      <c r="D48" s="11" t="s">
        <v>57</v>
      </c>
    </row>
    <row r="49" spans="2:9" x14ac:dyDescent="0.3">
      <c r="B49" s="34" t="s">
        <v>4</v>
      </c>
      <c r="C49" s="30">
        <f>C45/C48</f>
        <v>2.8302954828484094E-7</v>
      </c>
      <c r="D49" s="11" t="s">
        <v>79</v>
      </c>
    </row>
    <row r="50" spans="2:9" x14ac:dyDescent="0.3">
      <c r="B50" s="29" t="s">
        <v>6</v>
      </c>
      <c r="C50" s="11">
        <f>C44*C45</f>
        <v>2.5000000000000001E-4</v>
      </c>
      <c r="D50" s="11" t="s">
        <v>215</v>
      </c>
      <c r="E50" s="5"/>
      <c r="G50" s="7"/>
    </row>
    <row r="51" spans="2:9" x14ac:dyDescent="0.3">
      <c r="B51" s="29" t="s">
        <v>37</v>
      </c>
      <c r="C51" s="11">
        <f>C46/C50</f>
        <v>160000</v>
      </c>
      <c r="D51" s="11" t="s">
        <v>207</v>
      </c>
    </row>
    <row r="53" spans="2:9" s="2" customFormat="1" ht="24.6" x14ac:dyDescent="0.4">
      <c r="B53" s="1" t="s">
        <v>88</v>
      </c>
    </row>
    <row r="55" spans="2:9" x14ac:dyDescent="0.3">
      <c r="B55" s="29" t="s">
        <v>3</v>
      </c>
      <c r="C55" s="11">
        <f>0.000025</f>
        <v>2.5000000000000001E-5</v>
      </c>
      <c r="D55" s="11" t="s">
        <v>32</v>
      </c>
    </row>
    <row r="56" spans="2:9" x14ac:dyDescent="0.3">
      <c r="B56" s="29" t="s">
        <v>104</v>
      </c>
      <c r="C56" s="11">
        <v>10</v>
      </c>
      <c r="D56" s="11" t="s">
        <v>216</v>
      </c>
    </row>
    <row r="57" spans="2:9" x14ac:dyDescent="0.3">
      <c r="B57" s="29" t="s">
        <v>2</v>
      </c>
      <c r="C57" s="11">
        <v>40</v>
      </c>
      <c r="D57" s="11"/>
    </row>
    <row r="58" spans="2:9" x14ac:dyDescent="0.3">
      <c r="B58" s="34" t="s">
        <v>5</v>
      </c>
      <c r="C58" s="30">
        <v>0.09</v>
      </c>
      <c r="D58" s="11" t="s">
        <v>79</v>
      </c>
      <c r="I58" s="3" t="s">
        <v>81</v>
      </c>
    </row>
    <row r="59" spans="2:9" x14ac:dyDescent="0.3">
      <c r="B59" s="29" t="s">
        <v>6</v>
      </c>
      <c r="C59" s="11">
        <f>C56*C55</f>
        <v>2.5000000000000001E-4</v>
      </c>
      <c r="D59" s="11" t="s">
        <v>215</v>
      </c>
    </row>
    <row r="60" spans="2:9" x14ac:dyDescent="0.3">
      <c r="B60" s="29" t="s">
        <v>1</v>
      </c>
      <c r="C60" s="11">
        <v>37</v>
      </c>
      <c r="D60" s="11" t="s">
        <v>57</v>
      </c>
    </row>
    <row r="61" spans="2:9" x14ac:dyDescent="0.3">
      <c r="B61" s="34" t="s">
        <v>4</v>
      </c>
      <c r="C61" s="30">
        <f>C55/C60</f>
        <v>6.7567567567567575E-7</v>
      </c>
      <c r="D61" s="11" t="s">
        <v>59</v>
      </c>
    </row>
    <row r="62" spans="2:9" x14ac:dyDescent="0.3">
      <c r="B62" s="29" t="s">
        <v>37</v>
      </c>
      <c r="C62" s="11">
        <f>C57/C59</f>
        <v>160000</v>
      </c>
      <c r="D62" s="11" t="s">
        <v>207</v>
      </c>
    </row>
    <row r="63" spans="2:9" x14ac:dyDescent="0.3">
      <c r="B63" s="29" t="s">
        <v>105</v>
      </c>
      <c r="C63" s="11">
        <f>(C62*C51)/(C51+C62)</f>
        <v>80000</v>
      </c>
      <c r="D63" s="11" t="s">
        <v>207</v>
      </c>
      <c r="E63" s="5"/>
    </row>
    <row r="65" spans="2:10" x14ac:dyDescent="0.3">
      <c r="C65" s="5"/>
    </row>
    <row r="66" spans="2:10" s="9" customFormat="1" ht="24.6" x14ac:dyDescent="0.4">
      <c r="B66" s="8" t="s">
        <v>106</v>
      </c>
    </row>
    <row r="68" spans="2:10" x14ac:dyDescent="0.3">
      <c r="B68" s="11"/>
      <c r="C68" s="29" t="s">
        <v>108</v>
      </c>
      <c r="D68" s="29" t="s">
        <v>111</v>
      </c>
    </row>
    <row r="69" spans="2:10" ht="31.2" x14ac:dyDescent="0.3">
      <c r="B69" s="13" t="s">
        <v>208</v>
      </c>
      <c r="C69" s="11" t="s">
        <v>112</v>
      </c>
      <c r="D69" s="11" t="s">
        <v>206</v>
      </c>
    </row>
    <row r="70" spans="2:10" x14ac:dyDescent="0.3">
      <c r="B70" s="29" t="s">
        <v>101</v>
      </c>
      <c r="C70" s="14" t="s">
        <v>146</v>
      </c>
      <c r="D70" s="11" t="s">
        <v>203</v>
      </c>
    </row>
    <row r="71" spans="2:10" x14ac:dyDescent="0.3">
      <c r="B71" s="29" t="s">
        <v>109</v>
      </c>
      <c r="C71" s="14" t="s">
        <v>147</v>
      </c>
      <c r="D71" s="11" t="s">
        <v>204</v>
      </c>
    </row>
    <row r="72" spans="2:10" x14ac:dyDescent="0.3">
      <c r="B72" s="29" t="s">
        <v>107</v>
      </c>
      <c r="C72" s="11" t="s">
        <v>110</v>
      </c>
      <c r="D72" s="11" t="s">
        <v>205</v>
      </c>
    </row>
    <row r="74" spans="2:10" ht="20.399999999999999" x14ac:dyDescent="0.35">
      <c r="B74" s="44" t="s">
        <v>151</v>
      </c>
      <c r="C74" s="44"/>
      <c r="D74" s="44"/>
      <c r="E74" s="44"/>
      <c r="F74" s="44"/>
      <c r="G74" s="44"/>
      <c r="H74" s="44"/>
      <c r="I74" s="44"/>
      <c r="J74" s="44"/>
    </row>
    <row r="75" spans="2:10" x14ac:dyDescent="0.3">
      <c r="B75" s="11" t="s">
        <v>198</v>
      </c>
      <c r="C75" s="11" t="s">
        <v>160</v>
      </c>
      <c r="D75" s="11" t="s">
        <v>161</v>
      </c>
      <c r="E75" s="11" t="s">
        <v>162</v>
      </c>
      <c r="F75" s="11" t="s">
        <v>163</v>
      </c>
      <c r="G75" s="11" t="s">
        <v>164</v>
      </c>
      <c r="H75" s="11" t="s">
        <v>165</v>
      </c>
      <c r="I75" s="11" t="s">
        <v>166</v>
      </c>
      <c r="J75" s="11" t="s">
        <v>167</v>
      </c>
    </row>
    <row r="76" spans="2:10" x14ac:dyDescent="0.3">
      <c r="B76" s="13" t="s">
        <v>114</v>
      </c>
      <c r="C76" s="29" t="s">
        <v>157</v>
      </c>
      <c r="D76" s="29" t="s">
        <v>157</v>
      </c>
      <c r="E76" s="29" t="s">
        <v>157</v>
      </c>
      <c r="F76" s="29" t="s">
        <v>158</v>
      </c>
      <c r="G76" s="29" t="s">
        <v>158</v>
      </c>
      <c r="H76" s="29" t="s">
        <v>158</v>
      </c>
      <c r="I76" s="29" t="s">
        <v>158</v>
      </c>
      <c r="J76" s="29" t="s">
        <v>158</v>
      </c>
    </row>
    <row r="77" spans="2:10" x14ac:dyDescent="0.3">
      <c r="B77" s="29" t="s">
        <v>169</v>
      </c>
      <c r="C77" s="14">
        <v>-2.0500000000000002E-3</v>
      </c>
      <c r="D77" s="14">
        <v>-2.4499999999999999E-5</v>
      </c>
      <c r="E77" s="14">
        <v>-2.51E-5</v>
      </c>
      <c r="F77" s="14">
        <v>4.9700000000000002E-5</v>
      </c>
      <c r="G77" s="14">
        <v>5.0599999999999997E-5</v>
      </c>
      <c r="H77" s="14">
        <v>2.51E-5</v>
      </c>
      <c r="I77" s="14">
        <v>2.4600000000000002E-5</v>
      </c>
      <c r="J77" s="14">
        <v>5.0000000000000002E-5</v>
      </c>
    </row>
    <row r="78" spans="2:10" x14ac:dyDescent="0.3">
      <c r="B78" s="29" t="s">
        <v>170</v>
      </c>
      <c r="C78" s="14">
        <v>-0.53100000000000003</v>
      </c>
      <c r="D78" s="14">
        <v>-0.64400000000000002</v>
      </c>
      <c r="E78" s="14">
        <v>-0.64400000000000002</v>
      </c>
      <c r="F78" s="14">
        <v>0.58199999999999996</v>
      </c>
      <c r="G78" s="14">
        <v>0.58199999999999996</v>
      </c>
      <c r="H78" s="14">
        <v>0.60199999999999998</v>
      </c>
      <c r="I78" s="14">
        <v>0.59799999999999998</v>
      </c>
      <c r="J78" s="14">
        <v>0.58199999999999996</v>
      </c>
    </row>
    <row r="79" spans="2:10" x14ac:dyDescent="0.3">
      <c r="B79" s="29" t="s">
        <v>171</v>
      </c>
      <c r="C79" s="14">
        <v>-0.38200000000000001</v>
      </c>
      <c r="D79" s="14">
        <v>-0.53100000000000003</v>
      </c>
      <c r="E79" s="14">
        <v>-0.64400000000000002</v>
      </c>
      <c r="F79" s="14">
        <v>0.40200000000000002</v>
      </c>
      <c r="G79" s="14">
        <v>1.02</v>
      </c>
      <c r="H79" s="14">
        <v>0.35399999999999998</v>
      </c>
      <c r="I79" s="14">
        <v>0.46700000000000003</v>
      </c>
      <c r="J79" s="14">
        <v>0.58199999999999996</v>
      </c>
    </row>
    <row r="80" spans="2:10" x14ac:dyDescent="0.3">
      <c r="B80" s="29" t="s">
        <v>172</v>
      </c>
      <c r="C80" s="14">
        <v>0</v>
      </c>
      <c r="D80" s="14">
        <v>0</v>
      </c>
      <c r="E80" s="14">
        <v>0</v>
      </c>
      <c r="F80" s="14">
        <v>0</v>
      </c>
      <c r="G80" s="14">
        <v>0</v>
      </c>
      <c r="H80" s="14">
        <v>0</v>
      </c>
      <c r="I80" s="14">
        <v>0</v>
      </c>
      <c r="J80" s="14">
        <v>0</v>
      </c>
    </row>
    <row r="81" spans="2:16" x14ac:dyDescent="0.3">
      <c r="B81" s="29" t="s">
        <v>173</v>
      </c>
      <c r="C81" s="14">
        <v>-0.48699999999999999</v>
      </c>
      <c r="D81" s="14">
        <v>-0.48499999999999999</v>
      </c>
      <c r="E81" s="14">
        <v>-0.48399999999999999</v>
      </c>
      <c r="F81" s="14">
        <v>0.46899999999999997</v>
      </c>
      <c r="G81" s="14">
        <v>0.46899999999999997</v>
      </c>
      <c r="H81" s="14">
        <v>0.46600000000000003</v>
      </c>
      <c r="I81" s="14">
        <v>0.46500000000000002</v>
      </c>
      <c r="J81" s="14">
        <v>0.46899999999999997</v>
      </c>
    </row>
    <row r="82" spans="2:16" x14ac:dyDescent="0.3">
      <c r="B82" s="29" t="s">
        <v>174</v>
      </c>
      <c r="C82" s="14">
        <v>-9.4600000000000004E-2</v>
      </c>
      <c r="D82" s="14">
        <v>-0.17499999999999999</v>
      </c>
      <c r="E82" s="14">
        <v>-0.17599999999999999</v>
      </c>
      <c r="F82" s="14">
        <v>0.13800000000000001</v>
      </c>
      <c r="G82" s="14">
        <v>0.13800000000000001</v>
      </c>
      <c r="H82" s="14">
        <v>0.14399999999999999</v>
      </c>
      <c r="I82" s="14">
        <v>0.14199999999999999</v>
      </c>
      <c r="J82" s="14">
        <v>0.13800000000000001</v>
      </c>
    </row>
    <row r="83" spans="2:16" x14ac:dyDescent="0.3">
      <c r="B83" s="29" t="s">
        <v>175</v>
      </c>
      <c r="C83" s="14">
        <v>3.5900000000000001E-2</v>
      </c>
      <c r="D83" s="14">
        <v>2.4699999999999999E-4</v>
      </c>
      <c r="E83" s="14">
        <v>2.5099999999999998E-4</v>
      </c>
      <c r="F83" s="14">
        <v>6.0599999999999998E-4</v>
      </c>
      <c r="G83" s="14">
        <v>6.1600000000000001E-4</v>
      </c>
      <c r="H83" s="14">
        <v>2.4499999999999999E-4</v>
      </c>
      <c r="I83" s="14">
        <v>2.4399999999999999E-4</v>
      </c>
      <c r="J83" s="14">
        <v>6.0999999999999997E-4</v>
      </c>
    </row>
    <row r="84" spans="2:16" x14ac:dyDescent="0.3">
      <c r="B84" s="29" t="s">
        <v>176</v>
      </c>
      <c r="C84" s="14">
        <v>6.6E-4</v>
      </c>
      <c r="D84" s="14">
        <v>5.2399999999999998E-6</v>
      </c>
      <c r="E84" s="14">
        <v>5.0499999999999999E-6</v>
      </c>
      <c r="F84" s="14">
        <v>1.9099999999999999E-6</v>
      </c>
      <c r="G84" s="14">
        <v>1.3E-6</v>
      </c>
      <c r="H84" s="14">
        <v>5.1900000000000003E-6</v>
      </c>
      <c r="I84" s="14">
        <v>4.33E-6</v>
      </c>
      <c r="J84" s="14">
        <v>1.48E-6</v>
      </c>
    </row>
    <row r="85" spans="2:16" x14ac:dyDescent="0.3">
      <c r="B85" s="29" t="s">
        <v>177</v>
      </c>
      <c r="C85" s="14">
        <v>7.4099999999999999E-3</v>
      </c>
      <c r="D85" s="14">
        <v>5.2200000000000002E-5</v>
      </c>
      <c r="E85" s="14">
        <v>5.3199999999999999E-5</v>
      </c>
      <c r="F85" s="14">
        <v>1.3999999999999999E-4</v>
      </c>
      <c r="G85" s="14">
        <v>1.4200000000000001E-4</v>
      </c>
      <c r="H85" s="14">
        <v>5.66E-5</v>
      </c>
      <c r="I85" s="14">
        <v>5.63E-5</v>
      </c>
      <c r="J85" s="14">
        <v>1.4100000000000001E-4</v>
      </c>
    </row>
    <row r="86" spans="2:16" x14ac:dyDescent="0.3">
      <c r="B86" s="29" t="s">
        <v>178</v>
      </c>
      <c r="C86" s="14">
        <v>1.2099999999999999E-13</v>
      </c>
      <c r="D86" s="14">
        <v>2.9399999999999999E-16</v>
      </c>
      <c r="E86" s="14">
        <v>2.8699999999999998E-16</v>
      </c>
      <c r="F86" s="14">
        <v>4.4699999999999997E-15</v>
      </c>
      <c r="G86" s="14">
        <v>3.9700000000000002E-15</v>
      </c>
      <c r="H86" s="14">
        <v>1.2800000000000001E-16</v>
      </c>
      <c r="I86" s="14">
        <v>1.2500000000000001E-16</v>
      </c>
      <c r="J86" s="14">
        <v>4.2999999999999997E-15</v>
      </c>
    </row>
    <row r="87" spans="2:16" x14ac:dyDescent="0.3">
      <c r="B87" s="29" t="s">
        <v>179</v>
      </c>
      <c r="C87" s="14">
        <v>2.1599999999999999E-13</v>
      </c>
      <c r="D87" s="14">
        <v>5.4100000000000001E-16</v>
      </c>
      <c r="E87" s="14">
        <v>5.4100000000000001E-16</v>
      </c>
      <c r="F87" s="14">
        <v>8.0000000000000006E-15</v>
      </c>
      <c r="G87" s="14">
        <v>8.0000000000000006E-15</v>
      </c>
      <c r="H87" s="14">
        <v>2.2600000000000002E-16</v>
      </c>
      <c r="I87" s="14">
        <v>2.2600000000000002E-16</v>
      </c>
      <c r="J87" s="14">
        <v>8.0000000000000006E-15</v>
      </c>
    </row>
    <row r="88" spans="2:16" x14ac:dyDescent="0.3">
      <c r="B88" s="29" t="s">
        <v>199</v>
      </c>
      <c r="C88" s="14">
        <v>1520</v>
      </c>
      <c r="D88" s="14">
        <v>191000</v>
      </c>
      <c r="E88" s="14">
        <v>198000</v>
      </c>
      <c r="F88" s="14">
        <v>524000</v>
      </c>
      <c r="G88" s="14">
        <v>769000</v>
      </c>
      <c r="H88" s="14">
        <v>193000</v>
      </c>
      <c r="I88" s="14">
        <v>231000</v>
      </c>
      <c r="J88" s="14">
        <v>676000</v>
      </c>
    </row>
    <row r="89" spans="2:16" x14ac:dyDescent="0.3">
      <c r="B89" s="29" t="s">
        <v>181</v>
      </c>
      <c r="C89" s="14">
        <v>54.4</v>
      </c>
      <c r="D89" s="14">
        <v>47.1</v>
      </c>
      <c r="E89" s="14">
        <v>49.7</v>
      </c>
      <c r="F89" s="14">
        <v>317</v>
      </c>
      <c r="G89" s="14">
        <v>474</v>
      </c>
      <c r="H89" s="14">
        <v>47.2</v>
      </c>
      <c r="I89" s="14">
        <v>56.4</v>
      </c>
      <c r="J89" s="14">
        <v>412</v>
      </c>
    </row>
    <row r="90" spans="2:16" x14ac:dyDescent="0.3">
      <c r="B90" s="15"/>
      <c r="C90" s="15"/>
      <c r="D90" s="16"/>
      <c r="E90" s="16"/>
      <c r="F90" s="16"/>
      <c r="G90" s="16"/>
      <c r="H90" s="16"/>
      <c r="I90" s="16"/>
      <c r="J90" s="16"/>
      <c r="K90" s="28"/>
      <c r="L90" s="28"/>
      <c r="M90" s="28"/>
      <c r="N90" s="28"/>
      <c r="O90" s="28"/>
      <c r="P90" s="28"/>
    </row>
    <row r="91" spans="2:16" ht="20.399999999999999" x14ac:dyDescent="0.35">
      <c r="B91" s="44" t="s">
        <v>137</v>
      </c>
      <c r="C91" s="44"/>
      <c r="D91" s="44"/>
      <c r="E91" s="44"/>
      <c r="F91" s="11"/>
      <c r="G91" s="11"/>
      <c r="H91" s="11"/>
      <c r="I91" s="11"/>
      <c r="J91" s="11"/>
    </row>
    <row r="92" spans="2:16" x14ac:dyDescent="0.3">
      <c r="B92" s="10" t="s">
        <v>126</v>
      </c>
      <c r="C92" s="10" t="s">
        <v>127</v>
      </c>
      <c r="D92" s="10" t="s">
        <v>128</v>
      </c>
      <c r="E92" s="10" t="s">
        <v>129</v>
      </c>
      <c r="F92" s="11"/>
      <c r="G92" s="11"/>
      <c r="H92" s="11"/>
      <c r="I92" s="11"/>
      <c r="J92" s="11"/>
    </row>
    <row r="93" spans="2:16" x14ac:dyDescent="0.3">
      <c r="B93" s="13" t="s">
        <v>130</v>
      </c>
      <c r="C93" s="15">
        <v>2500</v>
      </c>
      <c r="D93" s="15">
        <v>1515.15</v>
      </c>
      <c r="E93" s="33">
        <v>0.39</v>
      </c>
      <c r="F93" s="11"/>
      <c r="G93" s="11"/>
      <c r="H93" s="11"/>
      <c r="I93" s="11"/>
      <c r="J93" s="11"/>
    </row>
    <row r="94" spans="2:16" x14ac:dyDescent="0.3">
      <c r="B94" s="13" t="s">
        <v>131</v>
      </c>
      <c r="C94" s="15">
        <v>0.02</v>
      </c>
      <c r="D94" s="15">
        <v>3.5900000000000001E-2</v>
      </c>
      <c r="E94" s="33">
        <v>0.44</v>
      </c>
      <c r="F94" s="11"/>
      <c r="G94" s="11"/>
      <c r="H94" s="11"/>
      <c r="I94" s="11"/>
      <c r="J94" s="11"/>
    </row>
    <row r="95" spans="2:16" x14ac:dyDescent="0.3">
      <c r="B95" s="13" t="s">
        <v>125</v>
      </c>
      <c r="C95" s="15">
        <v>50</v>
      </c>
      <c r="D95" s="15">
        <v>54.39</v>
      </c>
      <c r="E95" s="33">
        <v>0.08</v>
      </c>
      <c r="F95" s="11"/>
      <c r="G95" s="11"/>
      <c r="H95" s="11"/>
      <c r="I95" s="11"/>
      <c r="J95" s="11"/>
    </row>
    <row r="96" spans="2:16" x14ac:dyDescent="0.3">
      <c r="B96" s="13" t="s">
        <v>132</v>
      </c>
      <c r="C96" s="15">
        <v>400</v>
      </c>
      <c r="D96" s="15">
        <v>660</v>
      </c>
      <c r="E96" s="33">
        <v>0.39</v>
      </c>
      <c r="F96" s="11"/>
      <c r="G96" s="11"/>
      <c r="H96" s="11"/>
      <c r="I96" s="11"/>
      <c r="J96" s="11"/>
    </row>
    <row r="97" spans="2:10" x14ac:dyDescent="0.3">
      <c r="B97" s="13" t="s">
        <v>133</v>
      </c>
      <c r="C97" s="16">
        <v>109930000</v>
      </c>
      <c r="D97" s="16">
        <v>84500000</v>
      </c>
      <c r="E97" s="33">
        <v>0.23</v>
      </c>
      <c r="F97" s="11"/>
      <c r="G97" s="11"/>
      <c r="H97" s="11"/>
      <c r="I97" s="11"/>
      <c r="J97" s="11"/>
    </row>
    <row r="98" spans="2:10" x14ac:dyDescent="0.3">
      <c r="B98" s="13" t="s">
        <v>134</v>
      </c>
      <c r="C98" s="16">
        <v>400000</v>
      </c>
      <c r="D98" s="16">
        <v>665020</v>
      </c>
      <c r="E98" s="33">
        <v>0.39</v>
      </c>
      <c r="F98" s="11"/>
      <c r="G98" s="11"/>
      <c r="H98" s="11"/>
      <c r="I98" s="11"/>
      <c r="J98" s="11"/>
    </row>
    <row r="99" spans="2:10" x14ac:dyDescent="0.3">
      <c r="B99" s="13" t="s">
        <v>135</v>
      </c>
      <c r="C99" s="16">
        <v>80000</v>
      </c>
      <c r="D99" s="16">
        <v>104040</v>
      </c>
      <c r="E99" s="33">
        <v>0.23</v>
      </c>
      <c r="F99" s="11"/>
      <c r="G99" s="11"/>
      <c r="H99" s="11"/>
      <c r="I99" s="11"/>
      <c r="J99" s="11"/>
    </row>
    <row r="100" spans="2:10" x14ac:dyDescent="0.3">
      <c r="B100" s="13" t="s">
        <v>136</v>
      </c>
      <c r="C100" s="16">
        <v>2.5000000000000001E-4</v>
      </c>
      <c r="D100" s="16">
        <v>2.4699999999999999E-4</v>
      </c>
      <c r="E100" s="33">
        <v>1.2E-2</v>
      </c>
      <c r="F100" s="11"/>
      <c r="G100" s="11"/>
      <c r="H100" s="11"/>
      <c r="I100" s="11"/>
      <c r="J100" s="11"/>
    </row>
    <row r="101" spans="2:10" x14ac:dyDescent="0.3"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2:10" ht="20.399999999999999" x14ac:dyDescent="0.35">
      <c r="B102" s="44" t="s">
        <v>150</v>
      </c>
      <c r="C102" s="44"/>
      <c r="D102" s="44"/>
      <c r="E102" s="44"/>
      <c r="F102" s="44"/>
      <c r="G102" s="44"/>
      <c r="H102" s="44"/>
      <c r="I102" s="11"/>
      <c r="J102" s="11"/>
    </row>
    <row r="103" spans="2:10" x14ac:dyDescent="0.3">
      <c r="B103" s="11" t="s">
        <v>182</v>
      </c>
      <c r="C103" s="11" t="s">
        <v>183</v>
      </c>
      <c r="D103" s="11" t="s">
        <v>184</v>
      </c>
      <c r="E103" s="11" t="s">
        <v>185</v>
      </c>
      <c r="F103" s="11" t="s">
        <v>186</v>
      </c>
      <c r="G103" s="11" t="s">
        <v>187</v>
      </c>
      <c r="H103" s="10" t="s">
        <v>148</v>
      </c>
      <c r="I103" s="11"/>
      <c r="J103" s="11"/>
    </row>
    <row r="104" spans="2:10" x14ac:dyDescent="0.3">
      <c r="B104" s="11" t="s">
        <v>188</v>
      </c>
      <c r="C104" s="11" t="s">
        <v>189</v>
      </c>
      <c r="D104" s="11">
        <v>0.38</v>
      </c>
      <c r="E104" s="11">
        <v>0.64900000000000002</v>
      </c>
      <c r="F104" s="11">
        <v>0.48</v>
      </c>
      <c r="G104" s="11">
        <v>0.16</v>
      </c>
      <c r="H104" s="17" t="s">
        <v>149</v>
      </c>
      <c r="I104" s="11"/>
      <c r="J104" s="11"/>
    </row>
    <row r="105" spans="2:10" x14ac:dyDescent="0.3">
      <c r="B105" s="11" t="s">
        <v>190</v>
      </c>
      <c r="C105" s="14" t="s">
        <v>189</v>
      </c>
      <c r="D105" s="14">
        <v>0.64</v>
      </c>
      <c r="E105" s="14">
        <v>0.64300000000000002</v>
      </c>
      <c r="F105" s="14">
        <v>0.48</v>
      </c>
      <c r="G105" s="14">
        <v>0.16300000000000001</v>
      </c>
      <c r="H105" s="17" t="s">
        <v>149</v>
      </c>
      <c r="I105" s="11"/>
      <c r="J105" s="11"/>
    </row>
    <row r="106" spans="2:10" x14ac:dyDescent="0.3">
      <c r="B106" s="11" t="s">
        <v>191</v>
      </c>
      <c r="C106" s="14" t="s">
        <v>189</v>
      </c>
      <c r="D106" s="14">
        <v>0.64300000000000002</v>
      </c>
      <c r="E106" s="14">
        <v>0.64300000000000002</v>
      </c>
      <c r="F106" s="14">
        <v>0.48</v>
      </c>
      <c r="G106" s="14">
        <v>0.16300000000000001</v>
      </c>
      <c r="H106" s="17" t="s">
        <v>149</v>
      </c>
      <c r="I106" s="11"/>
      <c r="J106" s="11"/>
    </row>
    <row r="107" spans="2:10" x14ac:dyDescent="0.3">
      <c r="B107" s="11" t="s">
        <v>192</v>
      </c>
      <c r="C107" s="14" t="s">
        <v>193</v>
      </c>
      <c r="D107" s="14">
        <v>0.35899999999999999</v>
      </c>
      <c r="E107" s="14">
        <v>0.60099999999999998</v>
      </c>
      <c r="F107" s="14">
        <v>0.46800000000000003</v>
      </c>
      <c r="G107" s="14">
        <v>0.13300000000000001</v>
      </c>
      <c r="H107" s="17" t="s">
        <v>149</v>
      </c>
      <c r="I107" s="11"/>
      <c r="J107" s="11"/>
    </row>
    <row r="108" spans="2:10" x14ac:dyDescent="0.3">
      <c r="B108" s="11" t="s">
        <v>194</v>
      </c>
      <c r="C108" s="14" t="s">
        <v>193</v>
      </c>
      <c r="D108" s="14">
        <v>0.35299999999999998</v>
      </c>
      <c r="E108" s="14">
        <v>0.60099999999999998</v>
      </c>
      <c r="F108" s="14">
        <v>0.46800000000000003</v>
      </c>
      <c r="G108" s="14">
        <v>0.13300000000000001</v>
      </c>
      <c r="H108" s="17" t="s">
        <v>149</v>
      </c>
      <c r="I108" s="11"/>
      <c r="J108" s="11"/>
    </row>
    <row r="109" spans="2:10" x14ac:dyDescent="0.3">
      <c r="B109" s="11" t="s">
        <v>195</v>
      </c>
      <c r="C109" s="14" t="s">
        <v>193</v>
      </c>
      <c r="D109" s="14">
        <v>0.39900000000000002</v>
      </c>
      <c r="E109" s="14">
        <v>0.58199999999999996</v>
      </c>
      <c r="F109" s="14">
        <v>0.46800000000000003</v>
      </c>
      <c r="G109" s="14">
        <v>0.114</v>
      </c>
      <c r="H109" s="17" t="s">
        <v>149</v>
      </c>
      <c r="I109" s="11"/>
      <c r="J109" s="11"/>
    </row>
    <row r="110" spans="2:10" x14ac:dyDescent="0.3">
      <c r="B110" s="11" t="s">
        <v>196</v>
      </c>
      <c r="C110" s="14" t="s">
        <v>193</v>
      </c>
      <c r="D110" s="14">
        <v>0.58199999999999996</v>
      </c>
      <c r="E110" s="14">
        <v>0.58199999999999996</v>
      </c>
      <c r="F110" s="14">
        <v>0.46800000000000003</v>
      </c>
      <c r="G110" s="14">
        <v>0.114</v>
      </c>
      <c r="H110" s="17" t="s">
        <v>149</v>
      </c>
      <c r="I110" s="11"/>
      <c r="J110" s="11"/>
    </row>
    <row r="111" spans="2:10" x14ac:dyDescent="0.3">
      <c r="B111" s="11" t="s">
        <v>197</v>
      </c>
      <c r="C111" s="14" t="s">
        <v>193</v>
      </c>
      <c r="D111" s="14">
        <v>1.01</v>
      </c>
      <c r="E111" s="14">
        <v>0.58199999999999996</v>
      </c>
      <c r="F111" s="14">
        <v>0.46800000000000003</v>
      </c>
      <c r="G111" s="14">
        <v>0.114</v>
      </c>
      <c r="H111" s="17" t="s">
        <v>149</v>
      </c>
      <c r="I111" s="11"/>
      <c r="J111" s="11"/>
    </row>
  </sheetData>
  <mergeCells count="5">
    <mergeCell ref="B18:D18"/>
    <mergeCell ref="B19:D19"/>
    <mergeCell ref="B91:E91"/>
    <mergeCell ref="B102:H102"/>
    <mergeCell ref="B74:J74"/>
  </mergeCells>
  <conditionalFormatting sqref="B75 B77:B89">
    <cfRule type="containsText" priority="1" operator="containsText" text="\hline">
      <formula>NOT(ISERROR(SEARCH("\hline",B75)))</formula>
    </cfRule>
    <cfRule type="cellIs" priority="2" operator="equal">
      <formula>"\hline"</formula>
    </cfRule>
  </conditionalFormatting>
  <conditionalFormatting sqref="B103:B111">
    <cfRule type="containsText" priority="3" operator="containsText" text="\hline">
      <formula>NOT(ISERROR(SEARCH("\hline",B103)))</formula>
    </cfRule>
    <cfRule type="cellIs" priority="4" operator="equal">
      <formula>"\hline"</formula>
    </cfRule>
  </conditionalFormatting>
  <pageMargins left="0.75" right="0.75" top="1" bottom="1" header="0.5" footer="0.5"/>
  <pageSetup orientation="portrait" r:id="rId1"/>
  <tableParts count="3">
    <tablePart r:id="rId2"/>
    <tablePart r:id="rId3"/>
    <tablePart r:id="rId4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31"/>
  <sheetViews>
    <sheetView topLeftCell="A79" workbookViewId="0">
      <selection activeCell="E121" sqref="E121"/>
    </sheetView>
  </sheetViews>
  <sheetFormatPr defaultColWidth="11.19921875" defaultRowHeight="15.6" x14ac:dyDescent="0.3"/>
  <cols>
    <col min="1" max="1" width="16.3984375" style="3" customWidth="1"/>
    <col min="2" max="2" width="18.796875" style="3" customWidth="1"/>
    <col min="3" max="3" width="17" style="3" customWidth="1"/>
    <col min="4" max="4" width="17.796875" style="3" customWidth="1"/>
    <col min="5" max="5" width="16.5" style="3" customWidth="1"/>
    <col min="6" max="6" width="15.8984375" style="3" customWidth="1"/>
    <col min="7" max="7" width="17.19921875" style="3" customWidth="1"/>
    <col min="8" max="8" width="9.5" style="3" bestFit="1" customWidth="1"/>
    <col min="9" max="9" width="15.69921875" style="3" customWidth="1"/>
    <col min="10" max="11" width="11.19921875" style="3"/>
    <col min="12" max="12" width="12.19921875" style="3" bestFit="1" customWidth="1"/>
    <col min="13" max="14" width="11.19921875" style="3"/>
    <col min="15" max="15" width="11.19921875" style="3" bestFit="1" customWidth="1"/>
    <col min="16" max="16" width="12.19921875" style="3" bestFit="1" customWidth="1"/>
    <col min="17" max="16384" width="11.19921875" style="3"/>
  </cols>
  <sheetData>
    <row r="1" spans="2:5" s="2" customFormat="1" ht="24.6" x14ac:dyDescent="0.4">
      <c r="B1" s="1" t="s">
        <v>39</v>
      </c>
    </row>
    <row r="3" spans="2:5" x14ac:dyDescent="0.3">
      <c r="B3" s="11"/>
      <c r="C3" s="29" t="s">
        <v>22</v>
      </c>
      <c r="D3" s="29" t="s">
        <v>15</v>
      </c>
      <c r="E3" s="29" t="s">
        <v>29</v>
      </c>
    </row>
    <row r="4" spans="2:5" x14ac:dyDescent="0.3">
      <c r="B4" s="29" t="s">
        <v>8</v>
      </c>
      <c r="C4" s="11">
        <v>1.4</v>
      </c>
      <c r="D4" s="11" t="s">
        <v>16</v>
      </c>
      <c r="E4" s="11"/>
    </row>
    <row r="5" spans="2:5" x14ac:dyDescent="0.3">
      <c r="B5" s="29" t="s">
        <v>9</v>
      </c>
      <c r="C5" s="11">
        <v>1</v>
      </c>
      <c r="D5" s="11" t="s">
        <v>16</v>
      </c>
      <c r="E5" s="11" t="s">
        <v>40</v>
      </c>
    </row>
    <row r="6" spans="2:5" x14ac:dyDescent="0.3">
      <c r="B6" s="29" t="s">
        <v>10</v>
      </c>
      <c r="C6" s="11">
        <v>50</v>
      </c>
      <c r="D6" s="11" t="s">
        <v>17</v>
      </c>
      <c r="E6" s="11" t="s">
        <v>41</v>
      </c>
    </row>
    <row r="7" spans="2:5" x14ac:dyDescent="0.3">
      <c r="B7" s="29" t="s">
        <v>11</v>
      </c>
      <c r="C7" s="11">
        <v>2</v>
      </c>
      <c r="D7" s="11" t="s">
        <v>18</v>
      </c>
      <c r="E7" s="11"/>
    </row>
    <row r="8" spans="2:5" x14ac:dyDescent="0.3">
      <c r="B8" s="29" t="s">
        <v>12</v>
      </c>
      <c r="C8" s="11">
        <v>10</v>
      </c>
      <c r="D8" s="11" t="s">
        <v>18</v>
      </c>
      <c r="E8" s="11" t="s">
        <v>42</v>
      </c>
    </row>
    <row r="9" spans="2:5" x14ac:dyDescent="0.3">
      <c r="B9" s="29" t="s">
        <v>13</v>
      </c>
      <c r="C9" s="11">
        <v>2</v>
      </c>
      <c r="D9" s="11" t="s">
        <v>19</v>
      </c>
      <c r="E9" s="11" t="s">
        <v>41</v>
      </c>
    </row>
    <row r="10" spans="2:5" x14ac:dyDescent="0.3">
      <c r="B10" s="29" t="s">
        <v>14</v>
      </c>
      <c r="C10" s="11">
        <v>50</v>
      </c>
      <c r="D10" s="11" t="s">
        <v>20</v>
      </c>
      <c r="E10" s="11" t="s">
        <v>41</v>
      </c>
    </row>
    <row r="11" spans="2:5" x14ac:dyDescent="0.3">
      <c r="B11" s="29" t="s">
        <v>24</v>
      </c>
      <c r="C11" s="11">
        <v>15</v>
      </c>
      <c r="D11" s="11" t="s">
        <v>25</v>
      </c>
      <c r="E11" s="11" t="s">
        <v>40</v>
      </c>
    </row>
    <row r="12" spans="2:5" x14ac:dyDescent="0.3">
      <c r="B12" s="29" t="s">
        <v>43</v>
      </c>
      <c r="C12" s="11">
        <v>50</v>
      </c>
      <c r="D12" s="11" t="s">
        <v>44</v>
      </c>
      <c r="E12" s="11" t="s">
        <v>42</v>
      </c>
    </row>
    <row r="13" spans="2:5" x14ac:dyDescent="0.3">
      <c r="B13" s="29" t="s">
        <v>45</v>
      </c>
      <c r="C13" s="11">
        <v>1</v>
      </c>
      <c r="D13" s="11" t="s">
        <v>46</v>
      </c>
      <c r="E13" s="11" t="s">
        <v>42</v>
      </c>
    </row>
    <row r="15" spans="2:5" s="2" customFormat="1" ht="24.6" x14ac:dyDescent="0.4">
      <c r="B15" s="1" t="s">
        <v>47</v>
      </c>
    </row>
    <row r="17" spans="1:9" x14ac:dyDescent="0.3">
      <c r="A17" s="45" t="s">
        <v>21</v>
      </c>
      <c r="B17" s="45"/>
      <c r="C17" s="11">
        <f>10^((C6+10)/20)</f>
        <v>1000</v>
      </c>
      <c r="D17" s="11" t="s">
        <v>31</v>
      </c>
      <c r="E17" s="11"/>
      <c r="F17" s="11"/>
      <c r="I17" s="3" t="s">
        <v>86</v>
      </c>
    </row>
    <row r="18" spans="1:9" x14ac:dyDescent="0.3">
      <c r="A18" s="45" t="s">
        <v>23</v>
      </c>
      <c r="B18" s="45"/>
      <c r="C18" s="11">
        <v>0.4</v>
      </c>
      <c r="D18" s="11" t="s">
        <v>16</v>
      </c>
      <c r="E18" s="11"/>
      <c r="F18" s="11"/>
    </row>
    <row r="19" spans="1:9" x14ac:dyDescent="0.3">
      <c r="A19" s="45" t="s">
        <v>26</v>
      </c>
      <c r="B19" s="45"/>
      <c r="C19" s="11">
        <f>(C8-C7)/1000</f>
        <v>8.0000000000000002E-3</v>
      </c>
      <c r="D19" s="11" t="s">
        <v>32</v>
      </c>
      <c r="E19" s="11"/>
      <c r="F19" s="11"/>
    </row>
    <row r="20" spans="1:9" x14ac:dyDescent="0.3">
      <c r="A20" s="45" t="s">
        <v>27</v>
      </c>
      <c r="B20" s="45"/>
      <c r="C20" s="11">
        <f>C11*C5/100/2</f>
        <v>7.4999999999999997E-2</v>
      </c>
      <c r="D20" s="11" t="s">
        <v>16</v>
      </c>
      <c r="E20" s="11"/>
      <c r="F20" s="11"/>
      <c r="I20" s="3" t="s">
        <v>28</v>
      </c>
    </row>
    <row r="21" spans="1:9" x14ac:dyDescent="0.3">
      <c r="A21" s="45" t="s">
        <v>48</v>
      </c>
      <c r="B21" s="45"/>
      <c r="C21" s="11">
        <f>0.000000001*C9*C20/C19</f>
        <v>1.8749999999999999E-8</v>
      </c>
      <c r="D21" s="11" t="s">
        <v>30</v>
      </c>
      <c r="E21" s="11">
        <v>18</v>
      </c>
      <c r="F21" s="11" t="s">
        <v>83</v>
      </c>
      <c r="I21" s="3" t="s">
        <v>87</v>
      </c>
    </row>
    <row r="22" spans="1:9" x14ac:dyDescent="0.3">
      <c r="A22" s="45"/>
      <c r="B22" s="45"/>
      <c r="C22" s="11"/>
      <c r="D22" s="11"/>
      <c r="E22" s="11"/>
      <c r="F22" s="11"/>
      <c r="I22" s="3" t="s">
        <v>49</v>
      </c>
    </row>
    <row r="23" spans="1:9" x14ac:dyDescent="0.3">
      <c r="A23" s="45"/>
      <c r="B23" s="45"/>
      <c r="C23" s="11"/>
      <c r="D23" s="11"/>
      <c r="E23" s="11"/>
      <c r="F23" s="11"/>
    </row>
    <row r="24" spans="1:9" x14ac:dyDescent="0.3">
      <c r="A24" s="45" t="s">
        <v>50</v>
      </c>
      <c r="B24" s="45"/>
      <c r="C24" s="11">
        <f>1/(C13*0.000001)</f>
        <v>1000000</v>
      </c>
      <c r="D24" s="11"/>
      <c r="E24" s="11">
        <f>C24/2/3.142/1000</f>
        <v>159.13430935709741</v>
      </c>
      <c r="F24" s="11" t="s">
        <v>82</v>
      </c>
      <c r="I24" s="3" t="s">
        <v>52</v>
      </c>
    </row>
    <row r="26" spans="1:9" s="2" customFormat="1" ht="24.6" x14ac:dyDescent="0.4">
      <c r="B26" s="1" t="s">
        <v>53</v>
      </c>
    </row>
    <row r="28" spans="1:9" ht="17.399999999999999" x14ac:dyDescent="0.3">
      <c r="B28" s="42" t="s">
        <v>33</v>
      </c>
      <c r="C28" s="42"/>
      <c r="D28" s="42"/>
    </row>
    <row r="29" spans="1:9" x14ac:dyDescent="0.3">
      <c r="B29" s="45" t="s">
        <v>54</v>
      </c>
      <c r="C29" s="45"/>
      <c r="D29" s="45"/>
      <c r="E29" s="4"/>
      <c r="G29" s="4"/>
      <c r="I29" s="3" t="s">
        <v>29</v>
      </c>
    </row>
    <row r="30" spans="1:9" x14ac:dyDescent="0.3">
      <c r="B30" s="29" t="s">
        <v>0</v>
      </c>
      <c r="C30" s="11">
        <v>10</v>
      </c>
      <c r="D30" s="11" t="s">
        <v>55</v>
      </c>
      <c r="E30" s="5"/>
      <c r="G30" s="7"/>
      <c r="I30" s="3" t="s">
        <v>56</v>
      </c>
    </row>
    <row r="31" spans="1:9" x14ac:dyDescent="0.3">
      <c r="B31" s="29" t="s">
        <v>1</v>
      </c>
      <c r="C31" s="11">
        <v>37</v>
      </c>
      <c r="D31" s="11" t="s">
        <v>57</v>
      </c>
      <c r="E31" s="5"/>
      <c r="G31" s="7"/>
      <c r="I31" s="3" t="s">
        <v>58</v>
      </c>
    </row>
    <row r="32" spans="1:9" x14ac:dyDescent="0.3">
      <c r="B32" s="29" t="s">
        <v>3</v>
      </c>
      <c r="C32" s="11">
        <f>C8*0.001</f>
        <v>0.01</v>
      </c>
      <c r="D32" s="11" t="s">
        <v>32</v>
      </c>
      <c r="G32" s="7"/>
    </row>
    <row r="33" spans="2:10" x14ac:dyDescent="0.3">
      <c r="B33" s="34" t="s">
        <v>4</v>
      </c>
      <c r="C33" s="30">
        <f>C32/C31</f>
        <v>2.7027027027027027E-4</v>
      </c>
      <c r="D33" s="11" t="s">
        <v>59</v>
      </c>
      <c r="E33" s="5"/>
      <c r="G33" s="7"/>
    </row>
    <row r="34" spans="2:10" x14ac:dyDescent="0.3">
      <c r="B34" s="29" t="s">
        <v>2</v>
      </c>
      <c r="C34" s="11">
        <v>50</v>
      </c>
      <c r="D34" s="11" t="s">
        <v>31</v>
      </c>
      <c r="E34" s="5"/>
      <c r="G34" s="7"/>
    </row>
    <row r="35" spans="2:10" x14ac:dyDescent="0.3">
      <c r="B35" s="29" t="s">
        <v>35</v>
      </c>
      <c r="C35" s="14">
        <v>28000000000</v>
      </c>
      <c r="D35" s="11" t="s">
        <v>51</v>
      </c>
      <c r="E35" s="5"/>
      <c r="G35" s="7"/>
    </row>
    <row r="36" spans="2:10" x14ac:dyDescent="0.3">
      <c r="B36" s="34" t="s">
        <v>5</v>
      </c>
      <c r="C36" s="30">
        <v>0.09</v>
      </c>
      <c r="D36" s="11" t="s">
        <v>36</v>
      </c>
      <c r="G36" s="7"/>
    </row>
    <row r="37" spans="2:10" x14ac:dyDescent="0.3">
      <c r="B37" s="29" t="s">
        <v>6</v>
      </c>
      <c r="C37" s="14">
        <f>C30*C32</f>
        <v>0.1</v>
      </c>
      <c r="D37" s="11" t="s">
        <v>60</v>
      </c>
      <c r="E37" s="5"/>
      <c r="G37" s="7"/>
    </row>
    <row r="38" spans="2:10" x14ac:dyDescent="0.3">
      <c r="B38" s="29" t="s">
        <v>37</v>
      </c>
      <c r="C38" s="14">
        <f>C34/C37</f>
        <v>500</v>
      </c>
      <c r="D38" s="11" t="s">
        <v>61</v>
      </c>
      <c r="G38" s="7"/>
    </row>
    <row r="39" spans="2:10" x14ac:dyDescent="0.3">
      <c r="B39" s="29" t="s">
        <v>38</v>
      </c>
      <c r="C39" s="14">
        <f>C37/2/3.142/C35</f>
        <v>5.6833681913249082E-13</v>
      </c>
      <c r="D39" s="11" t="s">
        <v>62</v>
      </c>
      <c r="E39" s="5"/>
      <c r="G39" s="7"/>
    </row>
    <row r="40" spans="2:10" x14ac:dyDescent="0.3">
      <c r="J40" s="5"/>
    </row>
    <row r="41" spans="2:10" s="2" customFormat="1" ht="24.6" x14ac:dyDescent="0.4">
      <c r="B41" s="1" t="s">
        <v>63</v>
      </c>
    </row>
    <row r="43" spans="2:10" x14ac:dyDescent="0.3">
      <c r="B43" s="11"/>
      <c r="C43" s="29" t="s">
        <v>54</v>
      </c>
      <c r="D43" s="11"/>
      <c r="E43" s="4"/>
      <c r="G43" s="4"/>
      <c r="I43" s="3" t="s">
        <v>29</v>
      </c>
    </row>
    <row r="44" spans="2:10" x14ac:dyDescent="0.3">
      <c r="B44" s="29" t="s">
        <v>100</v>
      </c>
      <c r="C44" s="14">
        <v>10330</v>
      </c>
      <c r="D44" s="11" t="s">
        <v>64</v>
      </c>
      <c r="E44" s="18"/>
      <c r="G44" s="4"/>
    </row>
    <row r="45" spans="2:10" x14ac:dyDescent="0.3">
      <c r="B45" s="29" t="s">
        <v>102</v>
      </c>
      <c r="C45" s="14">
        <f>C37/(C9+(C39/2))/0.000000001</f>
        <v>49999999.999992892</v>
      </c>
      <c r="D45" s="11" t="s">
        <v>64</v>
      </c>
      <c r="E45" s="5"/>
    </row>
    <row r="46" spans="2:10" x14ac:dyDescent="0.3">
      <c r="B46" s="29" t="s">
        <v>152</v>
      </c>
      <c r="C46" s="14">
        <v>1033000</v>
      </c>
      <c r="D46" s="11" t="s">
        <v>64</v>
      </c>
      <c r="E46" s="5"/>
    </row>
    <row r="47" spans="2:10" x14ac:dyDescent="0.3">
      <c r="B47" s="29" t="s">
        <v>7</v>
      </c>
      <c r="C47" s="14">
        <f>C46/2/3.142</f>
        <v>164385.74156588162</v>
      </c>
      <c r="D47" s="11" t="s">
        <v>51</v>
      </c>
      <c r="E47" s="5"/>
    </row>
    <row r="48" spans="2:10" x14ac:dyDescent="0.3">
      <c r="B48" s="29" t="s">
        <v>90</v>
      </c>
      <c r="C48" s="11">
        <f>ROUND((C17/C34),0)</f>
        <v>20</v>
      </c>
      <c r="D48" s="11"/>
      <c r="E48" s="5"/>
      <c r="G48" s="3" t="s">
        <v>66</v>
      </c>
    </row>
    <row r="49" spans="2:9" x14ac:dyDescent="0.3">
      <c r="B49" s="29" t="s">
        <v>91</v>
      </c>
      <c r="C49" s="11">
        <f>C48*2</f>
        <v>40</v>
      </c>
      <c r="D49" s="11"/>
      <c r="E49" s="5"/>
      <c r="G49" s="3" t="s">
        <v>67</v>
      </c>
    </row>
    <row r="51" spans="2:9" s="2" customFormat="1" ht="24.6" x14ac:dyDescent="0.4">
      <c r="B51" s="1" t="s">
        <v>76</v>
      </c>
    </row>
    <row r="53" spans="2:9" ht="24.6" x14ac:dyDescent="0.4">
      <c r="B53" s="6"/>
      <c r="C53" s="3" t="s">
        <v>85</v>
      </c>
    </row>
    <row r="54" spans="2:9" x14ac:dyDescent="0.3">
      <c r="B54" s="29" t="s">
        <v>77</v>
      </c>
      <c r="C54" s="11">
        <v>10</v>
      </c>
      <c r="D54" t="s">
        <v>216</v>
      </c>
      <c r="E54" s="5"/>
      <c r="I54" s="3" t="s">
        <v>98</v>
      </c>
    </row>
    <row r="55" spans="2:9" x14ac:dyDescent="0.3">
      <c r="B55" s="29" t="s">
        <v>3</v>
      </c>
      <c r="C55" s="11">
        <f>C12/2/1000000</f>
        <v>2.5000000000000001E-5</v>
      </c>
      <c r="D55" s="11" t="s">
        <v>32</v>
      </c>
      <c r="I55" s="3" t="s">
        <v>78</v>
      </c>
    </row>
    <row r="56" spans="2:9" x14ac:dyDescent="0.3">
      <c r="B56" s="29" t="s">
        <v>2</v>
      </c>
      <c r="C56" s="11">
        <v>40</v>
      </c>
      <c r="D56" s="11"/>
      <c r="E56" s="5"/>
      <c r="I56" s="3" t="s">
        <v>80</v>
      </c>
    </row>
    <row r="57" spans="2:9" x14ac:dyDescent="0.3">
      <c r="B57" s="34" t="s">
        <v>5</v>
      </c>
      <c r="C57" s="30">
        <v>0.09</v>
      </c>
      <c r="D57" s="11" t="s">
        <v>79</v>
      </c>
      <c r="I57" s="3" t="s">
        <v>84</v>
      </c>
    </row>
    <row r="58" spans="2:9" x14ac:dyDescent="0.3">
      <c r="B58" s="29" t="s">
        <v>1</v>
      </c>
      <c r="C58" s="11">
        <v>88.33</v>
      </c>
      <c r="D58" s="11" t="s">
        <v>57</v>
      </c>
    </row>
    <row r="59" spans="2:9" x14ac:dyDescent="0.3">
      <c r="B59" s="34" t="s">
        <v>4</v>
      </c>
      <c r="C59" s="30">
        <f>C55/C58</f>
        <v>2.8302954828484094E-7</v>
      </c>
      <c r="D59" s="11" t="s">
        <v>79</v>
      </c>
    </row>
    <row r="60" spans="2:9" x14ac:dyDescent="0.3">
      <c r="B60" s="29" t="s">
        <v>6</v>
      </c>
      <c r="C60" s="11">
        <f>C54*C55</f>
        <v>2.5000000000000001E-4</v>
      </c>
      <c r="D60" s="11" t="s">
        <v>215</v>
      </c>
      <c r="E60" s="5"/>
      <c r="G60" s="7"/>
    </row>
    <row r="61" spans="2:9" x14ac:dyDescent="0.3">
      <c r="B61" s="29" t="s">
        <v>37</v>
      </c>
      <c r="C61" s="11">
        <f>C56/C60</f>
        <v>160000</v>
      </c>
      <c r="D61" s="11" t="s">
        <v>207</v>
      </c>
    </row>
    <row r="63" spans="2:9" s="2" customFormat="1" ht="24.6" x14ac:dyDescent="0.4">
      <c r="B63" s="1" t="s">
        <v>88</v>
      </c>
    </row>
    <row r="65" spans="2:13" x14ac:dyDescent="0.3">
      <c r="B65" s="29" t="s">
        <v>3</v>
      </c>
      <c r="C65" s="11">
        <f>0.000025</f>
        <v>2.5000000000000001E-5</v>
      </c>
      <c r="D65" s="11" t="s">
        <v>32</v>
      </c>
    </row>
    <row r="66" spans="2:13" x14ac:dyDescent="0.3">
      <c r="B66" s="29" t="s">
        <v>77</v>
      </c>
      <c r="C66" s="11">
        <v>10</v>
      </c>
      <c r="D66" s="11"/>
    </row>
    <row r="67" spans="2:13" x14ac:dyDescent="0.3">
      <c r="B67" s="29" t="s">
        <v>2</v>
      </c>
      <c r="C67" s="11">
        <v>40</v>
      </c>
      <c r="D67" s="11"/>
    </row>
    <row r="68" spans="2:13" x14ac:dyDescent="0.3">
      <c r="B68" s="34" t="s">
        <v>5</v>
      </c>
      <c r="C68" s="30">
        <v>0.09</v>
      </c>
      <c r="D68" s="11" t="s">
        <v>79</v>
      </c>
      <c r="I68" s="3" t="s">
        <v>81</v>
      </c>
    </row>
    <row r="69" spans="2:13" x14ac:dyDescent="0.3">
      <c r="B69" s="29" t="s">
        <v>6</v>
      </c>
      <c r="C69" s="11">
        <f>C66*C65</f>
        <v>2.5000000000000001E-4</v>
      </c>
      <c r="D69" s="11"/>
    </row>
    <row r="70" spans="2:13" x14ac:dyDescent="0.3">
      <c r="B70" s="29" t="s">
        <v>1</v>
      </c>
      <c r="C70" s="11">
        <v>37</v>
      </c>
      <c r="D70" s="11" t="s">
        <v>57</v>
      </c>
    </row>
    <row r="71" spans="2:13" x14ac:dyDescent="0.3">
      <c r="B71" s="34" t="s">
        <v>4</v>
      </c>
      <c r="C71" s="30">
        <f>C65/C70</f>
        <v>6.7567567567567575E-7</v>
      </c>
      <c r="D71" s="11" t="s">
        <v>59</v>
      </c>
    </row>
    <row r="72" spans="2:13" x14ac:dyDescent="0.3">
      <c r="B72" s="29" t="s">
        <v>37</v>
      </c>
      <c r="C72" s="11">
        <f>C67/C69</f>
        <v>160000</v>
      </c>
      <c r="D72" s="11" t="s">
        <v>207</v>
      </c>
    </row>
    <row r="74" spans="2:13" s="2" customFormat="1" ht="24.6" x14ac:dyDescent="0.4">
      <c r="B74" s="19" t="s">
        <v>89</v>
      </c>
      <c r="C74" s="20"/>
      <c r="D74" s="21"/>
      <c r="E74" s="21"/>
      <c r="F74" s="21"/>
      <c r="G74" s="21"/>
      <c r="H74" s="21"/>
      <c r="I74" s="21"/>
      <c r="J74" s="21"/>
    </row>
    <row r="76" spans="2:13" x14ac:dyDescent="0.3">
      <c r="B76" s="35" t="s">
        <v>68</v>
      </c>
      <c r="C76" s="36">
        <f>(C72*C61)/(C72+C61)</f>
        <v>80000</v>
      </c>
      <c r="D76" s="36" t="s">
        <v>207</v>
      </c>
      <c r="E76" s="12"/>
      <c r="F76" s="12"/>
      <c r="G76" s="12"/>
      <c r="H76" s="12"/>
      <c r="I76" s="12"/>
      <c r="J76" s="12"/>
    </row>
    <row r="77" spans="2:13" x14ac:dyDescent="0.3">
      <c r="B77" s="35" t="s">
        <v>94</v>
      </c>
      <c r="C77" s="37">
        <v>2.4989999999999999E-11</v>
      </c>
      <c r="D77" s="36" t="s">
        <v>62</v>
      </c>
      <c r="E77" s="12"/>
      <c r="F77" s="12"/>
      <c r="G77" s="12"/>
      <c r="H77" s="12"/>
      <c r="I77" s="12" t="s">
        <v>92</v>
      </c>
      <c r="J77" s="12"/>
      <c r="K77" s="12" t="s">
        <v>93</v>
      </c>
      <c r="L77" s="12"/>
      <c r="M77" s="12"/>
    </row>
    <row r="78" spans="2:13" x14ac:dyDescent="0.3">
      <c r="B78" s="35" t="s">
        <v>70</v>
      </c>
      <c r="C78" s="37">
        <v>1.136E-13</v>
      </c>
      <c r="D78" s="36" t="s">
        <v>62</v>
      </c>
      <c r="E78" s="12"/>
      <c r="F78" s="12"/>
      <c r="G78" s="12"/>
      <c r="H78" s="12"/>
      <c r="I78" s="12"/>
      <c r="J78" s="12"/>
      <c r="K78" s="12"/>
      <c r="L78" s="12"/>
      <c r="M78" s="12"/>
    </row>
    <row r="79" spans="2:13" x14ac:dyDescent="0.3">
      <c r="B79" s="38" t="s">
        <v>69</v>
      </c>
      <c r="C79" s="39">
        <f>C77-C78</f>
        <v>2.4876399999999998E-11</v>
      </c>
      <c r="D79" s="36" t="s">
        <v>62</v>
      </c>
      <c r="E79" s="12"/>
      <c r="F79" s="12"/>
      <c r="G79" s="12"/>
      <c r="H79" s="12"/>
      <c r="I79" s="12"/>
      <c r="J79" s="12"/>
      <c r="K79" s="12"/>
      <c r="L79" s="12"/>
      <c r="M79" s="12"/>
    </row>
    <row r="80" spans="2:13" x14ac:dyDescent="0.3">
      <c r="B80" s="12"/>
      <c r="C80" s="22"/>
      <c r="D80" s="12"/>
      <c r="E80" s="12"/>
      <c r="F80" s="12"/>
      <c r="G80" s="12"/>
      <c r="H80" s="12"/>
      <c r="I80" s="12"/>
      <c r="J80" s="12"/>
      <c r="K80" s="12"/>
      <c r="L80" s="12"/>
      <c r="M80" s="12"/>
    </row>
    <row r="81" spans="2:13" s="1" customFormat="1" ht="24.6" x14ac:dyDescent="0.4">
      <c r="B81" s="19" t="s">
        <v>97</v>
      </c>
      <c r="C81" s="23"/>
      <c r="D81" s="19"/>
      <c r="E81" s="19"/>
      <c r="F81" s="19"/>
      <c r="G81" s="19"/>
      <c r="H81" s="19"/>
      <c r="I81" s="19"/>
      <c r="J81" s="19"/>
      <c r="K81" s="19"/>
      <c r="L81" s="19"/>
      <c r="M81" s="19"/>
    </row>
    <row r="82" spans="2:13" s="6" customFormat="1" ht="24.6" x14ac:dyDescent="0.4">
      <c r="B82" s="24"/>
      <c r="C82" s="25"/>
      <c r="D82" s="24"/>
      <c r="E82" s="24"/>
      <c r="F82" s="24"/>
      <c r="G82" s="24"/>
      <c r="H82" s="24"/>
      <c r="I82" s="24"/>
      <c r="J82" s="24"/>
      <c r="K82" s="24"/>
      <c r="L82" s="24"/>
      <c r="M82" s="24"/>
    </row>
    <row r="83" spans="2:13" x14ac:dyDescent="0.3">
      <c r="B83" s="35" t="s">
        <v>71</v>
      </c>
      <c r="C83" s="37">
        <f>C79+C78</f>
        <v>2.4989999999999999E-11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</row>
    <row r="84" spans="2:13" x14ac:dyDescent="0.3">
      <c r="B84" s="35" t="s">
        <v>72</v>
      </c>
      <c r="C84" s="37">
        <f>C83*0.05/C12/0.000001</f>
        <v>2.4990000000000004E-8</v>
      </c>
      <c r="D84" s="12"/>
      <c r="E84" s="12"/>
      <c r="F84" s="12"/>
      <c r="G84" s="12"/>
      <c r="H84" s="12" t="s">
        <v>95</v>
      </c>
      <c r="I84" s="12" t="s">
        <v>73</v>
      </c>
      <c r="J84" s="26" t="s">
        <v>74</v>
      </c>
      <c r="K84" s="26"/>
      <c r="L84" s="12"/>
      <c r="M84" s="12"/>
    </row>
    <row r="85" spans="2:13" x14ac:dyDescent="0.3">
      <c r="B85" s="12"/>
      <c r="C85" s="22"/>
      <c r="D85" s="12"/>
      <c r="E85" s="12"/>
      <c r="F85" s="12"/>
      <c r="G85" s="12"/>
      <c r="H85" s="26"/>
      <c r="I85" s="12"/>
      <c r="J85" s="26" t="s">
        <v>75</v>
      </c>
      <c r="K85" s="26"/>
      <c r="L85" s="12"/>
      <c r="M85" s="12"/>
    </row>
    <row r="86" spans="2:13" s="9" customFormat="1" ht="24.6" x14ac:dyDescent="0.4">
      <c r="B86" s="8" t="s">
        <v>106</v>
      </c>
    </row>
    <row r="88" spans="2:13" x14ac:dyDescent="0.3">
      <c r="B88" s="11"/>
      <c r="C88" s="29" t="s">
        <v>108</v>
      </c>
      <c r="D88" s="29" t="s">
        <v>111</v>
      </c>
    </row>
    <row r="89" spans="2:13" ht="31.2" x14ac:dyDescent="0.3">
      <c r="B89" s="13" t="s">
        <v>210</v>
      </c>
      <c r="C89" s="11" t="s">
        <v>112</v>
      </c>
      <c r="D89" s="11" t="s">
        <v>153</v>
      </c>
    </row>
    <row r="90" spans="2:13" x14ac:dyDescent="0.3">
      <c r="B90" s="29" t="s">
        <v>101</v>
      </c>
      <c r="C90" s="14" t="s">
        <v>143</v>
      </c>
      <c r="D90" s="11" t="s">
        <v>213</v>
      </c>
    </row>
    <row r="91" spans="2:13" x14ac:dyDescent="0.3">
      <c r="B91" s="29" t="s">
        <v>109</v>
      </c>
      <c r="C91" s="14" t="s">
        <v>144</v>
      </c>
      <c r="D91" s="11" t="s">
        <v>212</v>
      </c>
    </row>
    <row r="92" spans="2:13" x14ac:dyDescent="0.3">
      <c r="B92" s="29" t="s">
        <v>107</v>
      </c>
      <c r="C92" s="11" t="s">
        <v>110</v>
      </c>
      <c r="D92" s="11" t="s">
        <v>211</v>
      </c>
    </row>
    <row r="94" spans="2:13" ht="20.399999999999999" x14ac:dyDescent="0.35">
      <c r="B94" s="44" t="s">
        <v>151</v>
      </c>
      <c r="C94" s="44"/>
      <c r="D94" s="44"/>
      <c r="E94" s="44"/>
      <c r="F94" s="44"/>
      <c r="G94" s="44"/>
      <c r="H94" s="44"/>
      <c r="I94" s="44"/>
      <c r="J94" s="44"/>
    </row>
    <row r="95" spans="2:13" x14ac:dyDescent="0.3">
      <c r="B95" s="29" t="s">
        <v>159</v>
      </c>
      <c r="C95" s="11" t="s">
        <v>160</v>
      </c>
      <c r="D95" s="11" t="s">
        <v>161</v>
      </c>
      <c r="E95" s="11" t="s">
        <v>162</v>
      </c>
      <c r="F95" s="11" t="s">
        <v>163</v>
      </c>
      <c r="G95" s="11" t="s">
        <v>164</v>
      </c>
      <c r="H95" s="11" t="s">
        <v>165</v>
      </c>
      <c r="I95" s="11" t="s">
        <v>166</v>
      </c>
      <c r="J95" s="11" t="s">
        <v>167</v>
      </c>
    </row>
    <row r="96" spans="2:13" x14ac:dyDescent="0.3">
      <c r="B96" s="29" t="s">
        <v>168</v>
      </c>
      <c r="C96" s="29" t="s">
        <v>157</v>
      </c>
      <c r="D96" s="29" t="s">
        <v>157</v>
      </c>
      <c r="E96" s="29" t="s">
        <v>157</v>
      </c>
      <c r="F96" s="40" t="s">
        <v>158</v>
      </c>
      <c r="G96" s="40" t="s">
        <v>158</v>
      </c>
      <c r="H96" s="40" t="s">
        <v>158</v>
      </c>
      <c r="I96" s="40" t="s">
        <v>158</v>
      </c>
      <c r="J96" s="40" t="s">
        <v>158</v>
      </c>
    </row>
    <row r="97" spans="2:10" x14ac:dyDescent="0.3">
      <c r="B97" s="29" t="s">
        <v>169</v>
      </c>
      <c r="C97" s="14">
        <v>-1.01E-2</v>
      </c>
      <c r="D97" s="14">
        <v>-2.48E-5</v>
      </c>
      <c r="E97" s="14">
        <v>-2.48E-5</v>
      </c>
      <c r="F97" s="14">
        <v>4.9700000000000002E-5</v>
      </c>
      <c r="G97" s="14">
        <v>5.0599999999999997E-5</v>
      </c>
      <c r="H97" s="14">
        <v>2.48E-5</v>
      </c>
      <c r="I97" s="14">
        <v>2.4899999999999999E-5</v>
      </c>
      <c r="J97" s="14">
        <v>5.0000000000000002E-5</v>
      </c>
    </row>
    <row r="98" spans="2:10" x14ac:dyDescent="0.3">
      <c r="B98" s="29" t="s">
        <v>170</v>
      </c>
      <c r="C98" s="14">
        <v>-0.64900000000000002</v>
      </c>
      <c r="D98" s="14">
        <v>-0.64300000000000002</v>
      </c>
      <c r="E98" s="14">
        <v>-0.64300000000000002</v>
      </c>
      <c r="F98" s="14">
        <v>0.58199999999999996</v>
      </c>
      <c r="G98" s="14">
        <v>0.58199999999999996</v>
      </c>
      <c r="H98" s="14">
        <v>0.60099999999999998</v>
      </c>
      <c r="I98" s="14">
        <v>0.60099999999999998</v>
      </c>
      <c r="J98" s="14">
        <v>0.58199999999999996</v>
      </c>
    </row>
    <row r="99" spans="2:10" x14ac:dyDescent="0.3">
      <c r="B99" s="29" t="s">
        <v>171</v>
      </c>
      <c r="C99" s="14">
        <v>-0.38700000000000001</v>
      </c>
      <c r="D99" s="14">
        <v>-0.64900000000000002</v>
      </c>
      <c r="E99" s="14">
        <v>-0.64300000000000002</v>
      </c>
      <c r="F99" s="14">
        <v>0.39900000000000002</v>
      </c>
      <c r="G99" s="14">
        <v>1.01</v>
      </c>
      <c r="H99" s="14">
        <v>0.35899999999999999</v>
      </c>
      <c r="I99" s="14">
        <v>0.35299999999999998</v>
      </c>
      <c r="J99" s="14">
        <v>0.58199999999999996</v>
      </c>
    </row>
    <row r="100" spans="2:10" x14ac:dyDescent="0.3">
      <c r="B100" s="29" t="s">
        <v>172</v>
      </c>
      <c r="C100" s="14">
        <v>0</v>
      </c>
      <c r="D100" s="14">
        <v>0</v>
      </c>
      <c r="E100" s="14">
        <v>0</v>
      </c>
      <c r="F100" s="14">
        <v>0</v>
      </c>
      <c r="G100" s="14">
        <v>0</v>
      </c>
      <c r="H100" s="14">
        <v>0</v>
      </c>
      <c r="I100" s="14">
        <v>0</v>
      </c>
      <c r="J100" s="14">
        <v>0</v>
      </c>
    </row>
    <row r="101" spans="2:10" x14ac:dyDescent="0.3">
      <c r="B101" s="29" t="s">
        <v>173</v>
      </c>
      <c r="C101" s="14">
        <v>-0.48699999999999999</v>
      </c>
      <c r="D101" s="14">
        <v>-0.48399999999999999</v>
      </c>
      <c r="E101" s="14">
        <v>-0.48399999999999999</v>
      </c>
      <c r="F101" s="14">
        <v>0.46899999999999997</v>
      </c>
      <c r="G101" s="14">
        <v>0.46899999999999997</v>
      </c>
      <c r="H101" s="14">
        <v>0.46600000000000003</v>
      </c>
      <c r="I101" s="14">
        <v>0.46600000000000003</v>
      </c>
      <c r="J101" s="14">
        <v>0.46899999999999997</v>
      </c>
    </row>
    <row r="102" spans="2:10" x14ac:dyDescent="0.3">
      <c r="B102" s="29" t="s">
        <v>174</v>
      </c>
      <c r="C102" s="14">
        <v>-0.17699999999999999</v>
      </c>
      <c r="D102" s="14">
        <v>-0.17499999999999999</v>
      </c>
      <c r="E102" s="14">
        <v>-0.17499999999999999</v>
      </c>
      <c r="F102" s="14">
        <v>0.13800000000000001</v>
      </c>
      <c r="G102" s="14">
        <v>0.13800000000000001</v>
      </c>
      <c r="H102" s="14">
        <v>0.14299999999999999</v>
      </c>
      <c r="I102" s="14">
        <v>0.14299999999999999</v>
      </c>
      <c r="J102" s="14">
        <v>0.13800000000000001</v>
      </c>
    </row>
    <row r="103" spans="2:10" x14ac:dyDescent="0.3">
      <c r="B103" s="29" t="s">
        <v>175</v>
      </c>
      <c r="C103" s="14">
        <v>9.9500000000000005E-2</v>
      </c>
      <c r="D103" s="14">
        <v>2.5000000000000001E-4</v>
      </c>
      <c r="E103" s="14">
        <v>2.4899999999999998E-4</v>
      </c>
      <c r="F103" s="14">
        <v>6.0599999999999998E-4</v>
      </c>
      <c r="G103" s="14">
        <v>6.1600000000000001E-4</v>
      </c>
      <c r="H103" s="14">
        <v>2.4399999999999999E-4</v>
      </c>
      <c r="I103" s="14">
        <v>2.4399999999999999E-4</v>
      </c>
      <c r="J103" s="14">
        <v>6.0999999999999997E-4</v>
      </c>
    </row>
    <row r="104" spans="2:10" x14ac:dyDescent="0.3">
      <c r="B104" s="29" t="s">
        <v>176</v>
      </c>
      <c r="C104" s="14">
        <v>2.5200000000000001E-3</v>
      </c>
      <c r="D104" s="14">
        <v>5.0000000000000004E-6</v>
      </c>
      <c r="E104" s="14">
        <v>5.0100000000000003E-6</v>
      </c>
      <c r="F104" s="14">
        <v>1.9300000000000002E-6</v>
      </c>
      <c r="G104" s="14">
        <v>1.3E-6</v>
      </c>
      <c r="H104" s="14">
        <v>5.0699999999999997E-6</v>
      </c>
      <c r="I104" s="14">
        <v>5.1599999999999997E-6</v>
      </c>
      <c r="J104" s="14">
        <v>1.48E-6</v>
      </c>
    </row>
    <row r="105" spans="2:10" x14ac:dyDescent="0.3">
      <c r="B105" s="29" t="s">
        <v>177</v>
      </c>
      <c r="C105" s="14">
        <v>2.1100000000000001E-2</v>
      </c>
      <c r="D105" s="14">
        <v>5.2800000000000003E-5</v>
      </c>
      <c r="E105" s="14">
        <v>5.2800000000000003E-5</v>
      </c>
      <c r="F105" s="14">
        <v>1.3999999999999999E-4</v>
      </c>
      <c r="G105" s="14">
        <v>1.4200000000000001E-4</v>
      </c>
      <c r="H105" s="14">
        <v>5.6199999999999997E-5</v>
      </c>
      <c r="I105" s="14">
        <v>5.63E-5</v>
      </c>
      <c r="J105" s="14">
        <v>1.4100000000000001E-4</v>
      </c>
    </row>
    <row r="106" spans="2:10" x14ac:dyDescent="0.3">
      <c r="B106" s="29" t="s">
        <v>178</v>
      </c>
      <c r="C106" s="14">
        <v>1.2099999999999999E-13</v>
      </c>
      <c r="D106" s="14">
        <v>2.8600000000000001E-16</v>
      </c>
      <c r="E106" s="14">
        <v>2.8699999999999998E-16</v>
      </c>
      <c r="F106" s="14">
        <v>4.4800000000000002E-15</v>
      </c>
      <c r="G106" s="14">
        <v>3.9700000000000002E-15</v>
      </c>
      <c r="H106" s="14">
        <v>1.2800000000000001E-16</v>
      </c>
      <c r="I106" s="14">
        <v>1.2800000000000001E-16</v>
      </c>
      <c r="J106" s="14">
        <v>4.2999999999999997E-15</v>
      </c>
    </row>
    <row r="107" spans="2:10" x14ac:dyDescent="0.3">
      <c r="B107" s="29" t="s">
        <v>179</v>
      </c>
      <c r="C107" s="14">
        <v>2.1599999999999999E-13</v>
      </c>
      <c r="D107" s="14">
        <v>5.4100000000000001E-16</v>
      </c>
      <c r="E107" s="14">
        <v>5.4100000000000001E-16</v>
      </c>
      <c r="F107" s="14">
        <v>8.0000000000000006E-15</v>
      </c>
      <c r="G107" s="14">
        <v>8.0000000000000006E-15</v>
      </c>
      <c r="H107" s="14">
        <v>2.2600000000000002E-16</v>
      </c>
      <c r="I107" s="14">
        <v>2.2600000000000002E-16</v>
      </c>
      <c r="J107" s="14">
        <v>8.0000000000000006E-15</v>
      </c>
    </row>
    <row r="108" spans="2:10" x14ac:dyDescent="0.3">
      <c r="B108" s="29" t="s">
        <v>180</v>
      </c>
      <c r="C108" s="14">
        <v>397</v>
      </c>
      <c r="D108" s="14">
        <v>200000</v>
      </c>
      <c r="E108" s="14">
        <v>200000</v>
      </c>
      <c r="F108" s="14">
        <v>518000</v>
      </c>
      <c r="G108" s="14">
        <v>769000</v>
      </c>
      <c r="H108" s="14">
        <v>197000</v>
      </c>
      <c r="I108" s="14">
        <v>194000</v>
      </c>
      <c r="J108" s="14">
        <v>676000</v>
      </c>
    </row>
    <row r="109" spans="2:10" x14ac:dyDescent="0.3">
      <c r="B109" s="29" t="s">
        <v>181</v>
      </c>
      <c r="C109" s="14">
        <v>39.5</v>
      </c>
      <c r="D109" s="14">
        <v>50</v>
      </c>
      <c r="E109" s="14">
        <v>49.7</v>
      </c>
      <c r="F109" s="14">
        <v>314</v>
      </c>
      <c r="G109" s="14">
        <v>474</v>
      </c>
      <c r="H109" s="14">
        <v>48.1</v>
      </c>
      <c r="I109" s="14">
        <v>47.3</v>
      </c>
      <c r="J109" s="14">
        <v>412</v>
      </c>
    </row>
    <row r="111" spans="2:10" ht="21" x14ac:dyDescent="0.4">
      <c r="B111" s="46" t="s">
        <v>209</v>
      </c>
      <c r="C111" s="46"/>
      <c r="D111" s="46"/>
      <c r="E111" s="46"/>
    </row>
    <row r="112" spans="2:10" x14ac:dyDescent="0.3">
      <c r="B112" s="11" t="s">
        <v>198</v>
      </c>
      <c r="C112" s="11" t="s">
        <v>200</v>
      </c>
      <c r="D112" s="11" t="s">
        <v>201</v>
      </c>
      <c r="E112" s="11" t="s">
        <v>202</v>
      </c>
    </row>
    <row r="113" spans="2:8" x14ac:dyDescent="0.3">
      <c r="B113" s="13" t="s">
        <v>130</v>
      </c>
      <c r="C113" s="14">
        <v>500</v>
      </c>
      <c r="D113" s="14">
        <v>396.82</v>
      </c>
      <c r="E113" s="41">
        <v>20.63</v>
      </c>
    </row>
    <row r="114" spans="2:8" x14ac:dyDescent="0.3">
      <c r="B114" s="13" t="s">
        <v>131</v>
      </c>
      <c r="C114" s="14">
        <v>0.1</v>
      </c>
      <c r="D114" s="14">
        <v>9.9500000000000005E-2</v>
      </c>
      <c r="E114" s="41">
        <v>0.5</v>
      </c>
    </row>
    <row r="115" spans="2:8" x14ac:dyDescent="0.3">
      <c r="B115" s="13" t="s">
        <v>125</v>
      </c>
      <c r="C115" s="14">
        <v>50</v>
      </c>
      <c r="D115" s="14">
        <v>39.479999999999997</v>
      </c>
      <c r="E115" s="41">
        <v>21.04</v>
      </c>
    </row>
    <row r="116" spans="2:8" x14ac:dyDescent="0.3">
      <c r="B116" s="13" t="s">
        <v>132</v>
      </c>
      <c r="C116" s="14">
        <v>10330</v>
      </c>
      <c r="D116" s="14">
        <v>9820</v>
      </c>
      <c r="E116" s="41">
        <v>4.9000000000000004</v>
      </c>
    </row>
    <row r="117" spans="2:8" x14ac:dyDescent="0.3">
      <c r="B117" s="13" t="s">
        <v>133</v>
      </c>
      <c r="C117" s="14">
        <v>50000000</v>
      </c>
      <c r="D117" s="14">
        <v>49750000</v>
      </c>
      <c r="E117" s="41">
        <v>0.5</v>
      </c>
    </row>
    <row r="118" spans="2:8" x14ac:dyDescent="0.3">
      <c r="B118" s="13" t="s">
        <v>134</v>
      </c>
      <c r="C118" s="14">
        <v>10330000</v>
      </c>
      <c r="D118" s="14">
        <v>9820000</v>
      </c>
      <c r="E118" s="41">
        <v>4.9000000000000004</v>
      </c>
    </row>
    <row r="119" spans="2:8" x14ac:dyDescent="0.3">
      <c r="B119" s="13" t="s">
        <v>135</v>
      </c>
      <c r="C119" s="14">
        <v>80000</v>
      </c>
      <c r="D119" s="14">
        <v>104490</v>
      </c>
      <c r="E119" s="41">
        <v>23.4</v>
      </c>
    </row>
    <row r="120" spans="2:8" x14ac:dyDescent="0.3">
      <c r="B120" s="13" t="s">
        <v>136</v>
      </c>
      <c r="C120" s="14">
        <v>2.5000000000000001E-4</v>
      </c>
      <c r="D120" s="14">
        <v>2.4699999999999999E-4</v>
      </c>
      <c r="E120" s="41">
        <v>1.2</v>
      </c>
    </row>
    <row r="122" spans="2:8" ht="20.399999999999999" x14ac:dyDescent="0.35">
      <c r="B122" s="44" t="s">
        <v>150</v>
      </c>
      <c r="C122" s="44"/>
      <c r="D122" s="44"/>
      <c r="E122" s="44"/>
      <c r="F122" s="44"/>
      <c r="G122" s="44"/>
      <c r="H122" s="44"/>
    </row>
    <row r="123" spans="2:8" ht="31.2" x14ac:dyDescent="0.3">
      <c r="B123" s="11" t="s">
        <v>182</v>
      </c>
      <c r="C123" s="11" t="s">
        <v>183</v>
      </c>
      <c r="D123" s="11" t="s">
        <v>184</v>
      </c>
      <c r="E123" s="11" t="s">
        <v>185</v>
      </c>
      <c r="F123" s="11" t="s">
        <v>186</v>
      </c>
      <c r="G123" s="11" t="s">
        <v>187</v>
      </c>
      <c r="H123" s="10" t="s">
        <v>148</v>
      </c>
    </row>
    <row r="124" spans="2:8" x14ac:dyDescent="0.3">
      <c r="B124" s="11" t="s">
        <v>188</v>
      </c>
      <c r="C124" s="11" t="s">
        <v>189</v>
      </c>
      <c r="D124" s="11">
        <v>0.38200000000000001</v>
      </c>
      <c r="E124" s="11">
        <v>0.53100000000000003</v>
      </c>
      <c r="F124" s="14">
        <v>0.48699999999999999</v>
      </c>
      <c r="G124" s="14">
        <v>4.3999999999999997E-2</v>
      </c>
      <c r="H124" s="16" t="s">
        <v>149</v>
      </c>
    </row>
    <row r="125" spans="2:8" x14ac:dyDescent="0.3">
      <c r="B125" s="11" t="s">
        <v>190</v>
      </c>
      <c r="C125" s="14" t="s">
        <v>189</v>
      </c>
      <c r="D125" s="14">
        <v>0.53100000000000003</v>
      </c>
      <c r="E125" s="14">
        <v>0.64400000000000002</v>
      </c>
      <c r="F125" s="14">
        <v>0.48499999999999999</v>
      </c>
      <c r="G125" s="14">
        <v>0.159</v>
      </c>
      <c r="H125" s="16" t="s">
        <v>149</v>
      </c>
    </row>
    <row r="126" spans="2:8" x14ac:dyDescent="0.3">
      <c r="B126" s="11" t="s">
        <v>191</v>
      </c>
      <c r="C126" s="14" t="s">
        <v>189</v>
      </c>
      <c r="D126" s="14">
        <v>0.64400000000000002</v>
      </c>
      <c r="E126" s="14">
        <v>0.64400000000000002</v>
      </c>
      <c r="F126" s="14">
        <v>0.48399999999999999</v>
      </c>
      <c r="G126" s="14">
        <v>0.16</v>
      </c>
      <c r="H126" s="16" t="s">
        <v>149</v>
      </c>
    </row>
    <row r="127" spans="2:8" x14ac:dyDescent="0.3">
      <c r="B127" s="11" t="s">
        <v>192</v>
      </c>
      <c r="C127" s="14" t="s">
        <v>193</v>
      </c>
      <c r="D127" s="14">
        <v>0.35399999999999998</v>
      </c>
      <c r="E127" s="14">
        <v>0.60199999999999998</v>
      </c>
      <c r="F127" s="14">
        <v>0.46600000000000003</v>
      </c>
      <c r="G127" s="14">
        <v>0.13600000000000001</v>
      </c>
      <c r="H127" s="16" t="s">
        <v>149</v>
      </c>
    </row>
    <row r="128" spans="2:8" x14ac:dyDescent="0.3">
      <c r="B128" s="11" t="s">
        <v>194</v>
      </c>
      <c r="C128" s="14" t="s">
        <v>193</v>
      </c>
      <c r="D128" s="14">
        <v>0.46700000000000003</v>
      </c>
      <c r="E128" s="14">
        <v>0.59799999999999998</v>
      </c>
      <c r="F128" s="14">
        <v>0.46500000000000002</v>
      </c>
      <c r="G128" s="14">
        <v>0.13300000000000001</v>
      </c>
      <c r="H128" s="16" t="s">
        <v>149</v>
      </c>
    </row>
    <row r="129" spans="2:8" x14ac:dyDescent="0.3">
      <c r="B129" s="11" t="s">
        <v>195</v>
      </c>
      <c r="C129" s="14" t="s">
        <v>193</v>
      </c>
      <c r="D129" s="14">
        <v>0.40200000000000002</v>
      </c>
      <c r="E129" s="14">
        <v>0.58199999999999996</v>
      </c>
      <c r="F129" s="14">
        <v>0.46899999999999997</v>
      </c>
      <c r="G129" s="14">
        <v>0.113</v>
      </c>
      <c r="H129" s="16" t="s">
        <v>149</v>
      </c>
    </row>
    <row r="130" spans="2:8" x14ac:dyDescent="0.3">
      <c r="B130" s="11" t="s">
        <v>196</v>
      </c>
      <c r="C130" s="14" t="s">
        <v>193</v>
      </c>
      <c r="D130" s="14">
        <v>0.58199999999999996</v>
      </c>
      <c r="E130" s="14">
        <v>0.58199999999999996</v>
      </c>
      <c r="F130" s="14">
        <v>0.46899999999999997</v>
      </c>
      <c r="G130" s="14">
        <v>0.113</v>
      </c>
      <c r="H130" s="16" t="s">
        <v>149</v>
      </c>
    </row>
    <row r="131" spans="2:8" x14ac:dyDescent="0.3">
      <c r="B131" s="11" t="s">
        <v>197</v>
      </c>
      <c r="C131" s="14" t="s">
        <v>193</v>
      </c>
      <c r="D131" s="14">
        <v>1.02</v>
      </c>
      <c r="E131" s="14">
        <v>0.58199999999999996</v>
      </c>
      <c r="F131" s="14">
        <v>0.46899999999999997</v>
      </c>
      <c r="G131" s="14">
        <v>0.113</v>
      </c>
      <c r="H131" s="16" t="s">
        <v>149</v>
      </c>
    </row>
  </sheetData>
  <mergeCells count="13">
    <mergeCell ref="A24:B24"/>
    <mergeCell ref="A23:B23"/>
    <mergeCell ref="A22:B22"/>
    <mergeCell ref="A20:B20"/>
    <mergeCell ref="A21:B21"/>
    <mergeCell ref="A19:B19"/>
    <mergeCell ref="A18:B18"/>
    <mergeCell ref="A17:B17"/>
    <mergeCell ref="B28:D28"/>
    <mergeCell ref="B29:D29"/>
    <mergeCell ref="B94:J94"/>
    <mergeCell ref="B111:E111"/>
    <mergeCell ref="B122:H122"/>
  </mergeCells>
  <conditionalFormatting sqref="B104:B109">
    <cfRule type="containsText" priority="1" operator="containsText" text="\hline">
      <formula>NOT(ISERROR(SEARCH("\hline",B104)))</formula>
    </cfRule>
    <cfRule type="cellIs" priority="2" operator="equal">
      <formula>"\hline"</formula>
    </cfRule>
  </conditionalFormatting>
  <conditionalFormatting sqref="B112">
    <cfRule type="containsText" priority="3" operator="containsText" text="\hline">
      <formula>NOT(ISERROR(SEARCH("\hline",B112)))</formula>
    </cfRule>
    <cfRule type="cellIs" priority="4" operator="equal">
      <formula>"\hline"</formula>
    </cfRule>
  </conditionalFormatting>
  <pageMargins left="0.75" right="0.75" top="1" bottom="1" header="0.5" footer="0.5"/>
  <pageSetup orientation="portrait" horizontalDpi="4294967292" verticalDpi="4294967292"/>
  <tableParts count="3">
    <tablePart r:id="rId1"/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2"/>
  <sheetViews>
    <sheetView topLeftCell="A76" workbookViewId="0">
      <selection activeCell="D93" sqref="D93"/>
    </sheetView>
  </sheetViews>
  <sheetFormatPr defaultRowHeight="15.6" x14ac:dyDescent="0.3"/>
  <cols>
    <col min="1" max="1" width="11" style="3" customWidth="1"/>
    <col min="2" max="2" width="13.59765625" style="3" customWidth="1"/>
    <col min="3" max="3" width="17" style="3" customWidth="1"/>
    <col min="4" max="4" width="17.296875" style="3" customWidth="1"/>
    <col min="5" max="6" width="13.19921875" style="3" customWidth="1"/>
    <col min="7" max="7" width="15.8984375" style="3" customWidth="1"/>
    <col min="8" max="8" width="17.19921875" style="3" customWidth="1"/>
    <col min="9" max="14" width="8.796875" style="3"/>
    <col min="15" max="15" width="8.8984375" style="3" customWidth="1"/>
    <col min="16" max="16" width="10.09765625" style="3" customWidth="1"/>
    <col min="17" max="16384" width="8.796875" style="3"/>
  </cols>
  <sheetData>
    <row r="1" spans="2:5" s="2" customFormat="1" ht="24.6" x14ac:dyDescent="0.4">
      <c r="B1" s="1" t="s">
        <v>39</v>
      </c>
    </row>
    <row r="3" spans="2:5" x14ac:dyDescent="0.3">
      <c r="B3" s="11"/>
      <c r="C3" s="29" t="s">
        <v>22</v>
      </c>
      <c r="D3" s="29" t="s">
        <v>15</v>
      </c>
      <c r="E3" s="29" t="s">
        <v>29</v>
      </c>
    </row>
    <row r="4" spans="2:5" x14ac:dyDescent="0.3">
      <c r="B4" s="29" t="s">
        <v>8</v>
      </c>
      <c r="C4" s="11">
        <v>1.4</v>
      </c>
      <c r="D4" s="11" t="s">
        <v>16</v>
      </c>
      <c r="E4" s="11"/>
    </row>
    <row r="5" spans="2:5" x14ac:dyDescent="0.3">
      <c r="B5" s="29" t="s">
        <v>9</v>
      </c>
      <c r="C5" s="11">
        <v>1</v>
      </c>
      <c r="D5" s="11" t="s">
        <v>16</v>
      </c>
      <c r="E5" s="11" t="s">
        <v>40</v>
      </c>
    </row>
    <row r="6" spans="2:5" x14ac:dyDescent="0.3">
      <c r="B6" s="29" t="s">
        <v>10</v>
      </c>
      <c r="C6" s="11">
        <v>50</v>
      </c>
      <c r="D6" s="11" t="s">
        <v>17</v>
      </c>
      <c r="E6" s="11" t="s">
        <v>41</v>
      </c>
    </row>
    <row r="7" spans="2:5" x14ac:dyDescent="0.3">
      <c r="B7" s="29" t="s">
        <v>12</v>
      </c>
      <c r="C7" s="11">
        <v>10</v>
      </c>
      <c r="D7" s="11" t="s">
        <v>18</v>
      </c>
      <c r="E7" s="11"/>
    </row>
    <row r="8" spans="2:5" x14ac:dyDescent="0.3">
      <c r="B8" s="29" t="s">
        <v>11</v>
      </c>
      <c r="C8" s="11">
        <v>2</v>
      </c>
      <c r="D8" s="11" t="s">
        <v>18</v>
      </c>
      <c r="E8" s="11" t="s">
        <v>42</v>
      </c>
    </row>
    <row r="9" spans="2:5" x14ac:dyDescent="0.3">
      <c r="B9" s="29" t="s">
        <v>13</v>
      </c>
      <c r="C9" s="11">
        <v>2</v>
      </c>
      <c r="D9" s="11" t="s">
        <v>19</v>
      </c>
      <c r="E9" s="11" t="s">
        <v>41</v>
      </c>
    </row>
    <row r="10" spans="2:5" x14ac:dyDescent="0.3">
      <c r="B10" s="29" t="s">
        <v>14</v>
      </c>
      <c r="C10" s="11">
        <v>50</v>
      </c>
      <c r="D10" s="11" t="s">
        <v>20</v>
      </c>
      <c r="E10" s="11" t="s">
        <v>41</v>
      </c>
    </row>
    <row r="11" spans="2:5" x14ac:dyDescent="0.3">
      <c r="B11" s="29" t="s">
        <v>24</v>
      </c>
      <c r="C11" s="11">
        <v>15</v>
      </c>
      <c r="D11" s="11" t="s">
        <v>25</v>
      </c>
      <c r="E11" s="11" t="s">
        <v>40</v>
      </c>
    </row>
    <row r="12" spans="2:5" x14ac:dyDescent="0.3">
      <c r="B12" s="29" t="s">
        <v>43</v>
      </c>
      <c r="C12" s="11">
        <v>50</v>
      </c>
      <c r="D12" s="11" t="s">
        <v>44</v>
      </c>
      <c r="E12" s="11" t="s">
        <v>42</v>
      </c>
    </row>
    <row r="13" spans="2:5" x14ac:dyDescent="0.3">
      <c r="B13" s="29" t="s">
        <v>45</v>
      </c>
      <c r="C13" s="11">
        <v>1</v>
      </c>
      <c r="D13" s="11" t="s">
        <v>46</v>
      </c>
      <c r="E13" s="11" t="s">
        <v>42</v>
      </c>
    </row>
    <row r="15" spans="2:5" s="2" customFormat="1" ht="24.6" x14ac:dyDescent="0.4">
      <c r="B15" s="1" t="s">
        <v>47</v>
      </c>
    </row>
    <row r="17" spans="1:9" x14ac:dyDescent="0.3">
      <c r="A17" s="45" t="s">
        <v>21</v>
      </c>
      <c r="B17" s="45"/>
      <c r="C17" s="11">
        <f>10^((C6+10)/20)</f>
        <v>1000</v>
      </c>
      <c r="D17" s="11" t="s">
        <v>31</v>
      </c>
      <c r="E17" s="11"/>
      <c r="F17" s="11"/>
      <c r="I17" s="3" t="s">
        <v>86</v>
      </c>
    </row>
    <row r="18" spans="1:9" x14ac:dyDescent="0.3">
      <c r="A18" s="45" t="s">
        <v>23</v>
      </c>
      <c r="B18" s="45"/>
      <c r="C18" s="11">
        <v>0.4</v>
      </c>
      <c r="D18" s="11" t="s">
        <v>16</v>
      </c>
      <c r="E18" s="11"/>
      <c r="F18" s="11"/>
    </row>
    <row r="19" spans="1:9" x14ac:dyDescent="0.3">
      <c r="A19" s="45" t="s">
        <v>26</v>
      </c>
      <c r="B19" s="45"/>
      <c r="C19" s="11">
        <f>(C8-C7)/1000</f>
        <v>-8.0000000000000002E-3</v>
      </c>
      <c r="D19" s="11" t="s">
        <v>32</v>
      </c>
      <c r="E19" s="11"/>
      <c r="F19" s="11"/>
    </row>
    <row r="20" spans="1:9" x14ac:dyDescent="0.3">
      <c r="A20" s="45" t="s">
        <v>27</v>
      </c>
      <c r="B20" s="45"/>
      <c r="C20" s="11">
        <f>C11*C5/100/2</f>
        <v>7.4999999999999997E-2</v>
      </c>
      <c r="D20" s="11" t="s">
        <v>16</v>
      </c>
      <c r="E20" s="11"/>
      <c r="F20" s="11"/>
      <c r="I20" s="3" t="s">
        <v>28</v>
      </c>
    </row>
    <row r="21" spans="1:9" x14ac:dyDescent="0.3">
      <c r="A21" s="45" t="s">
        <v>48</v>
      </c>
      <c r="B21" s="45"/>
      <c r="C21" s="11">
        <f>0.000000001*C9*C20/C19</f>
        <v>-1.8749999999999999E-8</v>
      </c>
      <c r="D21" s="11" t="s">
        <v>30</v>
      </c>
      <c r="E21" s="11">
        <v>18</v>
      </c>
      <c r="F21" s="11" t="s">
        <v>83</v>
      </c>
      <c r="I21" s="3" t="s">
        <v>87</v>
      </c>
    </row>
    <row r="22" spans="1:9" x14ac:dyDescent="0.3">
      <c r="A22" s="4"/>
      <c r="B22" s="4"/>
      <c r="C22" s="11"/>
      <c r="D22" s="11"/>
      <c r="E22" s="11"/>
      <c r="F22" s="11"/>
      <c r="I22" s="3" t="s">
        <v>49</v>
      </c>
    </row>
    <row r="23" spans="1:9" x14ac:dyDescent="0.3">
      <c r="A23" s="4"/>
      <c r="B23" s="4"/>
      <c r="C23" s="11"/>
      <c r="D23" s="11"/>
      <c r="E23" s="11"/>
      <c r="F23" s="11"/>
    </row>
    <row r="24" spans="1:9" x14ac:dyDescent="0.3">
      <c r="A24" s="45" t="s">
        <v>50</v>
      </c>
      <c r="B24" s="45"/>
      <c r="C24" s="11">
        <f>1/(C13*0.000001)</f>
        <v>1000000</v>
      </c>
      <c r="D24" s="11"/>
      <c r="E24" s="11">
        <f>C24/2/3.142/1000</f>
        <v>159.13430935709741</v>
      </c>
      <c r="F24" s="11" t="s">
        <v>82</v>
      </c>
      <c r="I24" s="3" t="s">
        <v>52</v>
      </c>
    </row>
    <row r="26" spans="1:9" s="2" customFormat="1" ht="24.6" x14ac:dyDescent="0.4">
      <c r="B26" s="1" t="s">
        <v>53</v>
      </c>
    </row>
    <row r="28" spans="1:9" ht="17.399999999999999" x14ac:dyDescent="0.3">
      <c r="B28" s="42" t="s">
        <v>33</v>
      </c>
      <c r="C28" s="42"/>
      <c r="D28" s="42"/>
    </row>
    <row r="29" spans="1:9" x14ac:dyDescent="0.3">
      <c r="B29" s="45" t="s">
        <v>54</v>
      </c>
      <c r="C29" s="45"/>
      <c r="D29" s="45"/>
      <c r="E29" s="4"/>
      <c r="G29" s="4"/>
      <c r="I29" s="3" t="s">
        <v>29</v>
      </c>
    </row>
    <row r="30" spans="1:9" x14ac:dyDescent="0.3">
      <c r="B30" s="29" t="s">
        <v>0</v>
      </c>
      <c r="C30" s="11">
        <v>10</v>
      </c>
      <c r="D30" s="11" t="s">
        <v>55</v>
      </c>
      <c r="E30" s="5"/>
      <c r="G30" s="7"/>
      <c r="I30" s="3" t="s">
        <v>56</v>
      </c>
    </row>
    <row r="31" spans="1:9" x14ac:dyDescent="0.3">
      <c r="B31" s="29" t="s">
        <v>1</v>
      </c>
      <c r="C31" s="11">
        <v>37</v>
      </c>
      <c r="D31" s="11" t="s">
        <v>57</v>
      </c>
      <c r="E31" s="5"/>
      <c r="G31" s="7"/>
      <c r="I31" s="3" t="s">
        <v>58</v>
      </c>
    </row>
    <row r="32" spans="1:9" x14ac:dyDescent="0.3">
      <c r="B32" s="29" t="s">
        <v>3</v>
      </c>
      <c r="C32" s="11">
        <f>C8*0.001</f>
        <v>2E-3</v>
      </c>
      <c r="D32" s="11" t="s">
        <v>32</v>
      </c>
      <c r="G32" s="7"/>
    </row>
    <row r="33" spans="2:10" x14ac:dyDescent="0.3">
      <c r="B33" s="34" t="s">
        <v>4</v>
      </c>
      <c r="C33" s="32">
        <v>2.8600000000000001E-4</v>
      </c>
      <c r="D33" s="11" t="s">
        <v>59</v>
      </c>
      <c r="E33" s="5"/>
      <c r="G33" s="7"/>
    </row>
    <row r="34" spans="2:10" x14ac:dyDescent="0.3">
      <c r="B34" s="29" t="s">
        <v>2</v>
      </c>
      <c r="C34" s="11">
        <v>50</v>
      </c>
      <c r="D34" s="11" t="s">
        <v>31</v>
      </c>
      <c r="E34" s="5"/>
      <c r="G34" s="7"/>
    </row>
    <row r="35" spans="2:10" x14ac:dyDescent="0.3">
      <c r="B35" s="29" t="s">
        <v>35</v>
      </c>
      <c r="C35" s="14">
        <v>28000000000</v>
      </c>
      <c r="D35" s="11" t="s">
        <v>51</v>
      </c>
      <c r="E35" s="5"/>
      <c r="G35" s="7"/>
    </row>
    <row r="36" spans="2:10" x14ac:dyDescent="0.3">
      <c r="B36" s="34" t="s">
        <v>5</v>
      </c>
      <c r="C36" s="30">
        <v>0.09</v>
      </c>
      <c r="D36" s="11" t="s">
        <v>36</v>
      </c>
      <c r="G36" s="7"/>
    </row>
    <row r="37" spans="2:10" x14ac:dyDescent="0.3">
      <c r="B37" s="29" t="s">
        <v>6</v>
      </c>
      <c r="C37" s="14">
        <f>C30*C32</f>
        <v>0.02</v>
      </c>
      <c r="D37" s="11" t="s">
        <v>60</v>
      </c>
      <c r="E37" s="5"/>
      <c r="G37" s="7"/>
    </row>
    <row r="38" spans="2:10" x14ac:dyDescent="0.3">
      <c r="B38" s="29" t="s">
        <v>37</v>
      </c>
      <c r="C38" s="14">
        <f>C34/C37</f>
        <v>2500</v>
      </c>
      <c r="D38" s="11" t="s">
        <v>61</v>
      </c>
      <c r="G38" s="7"/>
    </row>
    <row r="39" spans="2:10" x14ac:dyDescent="0.3">
      <c r="B39" s="29" t="s">
        <v>38</v>
      </c>
      <c r="C39" s="14">
        <f>C37/2/3.142/C35</f>
        <v>1.1366736382649814E-13</v>
      </c>
      <c r="D39" s="11" t="s">
        <v>62</v>
      </c>
      <c r="E39" s="5"/>
      <c r="G39" s="7"/>
    </row>
    <row r="40" spans="2:10" x14ac:dyDescent="0.3">
      <c r="J40" s="5"/>
    </row>
    <row r="41" spans="2:10" s="2" customFormat="1" ht="24.6" x14ac:dyDescent="0.4">
      <c r="B41" s="1" t="s">
        <v>63</v>
      </c>
    </row>
    <row r="43" spans="2:10" x14ac:dyDescent="0.3">
      <c r="B43" s="11"/>
      <c r="C43" s="29" t="s">
        <v>54</v>
      </c>
      <c r="D43" s="11"/>
      <c r="E43" s="29" t="s">
        <v>34</v>
      </c>
      <c r="G43" s="4"/>
      <c r="I43" s="3" t="s">
        <v>29</v>
      </c>
    </row>
    <row r="44" spans="2:10" x14ac:dyDescent="0.3">
      <c r="B44" s="29" t="s">
        <v>100</v>
      </c>
      <c r="C44" s="40">
        <v>10000</v>
      </c>
      <c r="D44" s="11" t="s">
        <v>64</v>
      </c>
      <c r="E44" s="40">
        <v>7700</v>
      </c>
      <c r="G44" s="4"/>
    </row>
    <row r="45" spans="2:10" x14ac:dyDescent="0.3">
      <c r="B45" s="29" t="s">
        <v>102</v>
      </c>
      <c r="C45" s="14">
        <v>10000000</v>
      </c>
      <c r="D45" s="11" t="s">
        <v>64</v>
      </c>
      <c r="E45" s="14">
        <v>18200000</v>
      </c>
      <c r="I45" s="3" t="s">
        <v>96</v>
      </c>
    </row>
    <row r="46" spans="2:10" x14ac:dyDescent="0.3">
      <c r="B46" s="29" t="s">
        <v>152</v>
      </c>
      <c r="C46" s="14">
        <v>10000000</v>
      </c>
      <c r="D46" s="11" t="s">
        <v>64</v>
      </c>
      <c r="E46" s="14">
        <v>7700000</v>
      </c>
    </row>
    <row r="47" spans="2:10" x14ac:dyDescent="0.3">
      <c r="B47" s="29" t="s">
        <v>109</v>
      </c>
      <c r="C47" s="14">
        <f>C45/2/3.142</f>
        <v>1591343.093570974</v>
      </c>
      <c r="D47" s="11" t="s">
        <v>65</v>
      </c>
      <c r="E47" s="14">
        <v>2890000</v>
      </c>
    </row>
    <row r="48" spans="2:10" x14ac:dyDescent="0.3">
      <c r="B48" s="29" t="s">
        <v>7</v>
      </c>
      <c r="C48" s="14">
        <v>1590000</v>
      </c>
      <c r="D48" s="11" t="s">
        <v>65</v>
      </c>
      <c r="E48" s="14">
        <v>1220000</v>
      </c>
    </row>
    <row r="49" spans="2:9" x14ac:dyDescent="0.3">
      <c r="B49" s="29" t="s">
        <v>90</v>
      </c>
      <c r="C49" s="11">
        <f>ROUND((C17/C34),0)</f>
        <v>20</v>
      </c>
      <c r="D49" s="11"/>
      <c r="E49" s="14">
        <v>25</v>
      </c>
      <c r="G49" s="3" t="s">
        <v>66</v>
      </c>
    </row>
    <row r="50" spans="2:9" x14ac:dyDescent="0.3">
      <c r="B50" s="29" t="s">
        <v>91</v>
      </c>
      <c r="C50" s="11">
        <f>C49*2</f>
        <v>40</v>
      </c>
      <c r="D50" s="11"/>
      <c r="E50" s="14">
        <v>50</v>
      </c>
      <c r="G50" s="3" t="s">
        <v>67</v>
      </c>
    </row>
    <row r="52" spans="2:9" s="2" customFormat="1" ht="24.6" x14ac:dyDescent="0.4">
      <c r="B52" s="1" t="s">
        <v>76</v>
      </c>
    </row>
    <row r="54" spans="2:9" ht="24.6" x14ac:dyDescent="0.4">
      <c r="B54" s="31"/>
      <c r="C54" s="11" t="s">
        <v>85</v>
      </c>
      <c r="D54" s="11"/>
    </row>
    <row r="55" spans="2:9" x14ac:dyDescent="0.3">
      <c r="B55" s="29" t="s">
        <v>77</v>
      </c>
      <c r="C55" s="11">
        <v>10</v>
      </c>
      <c r="D55" s="11"/>
      <c r="E55" s="5"/>
      <c r="I55" s="3" t="s">
        <v>98</v>
      </c>
    </row>
    <row r="56" spans="2:9" x14ac:dyDescent="0.3">
      <c r="B56" s="29" t="s">
        <v>3</v>
      </c>
      <c r="C56" s="11">
        <f>C12/2/1000000</f>
        <v>2.5000000000000001E-5</v>
      </c>
      <c r="D56" s="11" t="s">
        <v>32</v>
      </c>
      <c r="I56" s="3" t="s">
        <v>78</v>
      </c>
    </row>
    <row r="57" spans="2:9" x14ac:dyDescent="0.3">
      <c r="B57" s="29" t="s">
        <v>2</v>
      </c>
      <c r="C57" s="11">
        <v>40</v>
      </c>
      <c r="D57" s="11"/>
      <c r="E57" s="5"/>
      <c r="I57" s="3" t="s">
        <v>80</v>
      </c>
    </row>
    <row r="58" spans="2:9" x14ac:dyDescent="0.3">
      <c r="B58" s="34" t="s">
        <v>5</v>
      </c>
      <c r="C58" s="30">
        <v>0.09</v>
      </c>
      <c r="D58" s="11" t="s">
        <v>79</v>
      </c>
      <c r="I58" s="3" t="s">
        <v>84</v>
      </c>
    </row>
    <row r="59" spans="2:9" x14ac:dyDescent="0.3">
      <c r="B59" s="29" t="s">
        <v>1</v>
      </c>
      <c r="C59" s="11">
        <v>88.33</v>
      </c>
      <c r="D59" s="11" t="s">
        <v>57</v>
      </c>
    </row>
    <row r="60" spans="2:9" x14ac:dyDescent="0.3">
      <c r="B60" s="34" t="s">
        <v>4</v>
      </c>
      <c r="C60" s="30">
        <f>C56/C59</f>
        <v>2.8302954828484094E-7</v>
      </c>
      <c r="D60" s="11" t="s">
        <v>79</v>
      </c>
    </row>
    <row r="61" spans="2:9" x14ac:dyDescent="0.3">
      <c r="B61" s="29" t="s">
        <v>6</v>
      </c>
      <c r="C61" s="11">
        <f>C55*C56</f>
        <v>2.5000000000000001E-4</v>
      </c>
      <c r="D61" s="11"/>
      <c r="E61" s="5"/>
      <c r="G61" s="7"/>
    </row>
    <row r="62" spans="2:9" x14ac:dyDescent="0.3">
      <c r="B62" s="29" t="s">
        <v>37</v>
      </c>
      <c r="C62" s="11">
        <f>C57/C61</f>
        <v>160000</v>
      </c>
      <c r="D62" s="11"/>
    </row>
    <row r="64" spans="2:9" s="2" customFormat="1" ht="24.6" x14ac:dyDescent="0.4">
      <c r="B64" s="1" t="s">
        <v>88</v>
      </c>
    </row>
    <row r="66" spans="2:13" x14ac:dyDescent="0.3">
      <c r="B66" s="29" t="s">
        <v>3</v>
      </c>
      <c r="C66" s="11">
        <f>0.000025</f>
        <v>2.5000000000000001E-5</v>
      </c>
      <c r="D66" s="11" t="s">
        <v>32</v>
      </c>
    </row>
    <row r="67" spans="2:13" x14ac:dyDescent="0.3">
      <c r="B67" s="29" t="s">
        <v>77</v>
      </c>
      <c r="C67" s="11">
        <v>10</v>
      </c>
      <c r="D67" s="11" t="s">
        <v>216</v>
      </c>
    </row>
    <row r="68" spans="2:13" x14ac:dyDescent="0.3">
      <c r="B68" s="29" t="s">
        <v>2</v>
      </c>
      <c r="C68" s="11">
        <v>40</v>
      </c>
      <c r="D68" s="11"/>
    </row>
    <row r="69" spans="2:13" x14ac:dyDescent="0.3">
      <c r="B69" s="34" t="s">
        <v>5</v>
      </c>
      <c r="C69" s="30">
        <v>0.09</v>
      </c>
      <c r="D69" s="11" t="s">
        <v>79</v>
      </c>
      <c r="I69" s="3" t="s">
        <v>81</v>
      </c>
    </row>
    <row r="70" spans="2:13" x14ac:dyDescent="0.3">
      <c r="B70" s="29" t="s">
        <v>6</v>
      </c>
      <c r="C70" s="11">
        <f>C67*C66</f>
        <v>2.5000000000000001E-4</v>
      </c>
      <c r="D70" s="11" t="s">
        <v>215</v>
      </c>
    </row>
    <row r="71" spans="2:13" x14ac:dyDescent="0.3">
      <c r="B71" s="29" t="s">
        <v>1</v>
      </c>
      <c r="C71" s="11">
        <v>37</v>
      </c>
      <c r="D71" s="11" t="s">
        <v>57</v>
      </c>
    </row>
    <row r="72" spans="2:13" x14ac:dyDescent="0.3">
      <c r="B72" s="34" t="s">
        <v>4</v>
      </c>
      <c r="C72" s="30">
        <f>C66/C71</f>
        <v>6.7567567567567575E-7</v>
      </c>
      <c r="D72" s="11" t="s">
        <v>59</v>
      </c>
    </row>
    <row r="73" spans="2:13" x14ac:dyDescent="0.3">
      <c r="B73" s="29" t="s">
        <v>37</v>
      </c>
      <c r="C73" s="11">
        <f>C68/C70</f>
        <v>160000</v>
      </c>
      <c r="D73" s="11" t="s">
        <v>207</v>
      </c>
    </row>
    <row r="75" spans="2:13" s="2" customFormat="1" ht="24.6" x14ac:dyDescent="0.4">
      <c r="B75" s="19" t="s">
        <v>89</v>
      </c>
      <c r="C75" s="20"/>
      <c r="D75" s="21"/>
      <c r="E75" s="21"/>
      <c r="F75" s="21"/>
      <c r="G75" s="21"/>
      <c r="H75" s="21"/>
      <c r="I75" s="21"/>
      <c r="J75" s="21"/>
    </row>
    <row r="77" spans="2:13" x14ac:dyDescent="0.3">
      <c r="B77" s="35" t="s">
        <v>68</v>
      </c>
      <c r="C77" s="36">
        <f>(C73*C62)/(C73+C62)</f>
        <v>80000</v>
      </c>
      <c r="D77" s="36" t="s">
        <v>207</v>
      </c>
      <c r="E77" s="12"/>
      <c r="F77" s="12"/>
      <c r="G77" s="12"/>
      <c r="H77" s="12"/>
      <c r="I77" s="12"/>
      <c r="J77" s="12"/>
    </row>
    <row r="78" spans="2:13" x14ac:dyDescent="0.3">
      <c r="B78" s="35" t="s">
        <v>94</v>
      </c>
      <c r="C78" s="37">
        <v>2.4989999999999999E-11</v>
      </c>
      <c r="D78" s="36" t="s">
        <v>62</v>
      </c>
      <c r="E78" s="12"/>
      <c r="F78" s="12"/>
      <c r="G78" s="12"/>
      <c r="H78" s="12"/>
      <c r="I78" s="12" t="s">
        <v>92</v>
      </c>
      <c r="J78" s="12"/>
      <c r="K78" s="12" t="s">
        <v>93</v>
      </c>
      <c r="L78" s="12"/>
      <c r="M78" s="12"/>
    </row>
    <row r="79" spans="2:13" x14ac:dyDescent="0.3">
      <c r="B79" s="35" t="s">
        <v>70</v>
      </c>
      <c r="C79" s="37">
        <v>1.136E-13</v>
      </c>
      <c r="D79" s="36" t="s">
        <v>62</v>
      </c>
      <c r="E79" s="12"/>
      <c r="F79" s="12"/>
      <c r="G79" s="12"/>
      <c r="H79" s="12"/>
      <c r="I79" s="12"/>
      <c r="J79" s="12"/>
      <c r="K79" s="12"/>
      <c r="L79" s="12"/>
      <c r="M79" s="12"/>
    </row>
    <row r="80" spans="2:13" x14ac:dyDescent="0.3">
      <c r="B80" s="38" t="s">
        <v>69</v>
      </c>
      <c r="C80" s="39">
        <f>C78-C79</f>
        <v>2.4876399999999998E-11</v>
      </c>
      <c r="D80" s="36" t="s">
        <v>62</v>
      </c>
      <c r="E80" s="12"/>
      <c r="F80" s="12"/>
      <c r="G80" s="12"/>
      <c r="H80" s="12"/>
      <c r="I80" s="12"/>
      <c r="J80" s="12"/>
      <c r="K80" s="12"/>
      <c r="L80" s="12"/>
      <c r="M80" s="12"/>
    </row>
    <row r="81" spans="2:13" x14ac:dyDescent="0.3">
      <c r="B81" s="12"/>
      <c r="C81" s="22"/>
      <c r="D81" s="12"/>
      <c r="E81" s="12"/>
      <c r="F81" s="12"/>
      <c r="G81" s="12"/>
      <c r="H81" s="12"/>
      <c r="I81" s="12"/>
      <c r="J81" s="12"/>
      <c r="K81" s="12"/>
      <c r="L81" s="12"/>
      <c r="M81" s="12"/>
    </row>
    <row r="82" spans="2:13" s="1" customFormat="1" ht="24.6" x14ac:dyDescent="0.4">
      <c r="B82" s="19" t="s">
        <v>97</v>
      </c>
      <c r="C82" s="23"/>
      <c r="D82" s="19"/>
      <c r="E82" s="19"/>
      <c r="F82" s="19"/>
      <c r="G82" s="19"/>
      <c r="H82" s="19"/>
      <c r="I82" s="19"/>
      <c r="J82" s="19"/>
      <c r="K82" s="19"/>
      <c r="L82" s="19"/>
      <c r="M82" s="19"/>
    </row>
    <row r="83" spans="2:13" s="6" customFormat="1" ht="24.6" x14ac:dyDescent="0.4">
      <c r="B83" s="24"/>
      <c r="C83" s="25"/>
      <c r="D83" s="24"/>
      <c r="E83" s="24"/>
      <c r="F83" s="24"/>
      <c r="G83" s="24"/>
      <c r="H83" s="24"/>
      <c r="I83" s="24"/>
      <c r="J83" s="24"/>
      <c r="K83" s="24"/>
      <c r="L83" s="24"/>
      <c r="M83" s="24"/>
    </row>
    <row r="84" spans="2:13" x14ac:dyDescent="0.3">
      <c r="B84" s="35" t="s">
        <v>71</v>
      </c>
      <c r="C84" s="37">
        <f>C80+C79</f>
        <v>2.4989999999999999E-11</v>
      </c>
      <c r="D84" s="12"/>
      <c r="E84" s="12"/>
      <c r="F84" s="12"/>
      <c r="G84" s="12"/>
      <c r="H84" s="12"/>
      <c r="I84" s="12"/>
      <c r="J84" s="12"/>
      <c r="K84" s="12"/>
      <c r="L84" s="12"/>
      <c r="M84" s="12"/>
    </row>
    <row r="85" spans="2:13" x14ac:dyDescent="0.3">
      <c r="B85" s="35" t="s">
        <v>72</v>
      </c>
      <c r="C85" s="37">
        <f>C84*0.05/C12/0.000001</f>
        <v>2.4990000000000004E-8</v>
      </c>
      <c r="D85" s="12"/>
      <c r="E85" s="12"/>
      <c r="F85" s="12"/>
      <c r="G85" s="12"/>
      <c r="H85" s="12" t="s">
        <v>95</v>
      </c>
      <c r="I85" s="12" t="s">
        <v>73</v>
      </c>
      <c r="J85" s="26" t="s">
        <v>74</v>
      </c>
      <c r="K85" s="26"/>
      <c r="L85" s="12"/>
      <c r="M85" s="12"/>
    </row>
    <row r="86" spans="2:13" x14ac:dyDescent="0.3">
      <c r="B86" s="12"/>
      <c r="C86" s="22"/>
      <c r="D86" s="12"/>
      <c r="E86" s="12"/>
      <c r="F86" s="12"/>
      <c r="G86" s="12"/>
      <c r="H86" s="26"/>
      <c r="I86" s="12"/>
      <c r="J86" s="26" t="s">
        <v>75</v>
      </c>
      <c r="K86" s="26"/>
      <c r="L86" s="12"/>
      <c r="M86" s="12"/>
    </row>
    <row r="87" spans="2:13" s="9" customFormat="1" ht="24.6" x14ac:dyDescent="0.4">
      <c r="B87" s="8" t="s">
        <v>106</v>
      </c>
    </row>
    <row r="89" spans="2:13" x14ac:dyDescent="0.3">
      <c r="B89" s="11"/>
      <c r="C89" s="29" t="s">
        <v>108</v>
      </c>
      <c r="D89" s="29" t="s">
        <v>111</v>
      </c>
    </row>
    <row r="90" spans="2:13" ht="46.8" x14ac:dyDescent="0.3">
      <c r="B90" s="13" t="s">
        <v>214</v>
      </c>
      <c r="C90" s="11" t="s">
        <v>112</v>
      </c>
      <c r="D90" s="11" t="s">
        <v>141</v>
      </c>
    </row>
    <row r="91" spans="2:13" x14ac:dyDescent="0.3">
      <c r="B91" s="29" t="s">
        <v>101</v>
      </c>
      <c r="C91" s="14" t="s">
        <v>142</v>
      </c>
      <c r="D91" s="11" t="s">
        <v>219</v>
      </c>
    </row>
    <row r="92" spans="2:13" x14ac:dyDescent="0.3">
      <c r="B92" s="29" t="s">
        <v>109</v>
      </c>
      <c r="C92" s="14" t="s">
        <v>145</v>
      </c>
      <c r="D92" s="11" t="s">
        <v>218</v>
      </c>
    </row>
    <row r="93" spans="2:13" x14ac:dyDescent="0.3">
      <c r="B93" s="29" t="s">
        <v>107</v>
      </c>
      <c r="C93" s="11" t="s">
        <v>110</v>
      </c>
      <c r="D93" s="11" t="s">
        <v>217</v>
      </c>
    </row>
    <row r="95" spans="2:13" ht="20.399999999999999" x14ac:dyDescent="0.35">
      <c r="B95" s="44" t="s">
        <v>151</v>
      </c>
      <c r="C95" s="44"/>
      <c r="D95" s="44"/>
      <c r="E95" s="44"/>
      <c r="F95" s="44"/>
      <c r="G95" s="44"/>
      <c r="H95" s="44"/>
      <c r="I95" s="44"/>
      <c r="J95" s="44"/>
    </row>
    <row r="96" spans="2:13" x14ac:dyDescent="0.3">
      <c r="B96" s="10" t="s">
        <v>198</v>
      </c>
      <c r="C96" s="10" t="s">
        <v>160</v>
      </c>
      <c r="D96" s="10" t="s">
        <v>161</v>
      </c>
      <c r="E96" s="10" t="s">
        <v>162</v>
      </c>
      <c r="F96" s="10" t="s">
        <v>163</v>
      </c>
      <c r="G96" s="10" t="s">
        <v>164</v>
      </c>
      <c r="H96" s="10" t="s">
        <v>165</v>
      </c>
      <c r="I96" s="10" t="s">
        <v>166</v>
      </c>
      <c r="J96" s="10" t="s">
        <v>167</v>
      </c>
    </row>
    <row r="97" spans="1:10" x14ac:dyDescent="0.3">
      <c r="B97" s="13" t="s">
        <v>114</v>
      </c>
      <c r="C97" s="29" t="s">
        <v>157</v>
      </c>
      <c r="D97" s="29" t="s">
        <v>157</v>
      </c>
      <c r="E97" s="29" t="s">
        <v>157</v>
      </c>
      <c r="F97" s="29" t="s">
        <v>158</v>
      </c>
      <c r="G97" s="29" t="s">
        <v>158</v>
      </c>
      <c r="H97" s="29" t="s">
        <v>158</v>
      </c>
      <c r="I97" s="29" t="s">
        <v>158</v>
      </c>
      <c r="J97" s="29" t="s">
        <v>158</v>
      </c>
    </row>
    <row r="98" spans="1:10" x14ac:dyDescent="0.3">
      <c r="B98" s="13" t="s">
        <v>169</v>
      </c>
      <c r="C98" s="16">
        <v>-2.0500000000000002E-3</v>
      </c>
      <c r="D98" s="16">
        <v>-2.4499999999999999E-5</v>
      </c>
      <c r="E98" s="16">
        <v>-2.51E-5</v>
      </c>
      <c r="F98" s="16">
        <v>4.9700000000000002E-5</v>
      </c>
      <c r="G98" s="16">
        <v>5.0599999999999997E-5</v>
      </c>
      <c r="H98" s="16">
        <v>2.51E-5</v>
      </c>
      <c r="I98" s="16">
        <v>2.4600000000000002E-5</v>
      </c>
      <c r="J98" s="16">
        <v>5.0000000000000002E-5</v>
      </c>
    </row>
    <row r="99" spans="1:10" x14ac:dyDescent="0.3">
      <c r="B99" s="13" t="s">
        <v>170</v>
      </c>
      <c r="C99" s="16">
        <v>-0.53100000000000003</v>
      </c>
      <c r="D99" s="16">
        <v>-0.64400000000000002</v>
      </c>
      <c r="E99" s="16">
        <v>-0.64400000000000002</v>
      </c>
      <c r="F99" s="16">
        <v>0.58199999999999996</v>
      </c>
      <c r="G99" s="16">
        <v>0.58199999999999996</v>
      </c>
      <c r="H99" s="16">
        <v>0.60199999999999998</v>
      </c>
      <c r="I99" s="16">
        <v>0.59799999999999998</v>
      </c>
      <c r="J99" s="16">
        <v>0.58199999999999996</v>
      </c>
    </row>
    <row r="100" spans="1:10" x14ac:dyDescent="0.3">
      <c r="B100" s="13" t="s">
        <v>171</v>
      </c>
      <c r="C100" s="16">
        <v>-0.38200000000000001</v>
      </c>
      <c r="D100" s="16">
        <v>-0.53100000000000003</v>
      </c>
      <c r="E100" s="16">
        <v>-0.64400000000000002</v>
      </c>
      <c r="F100" s="16">
        <v>0.40200000000000002</v>
      </c>
      <c r="G100" s="16">
        <v>1.02</v>
      </c>
      <c r="H100" s="16">
        <v>0.35399999999999998</v>
      </c>
      <c r="I100" s="16">
        <v>0.46700000000000003</v>
      </c>
      <c r="J100" s="16">
        <v>0.58199999999999996</v>
      </c>
    </row>
    <row r="101" spans="1:10" x14ac:dyDescent="0.3">
      <c r="B101" s="13" t="s">
        <v>172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</row>
    <row r="102" spans="1:10" x14ac:dyDescent="0.3">
      <c r="B102" s="13" t="s">
        <v>173</v>
      </c>
      <c r="C102" s="16">
        <v>-0.48699999999999999</v>
      </c>
      <c r="D102" s="16">
        <v>-0.48499999999999999</v>
      </c>
      <c r="E102" s="16">
        <v>-0.48399999999999999</v>
      </c>
      <c r="F102" s="16">
        <v>0.46899999999999997</v>
      </c>
      <c r="G102" s="16">
        <v>0.46899999999999997</v>
      </c>
      <c r="H102" s="16">
        <v>0.46600000000000003</v>
      </c>
      <c r="I102" s="16">
        <v>0.46500000000000002</v>
      </c>
      <c r="J102" s="16">
        <v>0.46899999999999997</v>
      </c>
    </row>
    <row r="103" spans="1:10" x14ac:dyDescent="0.3">
      <c r="B103" s="13" t="s">
        <v>174</v>
      </c>
      <c r="C103" s="16">
        <v>-9.4600000000000004E-2</v>
      </c>
      <c r="D103" s="16">
        <v>-0.17499999999999999</v>
      </c>
      <c r="E103" s="16">
        <v>-0.17599999999999999</v>
      </c>
      <c r="F103" s="16">
        <v>0.13800000000000001</v>
      </c>
      <c r="G103" s="16">
        <v>0.13800000000000001</v>
      </c>
      <c r="H103" s="16">
        <v>0.14399999999999999</v>
      </c>
      <c r="I103" s="16">
        <v>0.14199999999999999</v>
      </c>
      <c r="J103" s="16">
        <v>0.13800000000000001</v>
      </c>
    </row>
    <row r="104" spans="1:10" x14ac:dyDescent="0.3">
      <c r="B104" s="13" t="s">
        <v>175</v>
      </c>
      <c r="C104" s="16">
        <v>3.5900000000000001E-2</v>
      </c>
      <c r="D104" s="16">
        <v>2.4699999999999999E-4</v>
      </c>
      <c r="E104" s="16">
        <v>2.5099999999999998E-4</v>
      </c>
      <c r="F104" s="16">
        <v>6.0599999999999998E-4</v>
      </c>
      <c r="G104" s="16">
        <v>6.1600000000000001E-4</v>
      </c>
      <c r="H104" s="16">
        <v>2.4499999999999999E-4</v>
      </c>
      <c r="I104" s="16">
        <v>2.4399999999999999E-4</v>
      </c>
      <c r="J104" s="16">
        <v>6.0999999999999997E-4</v>
      </c>
    </row>
    <row r="105" spans="1:10" x14ac:dyDescent="0.3">
      <c r="B105" s="13" t="s">
        <v>176</v>
      </c>
      <c r="C105" s="16">
        <v>6.6E-4</v>
      </c>
      <c r="D105" s="16">
        <v>5.2399999999999998E-6</v>
      </c>
      <c r="E105" s="16">
        <v>5.0499999999999999E-6</v>
      </c>
      <c r="F105" s="16">
        <v>1.9099999999999999E-6</v>
      </c>
      <c r="G105" s="16">
        <v>1.3E-6</v>
      </c>
      <c r="H105" s="16">
        <v>5.1900000000000003E-6</v>
      </c>
      <c r="I105" s="16">
        <v>4.33E-6</v>
      </c>
      <c r="J105" s="16">
        <v>1.48E-6</v>
      </c>
    </row>
    <row r="106" spans="1:10" x14ac:dyDescent="0.3">
      <c r="B106" s="13" t="s">
        <v>177</v>
      </c>
      <c r="C106" s="16">
        <v>7.4099999999999999E-3</v>
      </c>
      <c r="D106" s="16">
        <v>5.2200000000000002E-5</v>
      </c>
      <c r="E106" s="16">
        <v>5.3199999999999999E-5</v>
      </c>
      <c r="F106" s="16">
        <v>1.3999999999999999E-4</v>
      </c>
      <c r="G106" s="16">
        <v>1.4200000000000001E-4</v>
      </c>
      <c r="H106" s="16">
        <v>5.66E-5</v>
      </c>
      <c r="I106" s="16">
        <v>5.63E-5</v>
      </c>
      <c r="J106" s="16">
        <v>1.4100000000000001E-4</v>
      </c>
    </row>
    <row r="107" spans="1:10" x14ac:dyDescent="0.3">
      <c r="B107" s="13" t="s">
        <v>178</v>
      </c>
      <c r="C107" s="16">
        <v>1.2099999999999999E-13</v>
      </c>
      <c r="D107" s="16">
        <v>2.9399999999999999E-16</v>
      </c>
      <c r="E107" s="16">
        <v>2.8699999999999998E-16</v>
      </c>
      <c r="F107" s="16">
        <v>4.4699999999999997E-15</v>
      </c>
      <c r="G107" s="16">
        <v>3.9700000000000002E-15</v>
      </c>
      <c r="H107" s="16">
        <v>1.2800000000000001E-16</v>
      </c>
      <c r="I107" s="16">
        <v>1.2500000000000001E-16</v>
      </c>
      <c r="J107" s="16">
        <v>4.2999999999999997E-15</v>
      </c>
    </row>
    <row r="108" spans="1:10" x14ac:dyDescent="0.3">
      <c r="B108" s="13" t="s">
        <v>179</v>
      </c>
      <c r="C108" s="16">
        <v>2.1599999999999999E-13</v>
      </c>
      <c r="D108" s="16">
        <v>5.4100000000000001E-16</v>
      </c>
      <c r="E108" s="16">
        <v>5.4100000000000001E-16</v>
      </c>
      <c r="F108" s="16">
        <v>8.0000000000000006E-15</v>
      </c>
      <c r="G108" s="16">
        <v>8.0000000000000006E-15</v>
      </c>
      <c r="H108" s="16">
        <v>2.2600000000000002E-16</v>
      </c>
      <c r="I108" s="16">
        <v>2.2600000000000002E-16</v>
      </c>
      <c r="J108" s="16">
        <v>8.0000000000000006E-15</v>
      </c>
    </row>
    <row r="109" spans="1:10" ht="31.2" customHeight="1" x14ac:dyDescent="0.3">
      <c r="B109" s="13" t="s">
        <v>199</v>
      </c>
      <c r="C109" s="16">
        <v>1520</v>
      </c>
      <c r="D109" s="16">
        <v>191000</v>
      </c>
      <c r="E109" s="16">
        <v>198000</v>
      </c>
      <c r="F109" s="16">
        <v>524000</v>
      </c>
      <c r="G109" s="16">
        <v>769000</v>
      </c>
      <c r="H109" s="16">
        <v>193000</v>
      </c>
      <c r="I109" s="16">
        <v>231000</v>
      </c>
      <c r="J109" s="16">
        <v>676000</v>
      </c>
    </row>
    <row r="110" spans="1:10" x14ac:dyDescent="0.3">
      <c r="B110" s="13" t="s">
        <v>181</v>
      </c>
      <c r="C110" s="16">
        <v>54.4</v>
      </c>
      <c r="D110" s="16">
        <v>47.1</v>
      </c>
      <c r="E110" s="16">
        <v>49.7</v>
      </c>
      <c r="F110" s="16">
        <v>317</v>
      </c>
      <c r="G110" s="16">
        <v>474</v>
      </c>
      <c r="H110" s="16">
        <v>47.2</v>
      </c>
      <c r="I110" s="16">
        <v>56.4</v>
      </c>
      <c r="J110" s="16">
        <v>412</v>
      </c>
    </row>
    <row r="111" spans="1:10" x14ac:dyDescent="0.3">
      <c r="A111" s="27"/>
      <c r="B111" s="28"/>
      <c r="C111" s="28"/>
      <c r="D111" s="28"/>
      <c r="E111" s="28"/>
      <c r="F111" s="28"/>
      <c r="G111" s="28"/>
      <c r="H111" s="28"/>
      <c r="I111" s="28"/>
    </row>
    <row r="112" spans="1:10" x14ac:dyDescent="0.3">
      <c r="B112" s="45" t="s">
        <v>137</v>
      </c>
      <c r="C112" s="45"/>
      <c r="D112" s="45"/>
      <c r="E112" s="45"/>
    </row>
    <row r="113" spans="2:8" x14ac:dyDescent="0.3">
      <c r="B113" s="10" t="s">
        <v>198</v>
      </c>
      <c r="C113" s="10" t="s">
        <v>200</v>
      </c>
      <c r="D113" s="10" t="s">
        <v>201</v>
      </c>
      <c r="E113" s="10" t="s">
        <v>202</v>
      </c>
    </row>
    <row r="114" spans="2:8" x14ac:dyDescent="0.3">
      <c r="B114" s="13" t="s">
        <v>130</v>
      </c>
      <c r="C114" s="15">
        <v>2500</v>
      </c>
      <c r="D114" s="15">
        <v>1515.15</v>
      </c>
      <c r="E114" s="33">
        <v>0.39</v>
      </c>
    </row>
    <row r="115" spans="2:8" x14ac:dyDescent="0.3">
      <c r="B115" s="13" t="s">
        <v>131</v>
      </c>
      <c r="C115" s="15">
        <v>0.02</v>
      </c>
      <c r="D115" s="15">
        <v>3.5900000000000001E-2</v>
      </c>
      <c r="E115" s="33">
        <v>0.33</v>
      </c>
    </row>
    <row r="116" spans="2:8" x14ac:dyDescent="0.3">
      <c r="B116" s="13" t="s">
        <v>125</v>
      </c>
      <c r="C116" s="15">
        <v>50</v>
      </c>
      <c r="D116" s="15">
        <v>54.39</v>
      </c>
      <c r="E116" s="33">
        <v>0.08</v>
      </c>
    </row>
    <row r="117" spans="2:8" x14ac:dyDescent="0.3">
      <c r="B117" s="13" t="s">
        <v>132</v>
      </c>
      <c r="C117" s="16">
        <v>10000</v>
      </c>
      <c r="D117" s="16">
        <v>7070</v>
      </c>
      <c r="E117" s="33">
        <v>0.28999999999999998</v>
      </c>
    </row>
    <row r="118" spans="2:8" x14ac:dyDescent="0.3">
      <c r="B118" s="13" t="s">
        <v>133</v>
      </c>
      <c r="C118" s="16">
        <v>10000000</v>
      </c>
      <c r="D118" s="16">
        <v>17950000</v>
      </c>
      <c r="E118" s="33">
        <v>0.44</v>
      </c>
    </row>
    <row r="119" spans="2:8" x14ac:dyDescent="0.3">
      <c r="B119" s="13" t="s">
        <v>134</v>
      </c>
      <c r="C119" s="16">
        <v>10000000</v>
      </c>
      <c r="D119" s="16">
        <v>7070000</v>
      </c>
      <c r="E119" s="33">
        <v>0.28999999999999998</v>
      </c>
    </row>
    <row r="120" spans="2:8" x14ac:dyDescent="0.3">
      <c r="B120" s="13" t="s">
        <v>135</v>
      </c>
      <c r="C120" s="16">
        <v>80000</v>
      </c>
      <c r="D120" s="16">
        <v>104040</v>
      </c>
      <c r="E120" s="33">
        <v>0.23</v>
      </c>
    </row>
    <row r="121" spans="2:8" x14ac:dyDescent="0.3">
      <c r="B121" s="13" t="s">
        <v>136</v>
      </c>
      <c r="C121" s="16">
        <v>2.5000000000000001E-4</v>
      </c>
      <c r="D121" s="16">
        <v>2.5000000000000001E-4</v>
      </c>
      <c r="E121" s="33">
        <v>0.01</v>
      </c>
    </row>
    <row r="123" spans="2:8" x14ac:dyDescent="0.3">
      <c r="B123" s="45" t="s">
        <v>150</v>
      </c>
      <c r="C123" s="45"/>
      <c r="D123" s="45"/>
      <c r="E123" s="45"/>
      <c r="F123" s="45"/>
      <c r="G123" s="45"/>
      <c r="H123" s="45"/>
    </row>
    <row r="124" spans="2:8" x14ac:dyDescent="0.3">
      <c r="B124" s="11" t="s">
        <v>182</v>
      </c>
      <c r="C124" s="11" t="s">
        <v>183</v>
      </c>
      <c r="D124" s="11" t="s">
        <v>184</v>
      </c>
      <c r="E124" s="11" t="s">
        <v>185</v>
      </c>
      <c r="F124" s="11" t="s">
        <v>186</v>
      </c>
      <c r="G124" s="11" t="s">
        <v>187</v>
      </c>
      <c r="H124" s="10" t="s">
        <v>148</v>
      </c>
    </row>
    <row r="125" spans="2:8" x14ac:dyDescent="0.3">
      <c r="B125" s="11" t="s">
        <v>188</v>
      </c>
      <c r="C125" s="11" t="s">
        <v>189</v>
      </c>
      <c r="D125" s="11">
        <v>0.38200000000000001</v>
      </c>
      <c r="E125" s="11">
        <v>0.53100000000000003</v>
      </c>
      <c r="F125" s="14">
        <v>0.48699999999999999</v>
      </c>
      <c r="G125" s="14">
        <v>4.3999999999999997E-2</v>
      </c>
      <c r="H125" s="17" t="s">
        <v>149</v>
      </c>
    </row>
    <row r="126" spans="2:8" x14ac:dyDescent="0.3">
      <c r="B126" s="11" t="s">
        <v>190</v>
      </c>
      <c r="C126" s="14" t="s">
        <v>189</v>
      </c>
      <c r="D126" s="14">
        <v>0.53100000000000003</v>
      </c>
      <c r="E126" s="14">
        <v>0.64400000000000002</v>
      </c>
      <c r="F126" s="14">
        <v>0.48499999999999999</v>
      </c>
      <c r="G126" s="14">
        <v>0.159</v>
      </c>
      <c r="H126" s="17" t="s">
        <v>149</v>
      </c>
    </row>
    <row r="127" spans="2:8" x14ac:dyDescent="0.3">
      <c r="B127" s="11" t="s">
        <v>191</v>
      </c>
      <c r="C127" s="14" t="s">
        <v>189</v>
      </c>
      <c r="D127" s="14">
        <v>0.64400000000000002</v>
      </c>
      <c r="E127" s="14">
        <v>0.64400000000000002</v>
      </c>
      <c r="F127" s="14">
        <v>0.48399999999999999</v>
      </c>
      <c r="G127" s="14">
        <v>0.16</v>
      </c>
      <c r="H127" s="17" t="s">
        <v>149</v>
      </c>
    </row>
    <row r="128" spans="2:8" x14ac:dyDescent="0.3">
      <c r="B128" s="11" t="s">
        <v>192</v>
      </c>
      <c r="C128" s="14" t="s">
        <v>193</v>
      </c>
      <c r="D128" s="14">
        <v>0.35399999999999998</v>
      </c>
      <c r="E128" s="14">
        <v>0.60199999999999998</v>
      </c>
      <c r="F128" s="14">
        <v>0.46600000000000003</v>
      </c>
      <c r="G128" s="14">
        <v>0.13600000000000001</v>
      </c>
      <c r="H128" s="17" t="s">
        <v>149</v>
      </c>
    </row>
    <row r="129" spans="2:8" x14ac:dyDescent="0.3">
      <c r="B129" s="11" t="s">
        <v>194</v>
      </c>
      <c r="C129" s="14" t="s">
        <v>193</v>
      </c>
      <c r="D129" s="14">
        <v>0.46700000000000003</v>
      </c>
      <c r="E129" s="14">
        <v>0.59799999999999998</v>
      </c>
      <c r="F129" s="14">
        <v>0.46500000000000002</v>
      </c>
      <c r="G129" s="14">
        <v>0.13300000000000001</v>
      </c>
      <c r="H129" s="17" t="s">
        <v>149</v>
      </c>
    </row>
    <row r="130" spans="2:8" x14ac:dyDescent="0.3">
      <c r="B130" s="11" t="s">
        <v>195</v>
      </c>
      <c r="C130" s="14" t="s">
        <v>193</v>
      </c>
      <c r="D130" s="14">
        <v>0.40200000000000002</v>
      </c>
      <c r="E130" s="14">
        <v>0.58199999999999996</v>
      </c>
      <c r="F130" s="14">
        <v>0.46899999999999997</v>
      </c>
      <c r="G130" s="14">
        <v>0.113</v>
      </c>
      <c r="H130" s="17" t="s">
        <v>149</v>
      </c>
    </row>
    <row r="131" spans="2:8" x14ac:dyDescent="0.3">
      <c r="B131" s="11" t="s">
        <v>196</v>
      </c>
      <c r="C131" s="14" t="s">
        <v>193</v>
      </c>
      <c r="D131" s="14">
        <v>0.58199999999999996</v>
      </c>
      <c r="E131" s="14">
        <v>0.58199999999999996</v>
      </c>
      <c r="F131" s="14">
        <v>0.46899999999999997</v>
      </c>
      <c r="G131" s="14">
        <v>0.113</v>
      </c>
      <c r="H131" s="17" t="s">
        <v>149</v>
      </c>
    </row>
    <row r="132" spans="2:8" x14ac:dyDescent="0.3">
      <c r="B132" s="11" t="s">
        <v>197</v>
      </c>
      <c r="C132" s="14" t="s">
        <v>193</v>
      </c>
      <c r="D132" s="14">
        <v>1.02</v>
      </c>
      <c r="E132" s="14">
        <v>0.58199999999999996</v>
      </c>
      <c r="F132" s="14">
        <v>0.46899999999999997</v>
      </c>
      <c r="G132" s="14">
        <v>0.113</v>
      </c>
      <c r="H132" s="17" t="s">
        <v>149</v>
      </c>
    </row>
  </sheetData>
  <mergeCells count="11">
    <mergeCell ref="A24:B24"/>
    <mergeCell ref="A17:B17"/>
    <mergeCell ref="A18:B18"/>
    <mergeCell ref="A19:B19"/>
    <mergeCell ref="A20:B20"/>
    <mergeCell ref="A21:B21"/>
    <mergeCell ref="B29:D29"/>
    <mergeCell ref="B28:D28"/>
    <mergeCell ref="B95:J95"/>
    <mergeCell ref="B112:E112"/>
    <mergeCell ref="B123:H123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EXTERNAL(HEAVY)</vt:lpstr>
      <vt:lpstr>EXTERNAL(LIGHT)</vt:lpstr>
      <vt:lpstr>INTERNAL(HEAVY LOAD)</vt:lpstr>
      <vt:lpstr>INTERNAL(LIGHT LOAD)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Ratndeep Srivastava</dc:creator>
  <cp:lastModifiedBy>Tushar Katole</cp:lastModifiedBy>
  <dcterms:created xsi:type="dcterms:W3CDTF">2024-02-28T13:57:48Z</dcterms:created>
  <dcterms:modified xsi:type="dcterms:W3CDTF">2024-12-09T07:42:16Z</dcterms:modified>
</cp:coreProperties>
</file>