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500" windowWidth="20430" windowHeight="7130" activeTab="2"/>
  </bookViews>
  <sheets>
    <sheet name="Лист1" sheetId="6" r:id="rId1"/>
    <sheet name="Лист2" sheetId="7" r:id="rId2"/>
    <sheet name="Автоматизированный расчет" sheetId="3" r:id="rId3"/>
    <sheet name="Соответствие" sheetId="4" r:id="rId4"/>
    <sheet name="SummaryReport" sheetId="5" r:id="rId5"/>
    <sheet name="Результаты всех тестов" sheetId="2" r:id="rId6"/>
  </sheets>
  <definedNames>
    <definedName name="_xlnm._FilterDatabase" localSheetId="2" hidden="1">'Автоматизированный расчет'!$A$1:$J$31</definedName>
  </definedNames>
  <calcPr calcId="124519"/>
  <pivotCaches>
    <pivotCache cacheId="339" r:id="rId7"/>
    <pivotCache cacheId="628" r:id="rId8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3"/>
  <c r="U8" s="1"/>
  <c r="Q2"/>
  <c r="Q7"/>
  <c r="Q5"/>
  <c r="Q6"/>
  <c r="G33"/>
  <c r="D33"/>
  <c r="E31" l="1"/>
  <c r="F31" s="1"/>
  <c r="E27"/>
  <c r="F27" s="1"/>
  <c r="D3"/>
  <c r="G3"/>
  <c r="D4"/>
  <c r="G4"/>
  <c r="D5"/>
  <c r="G5"/>
  <c r="D6"/>
  <c r="G6"/>
  <c r="D7"/>
  <c r="G7"/>
  <c r="D8"/>
  <c r="G8"/>
  <c r="D9"/>
  <c r="G9"/>
  <c r="D10"/>
  <c r="E10"/>
  <c r="F10" s="1"/>
  <c r="G10"/>
  <c r="D11"/>
  <c r="E11"/>
  <c r="F11" s="1"/>
  <c r="G11"/>
  <c r="D12"/>
  <c r="E12"/>
  <c r="F12" s="1"/>
  <c r="G12"/>
  <c r="D13"/>
  <c r="E13"/>
  <c r="F13" s="1"/>
  <c r="G13"/>
  <c r="D14"/>
  <c r="E14"/>
  <c r="F14" s="1"/>
  <c r="G14"/>
  <c r="D15"/>
  <c r="E15"/>
  <c r="F15" s="1"/>
  <c r="G15"/>
  <c r="D16"/>
  <c r="E16"/>
  <c r="F16" s="1"/>
  <c r="G16"/>
  <c r="D17"/>
  <c r="E17"/>
  <c r="F17" s="1"/>
  <c r="G17"/>
  <c r="D18"/>
  <c r="E18"/>
  <c r="F18" s="1"/>
  <c r="G18"/>
  <c r="D19"/>
  <c r="E19"/>
  <c r="F19" s="1"/>
  <c r="G19"/>
  <c r="D20"/>
  <c r="G20"/>
  <c r="D21"/>
  <c r="G21"/>
  <c r="D22"/>
  <c r="G22"/>
  <c r="D23"/>
  <c r="G23"/>
  <c r="D24"/>
  <c r="G24"/>
  <c r="D25"/>
  <c r="G25"/>
  <c r="D26"/>
  <c r="G26"/>
  <c r="D27"/>
  <c r="G27"/>
  <c r="D28"/>
  <c r="G28"/>
  <c r="D29"/>
  <c r="G29"/>
  <c r="D30"/>
  <c r="G30"/>
  <c r="D31"/>
  <c r="G31"/>
  <c r="D32"/>
  <c r="G32"/>
  <c r="E30" l="1"/>
  <c r="F30" s="1"/>
  <c r="H30" s="1"/>
  <c r="E29"/>
  <c r="F29" s="1"/>
  <c r="H29" s="1"/>
  <c r="E32"/>
  <c r="F32" s="1"/>
  <c r="H32" s="1"/>
  <c r="E23"/>
  <c r="F23" s="1"/>
  <c r="H23" s="1"/>
  <c r="E24"/>
  <c r="F24" s="1"/>
  <c r="H24" s="1"/>
  <c r="E26"/>
  <c r="F26" s="1"/>
  <c r="H26" s="1"/>
  <c r="E25"/>
  <c r="F25" s="1"/>
  <c r="H25" s="1"/>
  <c r="E28"/>
  <c r="F28" s="1"/>
  <c r="H28" s="1"/>
  <c r="H16"/>
  <c r="H18"/>
  <c r="H14"/>
  <c r="H10"/>
  <c r="H12"/>
  <c r="H19"/>
  <c r="H17"/>
  <c r="H15"/>
  <c r="H13"/>
  <c r="H11"/>
  <c r="H31"/>
  <c r="H27"/>
  <c r="P3"/>
  <c r="P4"/>
  <c r="P5"/>
  <c r="P6"/>
  <c r="P7"/>
  <c r="P2"/>
  <c r="E20" l="1"/>
  <c r="F20" s="1"/>
  <c r="H20" s="1"/>
  <c r="E21"/>
  <c r="F21" s="1"/>
  <c r="H21" s="1"/>
  <c r="E33"/>
  <c r="F33" s="1"/>
  <c r="H33" s="1"/>
  <c r="E22"/>
  <c r="F22" s="1"/>
  <c r="H22" s="1"/>
  <c r="E6"/>
  <c r="F6" s="1"/>
  <c r="H6" s="1"/>
  <c r="R20"/>
  <c r="R21"/>
  <c r="R17"/>
  <c r="Q3"/>
  <c r="R16"/>
  <c r="R18"/>
  <c r="Q4"/>
  <c r="R19"/>
  <c r="E2"/>
  <c r="E7" l="1"/>
  <c r="F7" s="1"/>
  <c r="H7" s="1"/>
  <c r="E3"/>
  <c r="F3" s="1"/>
  <c r="H3" s="1"/>
  <c r="E9"/>
  <c r="F9" s="1"/>
  <c r="H9" s="1"/>
  <c r="E4"/>
  <c r="F4" s="1"/>
  <c r="H4" s="1"/>
  <c r="E5"/>
  <c r="F5" s="1"/>
  <c r="H5" s="1"/>
  <c r="E8"/>
  <c r="F8" s="1"/>
  <c r="H8" s="1"/>
  <c r="D40"/>
  <c r="G2" l="1"/>
  <c r="W2"/>
  <c r="D64" l="1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63"/>
  <c r="E63" s="1"/>
  <c r="D54"/>
  <c r="G40" l="1"/>
  <c r="B54"/>
  <c r="F54" s="1"/>
  <c r="B55"/>
  <c r="B56"/>
  <c r="B57"/>
  <c r="B58"/>
  <c r="C64" l="1"/>
  <c r="G64" s="1"/>
  <c r="C68"/>
  <c r="G68" s="1"/>
  <c r="C63"/>
  <c r="G63" s="1"/>
  <c r="C67"/>
  <c r="G67" s="1"/>
  <c r="C66"/>
  <c r="G66" s="1"/>
  <c r="C65"/>
  <c r="G65" s="1"/>
  <c r="C69"/>
  <c r="G69" s="1"/>
  <c r="A3" i="4"/>
  <c r="A4"/>
  <c r="A5"/>
  <c r="A6"/>
  <c r="A7"/>
  <c r="A8"/>
  <c r="A9"/>
  <c r="A10"/>
  <c r="A11"/>
  <c r="A12"/>
  <c r="A13"/>
  <c r="A2"/>
  <c r="F38" i="3" s="1"/>
  <c r="H38" s="1"/>
  <c r="F49" l="1"/>
  <c r="F41"/>
  <c r="H41" s="1"/>
  <c r="F47"/>
  <c r="F42"/>
  <c r="H42" s="1"/>
  <c r="F48"/>
  <c r="F43"/>
  <c r="H43" s="1"/>
  <c r="F39"/>
  <c r="H39" s="1"/>
  <c r="F46"/>
  <c r="H46" s="1"/>
  <c r="F45"/>
  <c r="H45" s="1"/>
  <c r="F44"/>
  <c r="H44" s="1"/>
  <c r="F40"/>
  <c r="H40" s="1"/>
  <c r="F2"/>
  <c r="D2"/>
  <c r="S7"/>
  <c r="D55"/>
  <c r="D56"/>
  <c r="H56" s="1"/>
  <c r="D57"/>
  <c r="H57" s="1"/>
  <c r="D58"/>
  <c r="C38"/>
  <c r="C39"/>
  <c r="C48"/>
  <c r="C44"/>
  <c r="C42"/>
  <c r="C46"/>
  <c r="C47"/>
  <c r="C45"/>
  <c r="C43"/>
  <c r="C49"/>
  <c r="C41"/>
  <c r="G44" l="1"/>
  <c r="G42"/>
  <c r="G39"/>
  <c r="G45"/>
  <c r="G46"/>
  <c r="I46" s="1"/>
  <c r="G43"/>
  <c r="G47"/>
  <c r="I47" s="1"/>
  <c r="G49"/>
  <c r="G38"/>
  <c r="G48"/>
  <c r="I48" s="1"/>
  <c r="G41"/>
  <c r="H2"/>
  <c r="F58"/>
  <c r="F56"/>
  <c r="F57"/>
  <c r="G54"/>
  <c r="H54" s="1"/>
  <c r="I57"/>
  <c r="F55"/>
  <c r="I56"/>
  <c r="B50"/>
  <c r="C81" l="1"/>
  <c r="G81" s="1"/>
  <c r="C84"/>
  <c r="G84" s="1"/>
  <c r="C80"/>
  <c r="G80" s="1"/>
  <c r="C82"/>
  <c r="G82" s="1"/>
  <c r="C79"/>
  <c r="G79" s="1"/>
  <c r="C83"/>
  <c r="G83" s="1"/>
  <c r="C78"/>
  <c r="G78" s="1"/>
  <c r="G58"/>
  <c r="C85"/>
  <c r="G85" s="1"/>
  <c r="C86"/>
  <c r="G86" s="1"/>
  <c r="C88"/>
  <c r="G88" s="1"/>
  <c r="C87"/>
  <c r="G87" s="1"/>
  <c r="G55"/>
  <c r="C72"/>
  <c r="G72" s="1"/>
  <c r="C70"/>
  <c r="G70" s="1"/>
  <c r="C71"/>
  <c r="G71" s="1"/>
  <c r="C73"/>
  <c r="G73" s="1"/>
  <c r="C77"/>
  <c r="G77" s="1"/>
  <c r="C74"/>
  <c r="G74" s="1"/>
  <c r="C76"/>
  <c r="G76" s="1"/>
  <c r="C75"/>
  <c r="G75" s="1"/>
  <c r="H58"/>
  <c r="I58" s="1"/>
  <c r="H55"/>
  <c r="I55" s="1"/>
  <c r="I54"/>
  <c r="D47"/>
  <c r="D38"/>
  <c r="D48"/>
  <c r="D49"/>
  <c r="G59" l="1"/>
  <c r="V6"/>
  <c r="V5"/>
  <c r="V3"/>
  <c r="V7"/>
  <c r="V4"/>
  <c r="V2"/>
  <c r="S2"/>
  <c r="U2" s="1"/>
  <c r="S6"/>
  <c r="S3"/>
  <c r="U3" s="1"/>
  <c r="V8" l="1"/>
  <c r="S5"/>
  <c r="U5" s="1"/>
  <c r="S4"/>
  <c r="U4" s="1"/>
  <c r="I38"/>
  <c r="D39"/>
  <c r="U6"/>
  <c r="I41"/>
  <c r="D42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 s="1"/>
  <c r="C50" i="3" l="1"/>
  <c r="I49" s="1"/>
  <c r="D45"/>
  <c r="I44"/>
  <c r="I45"/>
  <c r="D46"/>
  <c r="I39"/>
  <c r="D41"/>
  <c r="I42"/>
  <c r="D43"/>
  <c r="D44"/>
  <c r="I43"/>
  <c r="I40" i="2"/>
  <c r="I44"/>
  <c r="I41"/>
  <c r="I32"/>
  <c r="I31"/>
  <c r="I30"/>
  <c r="I29"/>
  <c r="I28"/>
  <c r="I27"/>
  <c r="I26"/>
  <c r="D50" i="3" l="1"/>
</calcChain>
</file>

<file path=xl/sharedStrings.xml><?xml version="1.0" encoding="utf-8"?>
<sst xmlns="http://schemas.openxmlformats.org/spreadsheetml/2006/main" count="379" uniqueCount="132">
  <si>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</si>
  <si>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</si>
  <si>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</si>
  <si>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</si>
  <si>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</si>
  <si>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</si>
  <si>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</si>
  <si>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Покупка билета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</si>
  <si>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</si>
  <si>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</si>
  <si>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</si>
  <si>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</si>
  <si>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</si>
  <si>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</si>
  <si>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</si>
  <si>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</si>
  <si>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</si>
  <si>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</si>
  <si>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</si>
  <si>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</si>
  <si>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</si>
  <si>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</si>
  <si>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</si>
  <si>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</si>
  <si>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</si>
  <si>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</si>
  <si>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</si>
  <si>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</si>
  <si>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</si>
  <si>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</si>
  <si>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</si>
  <si>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</si>
  <si>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</si>
  <si>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</si>
  <si>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</si>
  <si>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</si>
  <si>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</si>
  <si>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</si>
  <si>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</si>
  <si>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</si>
  <si>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</si>
  <si>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</si>
  <si>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</si>
  <si>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</si>
  <si>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</si>
  <si>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</si>
  <si>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</si>
  <si>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</si>
  <si>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</si>
  <si>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</si>
  <si>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</si>
  <si>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</si>
  <si>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</si>
  <si>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</si>
  <si>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</si>
  <si>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</si>
  <si>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</si>
  <si>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</si>
  <si>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</si>
  <si>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</si>
  <si>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</si>
  <si>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</si>
  <si>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</si>
  <si>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</si>
  <si>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</si>
  <si>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</si>
  <si>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</si>
  <si>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</si>
  <si>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</si>
  <si>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</si>
  <si>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</si>
  <si>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</si>
  <si>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</si>
  <si>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</si>
  <si>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</si>
  <si>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</si>
  <si>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</si>
  <si>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</si>
  <si>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</si>
  <si>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</si>
  <si>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</si>
  <si>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</si>
  <si>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</si>
  <si>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</si>
  <si>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</si>
  <si>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</si>
  <si>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</si>
  <si>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</si>
  <si>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</si>
  <si>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</si>
  <si>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</si>
  <si>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</si>
  <si>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</si>
  <si>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</si>
  <si>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</si>
  <si>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browsingItenerary</t>
  </si>
  <si>
    <t>CancelingFlight</t>
  </si>
  <si>
    <t>choseFlightTime</t>
  </si>
  <si>
    <t>continueButtonClick</t>
  </si>
  <si>
    <t>flightsBottonClick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</si>
  <si>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</si>
  <si>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</si>
  <si>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</si>
  <si>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</si>
  <si>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</si>
  <si>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</si>
  <si>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</si>
  <si>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</si>
  <si>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</si>
  <si>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</si>
  <si>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</si>
  <si>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Login</t>
  </si>
  <si>
    <t>Open_start_page</t>
  </si>
  <si>
    <t>LogIn</t>
  </si>
  <si>
    <t>LogOut</t>
  </si>
  <si>
    <t>Search_tour_without_pay</t>
  </si>
  <si>
    <t>Open_search_tour</t>
  </si>
  <si>
    <t>Search_tour_round-trip</t>
  </si>
  <si>
    <t>Select_flight</t>
  </si>
  <si>
    <t>Buy_tour</t>
  </si>
  <si>
    <t>Booking_payment</t>
  </si>
  <si>
    <t>List_reservetion_tour</t>
  </si>
  <si>
    <t>Open_booking_list</t>
  </si>
  <si>
    <t>Delete_tour</t>
  </si>
  <si>
    <t>Delete_flight</t>
  </si>
  <si>
    <t>Regisration</t>
  </si>
  <si>
    <t>Registration</t>
  </si>
  <si>
    <t>Input_data</t>
  </si>
  <si>
    <t>Personal_Account</t>
  </si>
  <si>
    <t>Длительность ступени 20 мин</t>
  </si>
  <si>
    <t>Summ by Итого</t>
  </si>
  <si>
    <t>transaction name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</si>
</sst>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6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0" borderId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6" applyNumberFormat="0" applyAlignment="0" applyProtection="0"/>
    <xf numFmtId="0" fontId="17" fillId="7" borderId="7" applyNumberFormat="0" applyAlignment="0" applyProtection="0"/>
    <xf numFmtId="0" fontId="18" fillId="7" borderId="6" applyNumberFormat="0" applyAlignment="0" applyProtection="0"/>
    <xf numFmtId="0" fontId="19" fillId="0" borderId="8" applyNumberFormat="0" applyFill="0" applyAlignment="0" applyProtection="0"/>
    <xf numFmtId="0" fontId="20" fillId="8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" fillId="0" borderId="11" applyNumberFormat="0" applyFill="0" applyAlignment="0" applyProtection="0"/>
    <xf numFmtId="0" fontId="2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4" fillId="0" borderId="0" applyFont="0" applyFill="0" applyBorder="0" applyAlignment="0" applyProtection="0"/>
    <xf numFmtId="0" fontId="1" fillId="0" borderId="0"/>
    <xf numFmtId="0" fontId="26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3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33" borderId="0" applyNumberFormat="0" applyBorder="0" applyAlignment="0" applyProtection="0"/>
  </cellStyleXfs>
  <cellXfs count="87">
    <xf numFmtId="0" fontId="0" fillId="0" borderId="0" xfId="0"/>
    <xf numFmtId="0" fontId="9" fillId="5" borderId="1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left" vertical="top" wrapText="1"/>
    </xf>
    <xf numFmtId="0" fontId="8" fillId="0" borderId="2" xfId="4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0" fontId="9" fillId="0" borderId="2" xfId="0" applyNumberFormat="1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left" vertical="top"/>
    </xf>
    <xf numFmtId="0" fontId="9" fillId="5" borderId="2" xfId="0" applyFont="1" applyFill="1" applyBorder="1" applyAlignment="1">
      <alignment horizontal="left" vertical="top"/>
    </xf>
    <xf numFmtId="0" fontId="2" fillId="0" borderId="2" xfId="42" applyBorder="1"/>
    <xf numFmtId="0" fontId="9" fillId="0" borderId="2" xfId="0" applyFont="1" applyBorder="1" applyAlignment="1">
      <alignment horizontal="left" vertical="top"/>
    </xf>
    <xf numFmtId="10" fontId="9" fillId="0" borderId="2" xfId="0" applyNumberFormat="1" applyFont="1" applyBorder="1" applyAlignment="1">
      <alignment horizontal="left" vertical="top"/>
    </xf>
    <xf numFmtId="0" fontId="8" fillId="0" borderId="2" xfId="4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0" fontId="25" fillId="0" borderId="0" xfId="0" applyFont="1"/>
    <xf numFmtId="1" fontId="25" fillId="0" borderId="0" xfId="0" applyNumberFormat="1" applyFont="1"/>
    <xf numFmtId="9" fontId="0" fillId="0" borderId="2" xfId="44" applyFont="1" applyBorder="1"/>
    <xf numFmtId="9" fontId="0" fillId="38" borderId="2" xfId="44" applyFont="1" applyFill="1" applyBorder="1"/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9" fontId="0" fillId="0" borderId="0" xfId="0" applyNumberFormat="1" applyFont="1"/>
    <xf numFmtId="1" fontId="0" fillId="35" borderId="2" xfId="0" applyNumberFormat="1" applyFill="1" applyBorder="1"/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9" fontId="0" fillId="0" borderId="0" xfId="44" applyFont="1" applyBorder="1"/>
    <xf numFmtId="0" fontId="4" fillId="0" borderId="0" xfId="0" applyFont="1" applyBorder="1" applyAlignment="1">
      <alignment vertical="center" wrapText="1"/>
    </xf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37" borderId="13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1" fillId="0" borderId="0" xfId="45"/>
    <xf numFmtId="0" fontId="0" fillId="42" borderId="0" xfId="0" applyFill="1"/>
    <xf numFmtId="0" fontId="0" fillId="40" borderId="20" xfId="0" applyFill="1" applyBorder="1"/>
    <xf numFmtId="0" fontId="0" fillId="40" borderId="19" xfId="0" applyFill="1" applyBorder="1"/>
    <xf numFmtId="1" fontId="0" fillId="37" borderId="20" xfId="0" applyNumberFormat="1" applyFill="1" applyBorder="1"/>
    <xf numFmtId="0" fontId="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0" fillId="0" borderId="2" xfId="0" applyBorder="1"/>
    <xf numFmtId="2" fontId="0" fillId="0" borderId="2" xfId="0" applyNumberFormat="1" applyBorder="1"/>
    <xf numFmtId="1" fontId="0" fillId="0" borderId="2" xfId="0" applyNumberFormat="1" applyBorder="1"/>
    <xf numFmtId="0" fontId="27" fillId="0" borderId="2" xfId="0" pivotButton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0" fillId="0" borderId="0" xfId="0" applyFill="1"/>
    <xf numFmtId="0" fontId="0" fillId="37" borderId="20" xfId="0" applyFill="1" applyBorder="1" applyAlignment="1">
      <alignment horizontal="right"/>
    </xf>
    <xf numFmtId="0" fontId="0" fillId="37" borderId="2" xfId="0" applyFill="1" applyBorder="1" applyAlignment="1">
      <alignment horizontal="right"/>
    </xf>
    <xf numFmtId="2" fontId="0" fillId="0" borderId="20" xfId="0" applyNumberFormat="1" applyFill="1" applyBorder="1"/>
    <xf numFmtId="0" fontId="0" fillId="44" borderId="2" xfId="0" applyFill="1" applyBorder="1"/>
    <xf numFmtId="0" fontId="0" fillId="44" borderId="19" xfId="0" applyFill="1" applyBorder="1"/>
    <xf numFmtId="0" fontId="0" fillId="0" borderId="2" xfId="0" applyFont="1" applyBorder="1" applyAlignment="1">
      <alignment vertical="center" wrapText="1"/>
    </xf>
    <xf numFmtId="1" fontId="0" fillId="0" borderId="2" xfId="0" applyNumberFormat="1" applyFont="1" applyBorder="1"/>
    <xf numFmtId="0" fontId="0" fillId="0" borderId="12" xfId="0" applyFont="1" applyBorder="1" applyAlignment="1">
      <alignment wrapText="1"/>
    </xf>
    <xf numFmtId="0" fontId="0" fillId="0" borderId="12" xfId="0" applyFont="1" applyBorder="1"/>
    <xf numFmtId="1" fontId="0" fillId="36" borderId="2" xfId="0" applyNumberFormat="1" applyFont="1" applyFill="1" applyBorder="1"/>
    <xf numFmtId="0" fontId="0" fillId="40" borderId="0" xfId="0" applyFont="1" applyFill="1"/>
    <xf numFmtId="0" fontId="0" fillId="0" borderId="2" xfId="0" applyFont="1" applyFill="1" applyBorder="1"/>
    <xf numFmtId="0" fontId="29" fillId="0" borderId="18" xfId="0" applyFont="1" applyFill="1" applyBorder="1" applyAlignment="1">
      <alignment horizontal="center" vertical="center" wrapText="1"/>
    </xf>
    <xf numFmtId="0" fontId="30" fillId="0" borderId="17" xfId="0" applyFont="1" applyFill="1" applyBorder="1" applyAlignment="1">
      <alignment horizontal="left" vertical="center" wrapText="1"/>
    </xf>
    <xf numFmtId="0" fontId="30" fillId="0" borderId="21" xfId="0" applyFont="1" applyFill="1" applyBorder="1" applyAlignment="1">
      <alignment horizontal="center" vertical="center" wrapText="1"/>
    </xf>
    <xf numFmtId="1" fontId="30" fillId="0" borderId="2" xfId="0" applyNumberFormat="1" applyFont="1" applyBorder="1" applyAlignment="1">
      <alignment horizontal="center" vertical="center" wrapText="1"/>
    </xf>
    <xf numFmtId="0" fontId="8" fillId="0" borderId="16" xfId="0" applyFont="1" applyFill="1" applyBorder="1" applyAlignment="1">
      <alignment vertical="center" wrapText="1"/>
    </xf>
    <xf numFmtId="0" fontId="8" fillId="0" borderId="18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43" borderId="2" xfId="0" applyFont="1" applyFill="1" applyBorder="1" applyAlignment="1">
      <alignment vertical="center" wrapText="1"/>
    </xf>
    <xf numFmtId="0" fontId="0" fillId="0" borderId="0" xfId="0" applyFill="1" applyBorder="1"/>
    <xf numFmtId="1" fontId="0" fillId="0" borderId="0" xfId="0" applyNumberFormat="1" applyFill="1" applyBorder="1"/>
    <xf numFmtId="9" fontId="27" fillId="44" borderId="2" xfId="44" applyFont="1" applyFill="1" applyBorder="1"/>
    <xf numFmtId="0" fontId="0" fillId="0" borderId="20" xfId="0" applyBorder="1"/>
    <xf numFmtId="2" fontId="0" fillId="0" borderId="20" xfId="0" applyNumberFormat="1" applyBorder="1"/>
    <xf numFmtId="1" fontId="0" fillId="0" borderId="20" xfId="0" applyNumberFormat="1" applyBorder="1"/>
    <xf numFmtId="0" fontId="8" fillId="0" borderId="2" xfId="0" applyFont="1" applyBorder="1" applyAlignment="1">
      <alignment horizontal="center" vertical="center"/>
    </xf>
    <xf numFmtId="0" fontId="8" fillId="41" borderId="14" xfId="0" applyFont="1" applyFill="1" applyBorder="1" applyAlignment="1">
      <alignment horizontal="center"/>
    </xf>
    <xf numFmtId="0" fontId="8" fillId="41" borderId="15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44" borderId="0" xfId="0" applyFill="1"/>
  </cellXfs>
  <cellStyles count="66">
    <cellStyle name="20% - Акцент1" xfId="19" builtinId="30" customBuiltin="1"/>
    <cellStyle name="20% — акцент1 2" xfId="48"/>
    <cellStyle name="20% - Акцент2" xfId="23" builtinId="34" customBuiltin="1"/>
    <cellStyle name="20% — акцент2 2" xfId="51"/>
    <cellStyle name="20% - Акцент3" xfId="27" builtinId="38" customBuiltin="1"/>
    <cellStyle name="20% — акцент3 2" xfId="54"/>
    <cellStyle name="20% - Акцент4" xfId="31" builtinId="42" customBuiltin="1"/>
    <cellStyle name="20% — акцент4 2" xfId="57"/>
    <cellStyle name="20% - Акцент5" xfId="35" builtinId="46" customBuiltin="1"/>
    <cellStyle name="20% — акцент5 2" xfId="60"/>
    <cellStyle name="20% - Акцент6" xfId="39" builtinId="50" customBuiltin="1"/>
    <cellStyle name="20% — акцент6 2" xfId="63"/>
    <cellStyle name="40% - Акцент1" xfId="20" builtinId="31" customBuiltin="1"/>
    <cellStyle name="40% — акцент1 2" xfId="49"/>
    <cellStyle name="40% - Акцент2" xfId="24" builtinId="35" customBuiltin="1"/>
    <cellStyle name="40% — акцент2 2" xfId="52"/>
    <cellStyle name="40% - Акцент3" xfId="28" builtinId="39" customBuiltin="1"/>
    <cellStyle name="40% — акцент3 2" xfId="55"/>
    <cellStyle name="40% - Акцент4" xfId="32" builtinId="43" customBuiltin="1"/>
    <cellStyle name="40% — акцент4 2" xfId="58"/>
    <cellStyle name="40% - Акцент5" xfId="36" builtinId="47" customBuiltin="1"/>
    <cellStyle name="40% — акцент5 2" xfId="61"/>
    <cellStyle name="40% - Акцент6" xfId="40" builtinId="51" customBuiltin="1"/>
    <cellStyle name="40% — акцент6 2" xfId="64"/>
    <cellStyle name="60% - Акцент1" xfId="21" builtinId="32" customBuiltin="1"/>
    <cellStyle name="60% — акцент1 2" xfId="50"/>
    <cellStyle name="60% - Акцент2" xfId="25" builtinId="36" customBuiltin="1"/>
    <cellStyle name="60% — акцент2 2" xfId="53"/>
    <cellStyle name="60% - Акцент3" xfId="29" builtinId="40" customBuiltin="1"/>
    <cellStyle name="60% — акцент3 2" xfId="56"/>
    <cellStyle name="60% - Акцент4" xfId="33" builtinId="44" customBuiltin="1"/>
    <cellStyle name="60% — акцент4 2" xfId="59"/>
    <cellStyle name="60% - Акцент5" xfId="37" builtinId="48" customBuiltin="1"/>
    <cellStyle name="60% — акцент5 2" xfId="62"/>
    <cellStyle name="60% -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20"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62:G88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tyana Stepanova" refreshedDate="45380.852303472224" createdVersion="3" refreshedVersion="3" minRefreshableVersion="3" recordCount="32">
  <cacheSource type="worksheet">
    <worksheetSource ref="A1:H33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Open_start_page"/>
        <s v="LogIn"/>
        <s v="Open_search_tour"/>
        <s v="Search_tour_round-trip"/>
        <s v="Select_flight"/>
        <s v="Booking_payment"/>
        <s v="LogOut"/>
        <s v="Open_booking_list"/>
        <s v="Delete_flight"/>
        <s v="Registration"/>
        <s v="Input_data"/>
        <s v="Personal_Account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minValue="49.97" maxValue="74.835999999999999"/>
    </cacheField>
    <cacheField name="одним пользователем в минуту" numFmtId="2">
      <sharedItems containsSemiMixedTypes="0" containsString="0" containsNumber="1" minValue="0" maxValue="1.200720432259355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6.7214974475326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Buy_tour"/>
    <x v="0"/>
    <n v="1"/>
    <n v="3"/>
    <n v="63.467999999999996"/>
    <n v="0.94535829079221034"/>
    <n v="20"/>
    <n v="56.72149744753262"/>
  </r>
  <r>
    <s v="Buy_tour"/>
    <x v="1"/>
    <n v="1"/>
    <n v="3"/>
    <n v="63.467999999999996"/>
    <n v="0.94535829079221034"/>
    <n v="20"/>
    <n v="56.72149744753262"/>
  </r>
  <r>
    <s v="Buy_tour"/>
    <x v="2"/>
    <n v="1"/>
    <n v="3"/>
    <n v="63.467999999999996"/>
    <n v="0.94535829079221034"/>
    <n v="20"/>
    <n v="56.72149744753262"/>
  </r>
  <r>
    <s v="Buy_tour"/>
    <x v="3"/>
    <n v="1"/>
    <n v="3"/>
    <n v="63.467999999999996"/>
    <n v="0.94535829079221034"/>
    <n v="20"/>
    <n v="56.72149744753262"/>
  </r>
  <r>
    <s v="Buy_tour"/>
    <x v="4"/>
    <n v="1"/>
    <n v="3"/>
    <n v="63.467999999999996"/>
    <n v="0.94535829079221034"/>
    <n v="20"/>
    <n v="56.72149744753262"/>
  </r>
  <r>
    <s v="Buy_tour"/>
    <x v="5"/>
    <n v="1"/>
    <n v="3"/>
    <n v="63.467999999999996"/>
    <n v="0.94535829079221034"/>
    <n v="20"/>
    <n v="56.72149744753262"/>
  </r>
  <r>
    <s v="Buy_tour"/>
    <x v="6"/>
    <n v="0"/>
    <n v="3"/>
    <n v="63.467999999999996"/>
    <n v="0"/>
    <n v="20"/>
    <n v="0"/>
  </r>
  <r>
    <s v="Buy_tour"/>
    <x v="7"/>
    <n v="1"/>
    <n v="3"/>
    <n v="63.467999999999996"/>
    <n v="0.94535829079221034"/>
    <n v="20"/>
    <n v="56.72149744753262"/>
  </r>
  <r>
    <s v="Delete_tour"/>
    <x v="0"/>
    <n v="1"/>
    <n v="1"/>
    <n v="49.97"/>
    <n v="1.2007204322593557"/>
    <n v="20"/>
    <n v="24.014408645187114"/>
  </r>
  <r>
    <s v="Delete_tour"/>
    <x v="1"/>
    <n v="1"/>
    <n v="1"/>
    <n v="49.97"/>
    <n v="1.2007204322593557"/>
    <n v="20"/>
    <n v="24.014408645187114"/>
  </r>
  <r>
    <s v="Delete_tour"/>
    <x v="7"/>
    <n v="1"/>
    <n v="1"/>
    <n v="49.97"/>
    <n v="1.2007204322593557"/>
    <n v="20"/>
    <n v="24.014408645187114"/>
  </r>
  <r>
    <s v="Delete_tour"/>
    <x v="8"/>
    <n v="1"/>
    <n v="1"/>
    <n v="49.97"/>
    <n v="1.2007204322593557"/>
    <n v="20"/>
    <n v="24.014408645187114"/>
  </r>
  <r>
    <s v="Delete_tour"/>
    <x v="6"/>
    <n v="1"/>
    <n v="1"/>
    <n v="49.97"/>
    <n v="1.2007204322593557"/>
    <n v="20"/>
    <n v="24.014408645187114"/>
  </r>
  <r>
    <s v="Regisration"/>
    <x v="0"/>
    <n v="1"/>
    <n v="2"/>
    <n v="73.08"/>
    <n v="0.82101806239737274"/>
    <n v="20"/>
    <n v="32.840722495894909"/>
  </r>
  <r>
    <s v="Regisration"/>
    <x v="9"/>
    <n v="1"/>
    <n v="2"/>
    <n v="73.08"/>
    <n v="0.82101806239737274"/>
    <n v="20"/>
    <n v="32.840722495894909"/>
  </r>
  <r>
    <s v="Regisration"/>
    <x v="10"/>
    <n v="1"/>
    <n v="2"/>
    <n v="73.08"/>
    <n v="0.82101806239737274"/>
    <n v="20"/>
    <n v="32.840722495894909"/>
  </r>
  <r>
    <s v="Regisration"/>
    <x v="11"/>
    <n v="1"/>
    <n v="2"/>
    <n v="73.08"/>
    <n v="0.82101806239737274"/>
    <n v="20"/>
    <n v="32.840722495894909"/>
  </r>
  <r>
    <s v="Regisration"/>
    <x v="6"/>
    <n v="1"/>
    <n v="2"/>
    <n v="73.08"/>
    <n v="0.82101806239737274"/>
    <n v="20"/>
    <n v="32.840722495894909"/>
  </r>
  <r>
    <s v="Login"/>
    <x v="0"/>
    <n v="1"/>
    <n v="1"/>
    <n v="70.61999999999999"/>
    <n v="0.84961767204757865"/>
    <n v="20"/>
    <n v="16.992353440951572"/>
  </r>
  <r>
    <s v="Login"/>
    <x v="1"/>
    <n v="1"/>
    <n v="1"/>
    <n v="70.61999999999999"/>
    <n v="0.84961767204757865"/>
    <n v="20"/>
    <n v="16.992353440951572"/>
  </r>
  <r>
    <s v="Login"/>
    <x v="6"/>
    <n v="0"/>
    <n v="1"/>
    <n v="70.61999999999999"/>
    <n v="0"/>
    <n v="20"/>
    <n v="0"/>
  </r>
  <r>
    <s v="Search_tour_without_pay"/>
    <x v="0"/>
    <n v="1"/>
    <n v="2"/>
    <n v="72.449999999999989"/>
    <n v="0.82815734989648049"/>
    <n v="20"/>
    <n v="33.126293995859221"/>
  </r>
  <r>
    <s v="Search_tour_without_pay"/>
    <x v="1"/>
    <n v="1"/>
    <n v="2"/>
    <n v="72.449999999999989"/>
    <n v="0.82815734989648049"/>
    <n v="20"/>
    <n v="33.126293995859221"/>
  </r>
  <r>
    <s v="Search_tour_without_pay"/>
    <x v="2"/>
    <n v="1"/>
    <n v="2"/>
    <n v="72.449999999999989"/>
    <n v="0.82815734989648049"/>
    <n v="20"/>
    <n v="33.126293995859221"/>
  </r>
  <r>
    <s v="Search_tour_without_pay"/>
    <x v="3"/>
    <n v="1"/>
    <n v="2"/>
    <n v="72.449999999999989"/>
    <n v="0.82815734989648049"/>
    <n v="20"/>
    <n v="33.126293995859221"/>
  </r>
  <r>
    <s v="Search_tour_without_pay"/>
    <x v="4"/>
    <n v="1"/>
    <n v="2"/>
    <n v="72.449999999999989"/>
    <n v="0.82815734989648049"/>
    <n v="20"/>
    <n v="33.126293995859221"/>
  </r>
  <r>
    <s v="Search_tour_without_pay"/>
    <x v="6"/>
    <n v="1"/>
    <n v="2"/>
    <n v="72.449999999999989"/>
    <n v="0.82815734989648049"/>
    <n v="20"/>
    <n v="33.126293995859221"/>
  </r>
  <r>
    <s v="List_reservetion_tour"/>
    <x v="0"/>
    <n v="1"/>
    <n v="1"/>
    <n v="74.835999999999999"/>
    <n v="0.80175316692500942"/>
    <n v="20"/>
    <n v="16.035063338500187"/>
  </r>
  <r>
    <s v="List_reservetion_tour"/>
    <x v="1"/>
    <n v="1"/>
    <n v="1"/>
    <n v="74.835999999999999"/>
    <n v="0.80175316692500942"/>
    <n v="20"/>
    <n v="16.035063338500187"/>
  </r>
  <r>
    <s v="List_reservetion_tour"/>
    <x v="7"/>
    <n v="1"/>
    <n v="1"/>
    <n v="74.835999999999999"/>
    <n v="0.80175316692500942"/>
    <n v="20"/>
    <n v="16.035063338500187"/>
  </r>
  <r>
    <s v="List_reservetion_tour"/>
    <x v="6"/>
    <n v="1"/>
    <n v="1"/>
    <n v="74.835999999999999"/>
    <n v="0.80175316692500942"/>
    <n v="20"/>
    <n v="16.035063338500187"/>
  </r>
  <r>
    <s v="Login"/>
    <x v="2"/>
    <n v="0"/>
    <n v="1"/>
    <n v="70.61999999999999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33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2:J72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719">
      <pivotArea collapsedLevelsAreSubtotals="1" fieldPosition="0">
        <references count="1">
          <reference field="1" count="0"/>
        </references>
      </pivotArea>
    </format>
    <format dxfId="718">
      <pivotArea collapsedLevelsAreSubtotals="1" fieldPosition="0">
        <references count="1">
          <reference field="1" count="0"/>
        </references>
      </pivotArea>
    </format>
    <format dxfId="717">
      <pivotArea dataOnly="0" labelOnly="1" fieldPosition="0">
        <references count="1">
          <reference field="1" count="1">
            <x v="4"/>
          </reference>
        </references>
      </pivotArea>
    </format>
    <format dxfId="716">
      <pivotArea dataOnly="0" labelOnly="1" fieldPosition="0">
        <references count="1">
          <reference field="1" count="1">
            <x v="3"/>
          </reference>
        </references>
      </pivotArea>
    </format>
    <format dxfId="715">
      <pivotArea dataOnly="0" labelOnly="1" fieldPosition="0">
        <references count="1">
          <reference field="1" count="1">
            <x v="6"/>
          </reference>
        </references>
      </pivotArea>
    </format>
    <format dxfId="714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628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 rowHeaderCaption="transaction name">
  <location ref="I1:J14" firstHeaderRow="1" firstDataRow="1" firstDataCol="1"/>
  <pivotFields count="8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 defaultSubtota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m by Итого" fld="7" baseField="0" baseItem="0" numFmtId="1"/>
  </dataFields>
  <formats count="17">
    <format dxfId="153">
      <pivotArea outline="0" collapsedLevelsAreSubtotals="1" fieldPosition="0"/>
    </format>
    <format dxfId="154">
      <pivotArea outline="0" collapsedLevelsAreSubtotals="1" fieldPosition="0"/>
    </format>
    <format dxfId="155">
      <pivotArea outline="0" collapsedLevelsAreSubtotals="1" fieldPosition="0"/>
    </format>
    <format dxfId="156">
      <pivotArea outline="0" collapsedLevelsAreSubtotals="1" fieldPosition="0"/>
    </format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field="1" type="button" dataOnly="0" labelOnly="1" outline="0" axis="axisRow" fieldPosition="0"/>
    </format>
    <format dxfId="161">
      <pivotArea dataOnly="0" labelOnly="1" outline="0" axis="axisValues" fieldPosition="0"/>
    </format>
    <format dxfId="162">
      <pivotArea field="1" type="button" dataOnly="0" labelOnly="1" outline="0" axis="axisRow" fieldPosition="0"/>
    </format>
    <format dxfId="163">
      <pivotArea dataOnly="0" labelOnly="1" outline="0" axis="axisValues" fieldPosition="0"/>
    </format>
    <format dxfId="164">
      <pivotArea field="1" type="button" dataOnly="0" labelOnly="1" outline="0" axis="axisRow" fieldPosition="0"/>
    </format>
    <format dxfId="165">
      <pivotArea dataOnly="0" labelOnly="1" outline="0" axis="axisValues" fieldPosition="0"/>
    </format>
    <format dxfId="166">
      <pivotArea field="1" type="button" dataOnly="0" labelOnly="1" outline="0" axis="axisRow" fieldPosition="0"/>
    </format>
    <format dxfId="167">
      <pivotArea dataOnly="0" labelOnly="1" outline="0" axis="axisValues" fieldPosition="0"/>
    </format>
    <format dxfId="168">
      <pivotArea field="1" type="button" dataOnly="0" labelOnly="1" outline="0" axis="axisRow" fieldPosition="0"/>
    </format>
    <format dxfId="16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A1:H3" totalsRowShown="0">
  <autoFilter ref="A1:H3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H7" totalsRowShown="0">
  <autoFilter ref="A1:H7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 20 мин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28" sqref="F28"/>
    </sheetView>
  </sheetViews>
  <sheetFormatPr defaultRowHeight="14.5"/>
  <cols>
    <col min="1" max="1" width="12.6328125" customWidth="1"/>
    <col min="2" max="2" width="14.453125" customWidth="1"/>
    <col min="6" max="6" width="30.1796875" customWidth="1"/>
    <col min="7" max="7" width="21.81640625" customWidth="1"/>
  </cols>
  <sheetData>
    <row r="1" spans="1:8">
      <c r="A1" t="s">
        <v>31</v>
      </c>
      <c r="B1" t="s">
        <v>32</v>
      </c>
      <c r="C1" t="s">
        <v>33</v>
      </c>
      <c r="D1" t="s">
        <v>37</v>
      </c>
      <c r="E1" t="s">
        <v>47</v>
      </c>
      <c r="F1" t="s">
        <v>48</v>
      </c>
      <c r="G1" t="s">
        <v>49</v>
      </c>
      <c r="H1" t="s">
        <v>6</v>
      </c>
    </row>
    <row r="2" spans="1:8">
      <c r="A2" t="s">
        <v>115</v>
      </c>
      <c r="B2" t="s">
        <v>117</v>
      </c>
      <c r="C2">
        <v>1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</row>
    <row r="3" spans="1:8">
      <c r="A3" t="s">
        <v>119</v>
      </c>
      <c r="B3" t="s">
        <v>117</v>
      </c>
      <c r="C3">
        <v>1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H2" sqref="H2:H7"/>
    </sheetView>
  </sheetViews>
  <sheetFormatPr defaultRowHeight="14.5"/>
  <cols>
    <col min="1" max="1" width="12.6328125" customWidth="1"/>
    <col min="2" max="2" width="23.90625" customWidth="1"/>
    <col min="6" max="6" width="30.1796875" customWidth="1"/>
    <col min="7" max="7" width="28.26953125" customWidth="1"/>
  </cols>
  <sheetData>
    <row r="1" spans="1:8">
      <c r="A1" t="s">
        <v>31</v>
      </c>
      <c r="B1" t="s">
        <v>32</v>
      </c>
      <c r="C1" t="s">
        <v>33</v>
      </c>
      <c r="D1" t="s">
        <v>37</v>
      </c>
      <c r="E1" t="s">
        <v>47</v>
      </c>
      <c r="F1" t="s">
        <v>48</v>
      </c>
      <c r="G1" t="s">
        <v>129</v>
      </c>
      <c r="H1" t="s">
        <v>6</v>
      </c>
    </row>
    <row r="2" spans="1:8">
      <c r="A2" t="s">
        <v>119</v>
      </c>
      <c r="B2" t="s">
        <v>112</v>
      </c>
      <c r="C2">
        <v>1</v>
      </c>
      <c r="D2">
        <v>2</v>
      </c>
      <c r="E2">
        <v>41</v>
      </c>
      <c r="F2">
        <v>1.4634146341463414</v>
      </c>
      <c r="G2">
        <v>20</v>
      </c>
      <c r="H2">
        <v>58.536585365853654</v>
      </c>
    </row>
    <row r="3" spans="1:8">
      <c r="A3" t="s">
        <v>121</v>
      </c>
      <c r="B3" t="s">
        <v>112</v>
      </c>
      <c r="C3">
        <v>1</v>
      </c>
      <c r="D3">
        <v>1</v>
      </c>
      <c r="E3">
        <v>75</v>
      </c>
      <c r="F3">
        <v>0.8</v>
      </c>
      <c r="G3">
        <v>20</v>
      </c>
      <c r="H3">
        <v>16</v>
      </c>
    </row>
    <row r="4" spans="1:8">
      <c r="A4" t="s">
        <v>115</v>
      </c>
      <c r="B4" t="s">
        <v>112</v>
      </c>
      <c r="C4">
        <v>1</v>
      </c>
      <c r="D4">
        <v>2</v>
      </c>
      <c r="E4">
        <v>75</v>
      </c>
      <c r="F4">
        <v>0.8</v>
      </c>
      <c r="G4">
        <v>20</v>
      </c>
      <c r="H4">
        <v>32</v>
      </c>
    </row>
    <row r="5" spans="1:8">
      <c r="A5" t="s">
        <v>111</v>
      </c>
      <c r="B5" t="s">
        <v>112</v>
      </c>
      <c r="C5">
        <v>1</v>
      </c>
      <c r="D5">
        <v>2</v>
      </c>
      <c r="E5">
        <v>135</v>
      </c>
      <c r="F5">
        <v>0.44444444444444442</v>
      </c>
      <c r="G5">
        <v>20</v>
      </c>
      <c r="H5">
        <v>17.777777777777779</v>
      </c>
    </row>
    <row r="6" spans="1:8">
      <c r="A6" t="s">
        <v>125</v>
      </c>
      <c r="B6" t="s">
        <v>112</v>
      </c>
      <c r="C6">
        <v>1</v>
      </c>
      <c r="D6">
        <v>2</v>
      </c>
      <c r="E6">
        <v>73</v>
      </c>
      <c r="F6">
        <v>0.82191780821917804</v>
      </c>
      <c r="G6">
        <v>20</v>
      </c>
      <c r="H6">
        <v>32.87671232876712</v>
      </c>
    </row>
    <row r="7" spans="1:8">
      <c r="A7" t="s">
        <v>123</v>
      </c>
      <c r="B7" t="s">
        <v>112</v>
      </c>
      <c r="C7">
        <v>1</v>
      </c>
      <c r="D7">
        <v>1</v>
      </c>
      <c r="E7">
        <v>50.002800000000001</v>
      </c>
      <c r="F7">
        <v>1.1999328037629893</v>
      </c>
      <c r="G7">
        <v>20</v>
      </c>
      <c r="H7">
        <v>23.998656075259785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X88"/>
  <sheetViews>
    <sheetView tabSelected="1" topLeftCell="C1" zoomScale="70" zoomScaleNormal="70" workbookViewId="0">
      <selection activeCell="M24" sqref="M24"/>
    </sheetView>
  </sheetViews>
  <sheetFormatPr defaultColWidth="11.453125" defaultRowHeight="14.5"/>
  <cols>
    <col min="1" max="1" width="23.90625" customWidth="1"/>
    <col min="2" max="2" width="23.54296875" customWidth="1"/>
    <col min="3" max="3" width="13.1796875" customWidth="1"/>
    <col min="4" max="4" width="10.7265625" customWidth="1"/>
    <col min="5" max="5" width="9.6328125" customWidth="1"/>
    <col min="7" max="7" width="12.81640625" customWidth="1"/>
    <col min="8" max="8" width="8.54296875" customWidth="1"/>
    <col min="9" max="9" width="21.36328125" customWidth="1"/>
    <col min="10" max="10" width="14.26953125" customWidth="1"/>
    <col min="11" max="11" width="4.26953125" customWidth="1"/>
    <col min="12" max="12" width="4.90625" customWidth="1"/>
    <col min="13" max="13" width="22.81640625" customWidth="1"/>
    <col min="14" max="14" width="7.81640625" customWidth="1"/>
    <col min="15" max="15" width="7.08984375" customWidth="1"/>
    <col min="16" max="16" width="7.453125" customWidth="1"/>
    <col min="17" max="17" width="8.54296875" customWidth="1"/>
    <col min="18" max="18" width="7" customWidth="1"/>
    <col min="19" max="19" width="12.26953125" customWidth="1"/>
  </cols>
  <sheetData>
    <row r="1" spans="1:24" s="48" customFormat="1" ht="72.5">
      <c r="A1" s="82" t="s">
        <v>31</v>
      </c>
      <c r="B1" s="82" t="s">
        <v>32</v>
      </c>
      <c r="C1" s="82" t="s">
        <v>33</v>
      </c>
      <c r="D1" s="82" t="s">
        <v>37</v>
      </c>
      <c r="E1" s="82" t="s">
        <v>47</v>
      </c>
      <c r="F1" s="82" t="s">
        <v>48</v>
      </c>
      <c r="G1" s="82" t="s">
        <v>49</v>
      </c>
      <c r="H1" s="82" t="s">
        <v>6</v>
      </c>
      <c r="I1" s="53" t="s">
        <v>131</v>
      </c>
      <c r="J1" s="54" t="s">
        <v>130</v>
      </c>
      <c r="M1" s="48" t="s">
        <v>36</v>
      </c>
      <c r="N1" s="48" t="s">
        <v>38</v>
      </c>
      <c r="O1" s="48" t="s">
        <v>39</v>
      </c>
      <c r="P1" s="48" t="s">
        <v>93</v>
      </c>
      <c r="Q1" s="48" t="s">
        <v>40</v>
      </c>
      <c r="R1" s="48" t="s">
        <v>37</v>
      </c>
      <c r="S1" s="48" t="s">
        <v>41</v>
      </c>
      <c r="T1" s="49" t="s">
        <v>42</v>
      </c>
      <c r="U1" s="49" t="s">
        <v>43</v>
      </c>
      <c r="V1" s="48" t="s">
        <v>44</v>
      </c>
      <c r="X1" s="48" t="s">
        <v>45</v>
      </c>
    </row>
    <row r="2" spans="1:24">
      <c r="A2" s="45" t="s">
        <v>119</v>
      </c>
      <c r="B2" s="45" t="s">
        <v>112</v>
      </c>
      <c r="C2" s="46">
        <v>1</v>
      </c>
      <c r="D2" s="79">
        <f t="shared" ref="D2" si="0">VLOOKUP(A2,$M$1:$W$8,6,FALSE)</f>
        <v>3</v>
      </c>
      <c r="E2" s="79">
        <f>VLOOKUP(A2,$M$1:$W$8,5,FALSE)</f>
        <v>63.467999999999996</v>
      </c>
      <c r="F2" s="80">
        <f>60/E2*C2</f>
        <v>0.94535829079221034</v>
      </c>
      <c r="G2" s="79">
        <f>VLOOKUP(A2,$M$1:$W$8,8,FALSE)</f>
        <v>20</v>
      </c>
      <c r="H2" s="81">
        <f>D2*F2*G2</f>
        <v>56.72149744753262</v>
      </c>
      <c r="I2" s="17" t="s">
        <v>112</v>
      </c>
      <c r="J2" s="20">
        <v>179.73033936392559</v>
      </c>
      <c r="K2" s="15"/>
      <c r="M2" s="86" t="s">
        <v>119</v>
      </c>
      <c r="N2" s="56">
        <v>1.9</v>
      </c>
      <c r="O2" s="47">
        <v>35</v>
      </c>
      <c r="P2" s="58">
        <f>N2+O2</f>
        <v>36.9</v>
      </c>
      <c r="Q2" s="30">
        <f>P2*1.72</f>
        <v>63.467999999999996</v>
      </c>
      <c r="R2" s="18">
        <v>3</v>
      </c>
      <c r="S2" s="19">
        <f t="shared" ref="S2:S7" si="1">60/(Q2)</f>
        <v>0.94535829079221034</v>
      </c>
      <c r="T2" s="21">
        <v>20</v>
      </c>
      <c r="U2" s="22">
        <f>ROUND(R2*S2*T2,0)</f>
        <v>57</v>
      </c>
      <c r="V2" s="29">
        <f t="shared" ref="V2:V7" si="2">R2/W$2</f>
        <v>0.3</v>
      </c>
      <c r="W2">
        <f>SUM(R2:R7)</f>
        <v>10</v>
      </c>
    </row>
    <row r="3" spans="1:24">
      <c r="A3" s="25" t="s">
        <v>119</v>
      </c>
      <c r="B3" s="25" t="s">
        <v>113</v>
      </c>
      <c r="C3" s="46">
        <v>1</v>
      </c>
      <c r="D3" s="50">
        <f t="shared" ref="D3:D32" si="3">VLOOKUP(A3,$M$1:$W$8,6,FALSE)</f>
        <v>3</v>
      </c>
      <c r="E3" s="50">
        <f t="shared" ref="E3:E32" si="4">VLOOKUP(A3,$M$1:$W$8,5,FALSE)</f>
        <v>63.467999999999996</v>
      </c>
      <c r="F3" s="51">
        <f t="shared" ref="F3:F32" si="5">60/E3*C3</f>
        <v>0.94535829079221034</v>
      </c>
      <c r="G3" s="50">
        <f t="shared" ref="G3:G32" si="6">VLOOKUP(A3,$M$1:$W$8,8,FALSE)</f>
        <v>20</v>
      </c>
      <c r="H3" s="52">
        <f t="shared" ref="H3:H32" si="7">D3*F3*G3</f>
        <v>56.72149744753262</v>
      </c>
      <c r="I3" s="17" t="s">
        <v>113</v>
      </c>
      <c r="J3" s="20">
        <v>146.88961686803071</v>
      </c>
      <c r="K3" s="15"/>
      <c r="M3" s="86" t="s">
        <v>123</v>
      </c>
      <c r="N3" s="57">
        <v>1.3</v>
      </c>
      <c r="O3" s="39">
        <v>25</v>
      </c>
      <c r="P3" s="58">
        <f t="shared" ref="P3:P7" si="8">N3+O3</f>
        <v>26.3</v>
      </c>
      <c r="Q3" s="30">
        <f>P3*1.9</f>
        <v>49.97</v>
      </c>
      <c r="R3" s="18">
        <v>1</v>
      </c>
      <c r="S3" s="19">
        <f t="shared" si="1"/>
        <v>1.2007204322593557</v>
      </c>
      <c r="T3" s="21">
        <v>20</v>
      </c>
      <c r="U3" s="22">
        <f>ROUND(R3*S3*T3,0)</f>
        <v>24</v>
      </c>
      <c r="V3" s="29">
        <f t="shared" si="2"/>
        <v>0.1</v>
      </c>
    </row>
    <row r="4" spans="1:24">
      <c r="A4" s="25" t="s">
        <v>119</v>
      </c>
      <c r="B4" s="25" t="s">
        <v>116</v>
      </c>
      <c r="C4" s="46">
        <v>1</v>
      </c>
      <c r="D4" s="50">
        <f t="shared" si="3"/>
        <v>3</v>
      </c>
      <c r="E4" s="50">
        <f t="shared" si="4"/>
        <v>63.467999999999996</v>
      </c>
      <c r="F4" s="51">
        <f t="shared" si="5"/>
        <v>0.94535829079221034</v>
      </c>
      <c r="G4" s="50">
        <f t="shared" si="6"/>
        <v>20</v>
      </c>
      <c r="H4" s="52">
        <f t="shared" si="7"/>
        <v>56.72149744753262</v>
      </c>
      <c r="I4" s="17" t="s">
        <v>116</v>
      </c>
      <c r="J4" s="20">
        <v>89.847791443391841</v>
      </c>
      <c r="K4" s="15"/>
      <c r="M4" s="86" t="s">
        <v>125</v>
      </c>
      <c r="N4" s="57">
        <v>1.1000000000000001</v>
      </c>
      <c r="O4" s="39">
        <v>25</v>
      </c>
      <c r="P4" s="58">
        <f t="shared" si="8"/>
        <v>26.1</v>
      </c>
      <c r="Q4" s="30">
        <f>P4*2.8</f>
        <v>73.08</v>
      </c>
      <c r="R4" s="18">
        <v>2</v>
      </c>
      <c r="S4" s="19">
        <f t="shared" si="1"/>
        <v>0.82101806239737274</v>
      </c>
      <c r="T4" s="21">
        <v>20</v>
      </c>
      <c r="U4" s="22">
        <f>ROUND(R4*S4*T4,0)</f>
        <v>33</v>
      </c>
      <c r="V4" s="29">
        <f t="shared" si="2"/>
        <v>0.2</v>
      </c>
    </row>
    <row r="5" spans="1:24">
      <c r="A5" s="25" t="s">
        <v>119</v>
      </c>
      <c r="B5" s="25" t="s">
        <v>117</v>
      </c>
      <c r="C5" s="46">
        <v>1</v>
      </c>
      <c r="D5" s="50">
        <f t="shared" si="3"/>
        <v>3</v>
      </c>
      <c r="E5" s="50">
        <f t="shared" si="4"/>
        <v>63.467999999999996</v>
      </c>
      <c r="F5" s="51">
        <f t="shared" si="5"/>
        <v>0.94535829079221034</v>
      </c>
      <c r="G5" s="50">
        <f t="shared" si="6"/>
        <v>20</v>
      </c>
      <c r="H5" s="52">
        <f t="shared" si="7"/>
        <v>56.72149744753262</v>
      </c>
      <c r="I5" s="17" t="s">
        <v>117</v>
      </c>
      <c r="J5" s="20">
        <v>89.847791443391841</v>
      </c>
      <c r="K5" s="15"/>
      <c r="M5" s="86" t="s">
        <v>115</v>
      </c>
      <c r="N5" s="57">
        <v>1.5</v>
      </c>
      <c r="O5" s="39">
        <v>30</v>
      </c>
      <c r="P5" s="58">
        <f t="shared" si="8"/>
        <v>31.5</v>
      </c>
      <c r="Q5" s="30">
        <f>P5*2.3</f>
        <v>72.449999999999989</v>
      </c>
      <c r="R5" s="18">
        <v>2</v>
      </c>
      <c r="S5" s="19">
        <f t="shared" si="1"/>
        <v>0.82815734989648049</v>
      </c>
      <c r="T5" s="21">
        <v>20</v>
      </c>
      <c r="U5" s="22">
        <f>ROUND(R5*S5*T5,0)</f>
        <v>33</v>
      </c>
      <c r="V5" s="29">
        <f t="shared" si="2"/>
        <v>0.2</v>
      </c>
    </row>
    <row r="6" spans="1:24">
      <c r="A6" s="25" t="s">
        <v>119</v>
      </c>
      <c r="B6" s="25" t="s">
        <v>118</v>
      </c>
      <c r="C6" s="46">
        <v>1</v>
      </c>
      <c r="D6" s="50">
        <f t="shared" si="3"/>
        <v>3</v>
      </c>
      <c r="E6" s="50">
        <f t="shared" si="4"/>
        <v>63.467999999999996</v>
      </c>
      <c r="F6" s="51">
        <f t="shared" si="5"/>
        <v>0.94535829079221034</v>
      </c>
      <c r="G6" s="50">
        <f t="shared" si="6"/>
        <v>20</v>
      </c>
      <c r="H6" s="52">
        <f t="shared" si="7"/>
        <v>56.72149744753262</v>
      </c>
      <c r="I6" s="17" t="s">
        <v>118</v>
      </c>
      <c r="J6" s="20">
        <v>89.847791443391841</v>
      </c>
      <c r="K6" s="15"/>
      <c r="M6" s="86" t="s">
        <v>121</v>
      </c>
      <c r="N6" s="57">
        <v>1.2</v>
      </c>
      <c r="O6" s="39">
        <v>20</v>
      </c>
      <c r="P6" s="58">
        <f t="shared" si="8"/>
        <v>21.2</v>
      </c>
      <c r="Q6" s="30">
        <f>P6*3.53</f>
        <v>74.835999999999999</v>
      </c>
      <c r="R6" s="18">
        <v>1</v>
      </c>
      <c r="S6" s="19">
        <f t="shared" si="1"/>
        <v>0.80175316692500942</v>
      </c>
      <c r="T6" s="21">
        <v>20</v>
      </c>
      <c r="U6" s="22">
        <f>ROUND(R6*S6*T6,0)</f>
        <v>16</v>
      </c>
      <c r="V6" s="29">
        <f t="shared" si="2"/>
        <v>0.1</v>
      </c>
    </row>
    <row r="7" spans="1:24">
      <c r="A7" s="25" t="s">
        <v>119</v>
      </c>
      <c r="B7" s="25" t="s">
        <v>120</v>
      </c>
      <c r="C7" s="46">
        <v>1</v>
      </c>
      <c r="D7" s="50">
        <f t="shared" si="3"/>
        <v>3</v>
      </c>
      <c r="E7" s="50">
        <f t="shared" si="4"/>
        <v>63.467999999999996</v>
      </c>
      <c r="F7" s="51">
        <f t="shared" si="5"/>
        <v>0.94535829079221034</v>
      </c>
      <c r="G7" s="50">
        <f t="shared" si="6"/>
        <v>20</v>
      </c>
      <c r="H7" s="52">
        <f t="shared" si="7"/>
        <v>56.72149744753262</v>
      </c>
      <c r="I7" s="17" t="s">
        <v>120</v>
      </c>
      <c r="J7" s="20">
        <v>56.72149744753262</v>
      </c>
      <c r="K7" s="15"/>
      <c r="M7" s="86" t="s">
        <v>111</v>
      </c>
      <c r="N7" s="57">
        <v>0.7</v>
      </c>
      <c r="O7" s="40">
        <v>10</v>
      </c>
      <c r="P7" s="58">
        <f t="shared" si="8"/>
        <v>10.7</v>
      </c>
      <c r="Q7" s="30">
        <f>P7*6.6</f>
        <v>70.61999999999999</v>
      </c>
      <c r="R7" s="18">
        <v>1</v>
      </c>
      <c r="S7" s="19">
        <f t="shared" si="1"/>
        <v>0.84961767204757865</v>
      </c>
      <c r="T7" s="21">
        <v>20</v>
      </c>
      <c r="U7" s="22">
        <f>ROUND(R7*S7*T7,0)</f>
        <v>17</v>
      </c>
      <c r="V7" s="29">
        <f t="shared" si="2"/>
        <v>0.1</v>
      </c>
    </row>
    <row r="8" spans="1:24">
      <c r="A8" s="25" t="s">
        <v>119</v>
      </c>
      <c r="B8" s="25" t="s">
        <v>114</v>
      </c>
      <c r="C8" s="60">
        <v>0</v>
      </c>
      <c r="D8" s="50">
        <f t="shared" si="3"/>
        <v>3</v>
      </c>
      <c r="E8" s="50">
        <f t="shared" si="4"/>
        <v>63.467999999999996</v>
      </c>
      <c r="F8" s="51">
        <f t="shared" si="5"/>
        <v>0</v>
      </c>
      <c r="G8" s="50">
        <f t="shared" si="6"/>
        <v>20</v>
      </c>
      <c r="H8" s="52">
        <f t="shared" si="7"/>
        <v>0</v>
      </c>
      <c r="I8" s="17" t="s">
        <v>114</v>
      </c>
      <c r="J8" s="20">
        <v>106.01648847544143</v>
      </c>
      <c r="K8" s="15"/>
      <c r="U8" s="22">
        <f>SUM(U3:U7)</f>
        <v>123</v>
      </c>
      <c r="V8" s="42">
        <f>SUM(V2:V7)</f>
        <v>1</v>
      </c>
    </row>
    <row r="9" spans="1:24">
      <c r="A9" s="59" t="s">
        <v>119</v>
      </c>
      <c r="B9" s="59" t="s">
        <v>122</v>
      </c>
      <c r="C9" s="60">
        <v>1</v>
      </c>
      <c r="D9" s="50">
        <f t="shared" si="3"/>
        <v>3</v>
      </c>
      <c r="E9" s="50">
        <f t="shared" si="4"/>
        <v>63.467999999999996</v>
      </c>
      <c r="F9" s="51">
        <f t="shared" si="5"/>
        <v>0.94535829079221034</v>
      </c>
      <c r="G9" s="50">
        <f t="shared" si="6"/>
        <v>20</v>
      </c>
      <c r="H9" s="52">
        <f t="shared" si="7"/>
        <v>56.72149744753262</v>
      </c>
      <c r="I9" s="17" t="s">
        <v>122</v>
      </c>
      <c r="J9" s="20">
        <v>96.770969431219925</v>
      </c>
      <c r="K9" s="15"/>
    </row>
    <row r="10" spans="1:24">
      <c r="A10" s="25" t="s">
        <v>123</v>
      </c>
      <c r="B10" s="25" t="s">
        <v>112</v>
      </c>
      <c r="C10" s="46">
        <v>1</v>
      </c>
      <c r="D10" s="50">
        <f t="shared" si="3"/>
        <v>1</v>
      </c>
      <c r="E10" s="50">
        <f t="shared" si="4"/>
        <v>49.97</v>
      </c>
      <c r="F10" s="51">
        <f t="shared" si="5"/>
        <v>1.2007204322593557</v>
      </c>
      <c r="G10" s="50">
        <f t="shared" si="6"/>
        <v>20</v>
      </c>
      <c r="H10" s="52">
        <f t="shared" si="7"/>
        <v>24.014408645187114</v>
      </c>
      <c r="I10" s="17" t="s">
        <v>124</v>
      </c>
      <c r="J10" s="20">
        <v>24.014408645187114</v>
      </c>
    </row>
    <row r="11" spans="1:24">
      <c r="A11" s="25" t="s">
        <v>123</v>
      </c>
      <c r="B11" s="25" t="s">
        <v>113</v>
      </c>
      <c r="C11" s="46">
        <v>1</v>
      </c>
      <c r="D11" s="50">
        <f t="shared" si="3"/>
        <v>1</v>
      </c>
      <c r="E11" s="50">
        <f t="shared" si="4"/>
        <v>49.97</v>
      </c>
      <c r="F11" s="51">
        <f t="shared" si="5"/>
        <v>1.2007204322593557</v>
      </c>
      <c r="G11" s="50">
        <f t="shared" si="6"/>
        <v>20</v>
      </c>
      <c r="H11" s="52">
        <f t="shared" si="7"/>
        <v>24.014408645187114</v>
      </c>
      <c r="I11" s="17" t="s">
        <v>126</v>
      </c>
      <c r="J11" s="20">
        <v>32.840722495894909</v>
      </c>
      <c r="Q11">
        <v>70.61999999999999</v>
      </c>
    </row>
    <row r="12" spans="1:24">
      <c r="A12" s="25" t="s">
        <v>123</v>
      </c>
      <c r="B12" s="25" t="s">
        <v>122</v>
      </c>
      <c r="C12" s="46">
        <v>1</v>
      </c>
      <c r="D12" s="50">
        <f t="shared" si="3"/>
        <v>1</v>
      </c>
      <c r="E12" s="50">
        <f t="shared" si="4"/>
        <v>49.97</v>
      </c>
      <c r="F12" s="51">
        <f t="shared" si="5"/>
        <v>1.2007204322593557</v>
      </c>
      <c r="G12" s="50">
        <f t="shared" si="6"/>
        <v>20</v>
      </c>
      <c r="H12" s="52">
        <f t="shared" si="7"/>
        <v>24.014408645187114</v>
      </c>
      <c r="I12" s="17" t="s">
        <v>127</v>
      </c>
      <c r="J12" s="20">
        <v>32.840722495894909</v>
      </c>
      <c r="N12" s="76"/>
      <c r="O12" s="76"/>
      <c r="P12" s="76"/>
      <c r="Q12" s="76"/>
      <c r="R12" s="76"/>
    </row>
    <row r="13" spans="1:24">
      <c r="A13" s="25" t="s">
        <v>123</v>
      </c>
      <c r="B13" s="25" t="s">
        <v>124</v>
      </c>
      <c r="C13" s="46">
        <v>1</v>
      </c>
      <c r="D13" s="50">
        <f t="shared" si="3"/>
        <v>1</v>
      </c>
      <c r="E13" s="50">
        <f t="shared" si="4"/>
        <v>49.97</v>
      </c>
      <c r="F13" s="51">
        <f t="shared" si="5"/>
        <v>1.2007204322593557</v>
      </c>
      <c r="G13" s="50">
        <f t="shared" si="6"/>
        <v>20</v>
      </c>
      <c r="H13" s="52">
        <f t="shared" si="7"/>
        <v>24.014408645187114</v>
      </c>
      <c r="I13" s="17" t="s">
        <v>128</v>
      </c>
      <c r="J13" s="20">
        <v>32.840722495894909</v>
      </c>
      <c r="N13" s="76"/>
      <c r="O13" s="76"/>
      <c r="P13" s="76"/>
      <c r="Q13" s="76"/>
      <c r="R13" s="76"/>
    </row>
    <row r="14" spans="1:24">
      <c r="A14" s="25" t="s">
        <v>123</v>
      </c>
      <c r="B14" s="25" t="s">
        <v>114</v>
      </c>
      <c r="C14" s="46">
        <v>1</v>
      </c>
      <c r="D14" s="50">
        <f t="shared" si="3"/>
        <v>1</v>
      </c>
      <c r="E14" s="50">
        <f t="shared" si="4"/>
        <v>49.97</v>
      </c>
      <c r="F14" s="51">
        <f t="shared" si="5"/>
        <v>1.2007204322593557</v>
      </c>
      <c r="G14" s="50">
        <f t="shared" si="6"/>
        <v>20</v>
      </c>
      <c r="H14" s="52">
        <f t="shared" si="7"/>
        <v>24.014408645187114</v>
      </c>
      <c r="I14" s="17" t="s">
        <v>35</v>
      </c>
      <c r="J14" s="20">
        <v>978.20886204919748</v>
      </c>
      <c r="N14" s="76"/>
      <c r="O14" s="76"/>
      <c r="P14" s="76"/>
      <c r="Q14" s="76"/>
      <c r="R14" s="76"/>
    </row>
    <row r="15" spans="1:24">
      <c r="A15" s="25" t="s">
        <v>125</v>
      </c>
      <c r="B15" s="25" t="s">
        <v>112</v>
      </c>
      <c r="C15" s="46">
        <v>1</v>
      </c>
      <c r="D15" s="50">
        <f t="shared" si="3"/>
        <v>2</v>
      </c>
      <c r="E15" s="50">
        <f t="shared" si="4"/>
        <v>73.08</v>
      </c>
      <c r="F15" s="51">
        <f t="shared" si="5"/>
        <v>0.82101806239737274</v>
      </c>
      <c r="G15" s="50">
        <f t="shared" si="6"/>
        <v>20</v>
      </c>
      <c r="H15" s="52">
        <f t="shared" si="7"/>
        <v>32.840722495894909</v>
      </c>
      <c r="N15" s="76"/>
      <c r="O15" s="76"/>
      <c r="P15" s="76"/>
      <c r="Q15" s="76"/>
      <c r="R15" s="76"/>
    </row>
    <row r="16" spans="1:24">
      <c r="A16" s="25" t="s">
        <v>125</v>
      </c>
      <c r="B16" s="25" t="s">
        <v>126</v>
      </c>
      <c r="C16" s="46">
        <v>1</v>
      </c>
      <c r="D16" s="50">
        <f t="shared" si="3"/>
        <v>2</v>
      </c>
      <c r="E16" s="50">
        <f t="shared" si="4"/>
        <v>73.08</v>
      </c>
      <c r="F16" s="51">
        <f t="shared" si="5"/>
        <v>0.82101806239737274</v>
      </c>
      <c r="G16" s="50">
        <f t="shared" si="6"/>
        <v>20</v>
      </c>
      <c r="H16" s="52">
        <f t="shared" si="7"/>
        <v>32.840722495894909</v>
      </c>
      <c r="N16" s="76">
        <v>63.24</v>
      </c>
      <c r="O16" s="76">
        <v>3</v>
      </c>
      <c r="P16" s="76"/>
      <c r="Q16" s="30">
        <v>42</v>
      </c>
      <c r="R16" s="76">
        <f>Q16/P2</f>
        <v>1.1382113821138211</v>
      </c>
    </row>
    <row r="17" spans="1:18">
      <c r="A17" s="25" t="s">
        <v>125</v>
      </c>
      <c r="B17" s="25" t="s">
        <v>127</v>
      </c>
      <c r="C17" s="46">
        <v>1</v>
      </c>
      <c r="D17" s="50">
        <f t="shared" si="3"/>
        <v>2</v>
      </c>
      <c r="E17" s="50">
        <f t="shared" si="4"/>
        <v>73.08</v>
      </c>
      <c r="F17" s="51">
        <f t="shared" si="5"/>
        <v>0.82101806239737274</v>
      </c>
      <c r="G17" s="50">
        <f t="shared" si="6"/>
        <v>20</v>
      </c>
      <c r="H17" s="52">
        <f t="shared" si="7"/>
        <v>32.840722495894909</v>
      </c>
      <c r="N17" s="76">
        <v>49.97</v>
      </c>
      <c r="O17" s="76">
        <v>1</v>
      </c>
      <c r="P17" s="76"/>
      <c r="Q17" s="30">
        <v>50.002800000000001</v>
      </c>
      <c r="R17" s="76">
        <f t="shared" ref="R17:R21" si="9">Q17/P3</f>
        <v>1.9012471482889735</v>
      </c>
    </row>
    <row r="18" spans="1:18">
      <c r="A18" s="25" t="s">
        <v>125</v>
      </c>
      <c r="B18" s="25" t="s">
        <v>128</v>
      </c>
      <c r="C18" s="46">
        <v>1</v>
      </c>
      <c r="D18" s="50">
        <f t="shared" si="3"/>
        <v>2</v>
      </c>
      <c r="E18" s="50">
        <f t="shared" si="4"/>
        <v>73.08</v>
      </c>
      <c r="F18" s="51">
        <f t="shared" si="5"/>
        <v>0.82101806239737274</v>
      </c>
      <c r="G18" s="50">
        <f t="shared" si="6"/>
        <v>20</v>
      </c>
      <c r="H18" s="52">
        <f t="shared" si="7"/>
        <v>32.840722495894909</v>
      </c>
      <c r="N18" s="76">
        <v>73.08</v>
      </c>
      <c r="O18" s="76">
        <v>2</v>
      </c>
      <c r="P18" s="76"/>
      <c r="Q18" s="30">
        <v>73</v>
      </c>
      <c r="R18" s="76">
        <f t="shared" si="9"/>
        <v>2.7969348659003832</v>
      </c>
    </row>
    <row r="19" spans="1:18">
      <c r="A19" s="25" t="s">
        <v>125</v>
      </c>
      <c r="B19" s="25" t="s">
        <v>114</v>
      </c>
      <c r="C19" s="46">
        <v>1</v>
      </c>
      <c r="D19" s="50">
        <f t="shared" si="3"/>
        <v>2</v>
      </c>
      <c r="E19" s="50">
        <f t="shared" si="4"/>
        <v>73.08</v>
      </c>
      <c r="F19" s="51">
        <f t="shared" si="5"/>
        <v>0.82101806239737274</v>
      </c>
      <c r="G19" s="50">
        <f t="shared" si="6"/>
        <v>20</v>
      </c>
      <c r="H19" s="52">
        <f t="shared" si="7"/>
        <v>32.840722495894909</v>
      </c>
      <c r="N19" s="76">
        <v>72.449999999999989</v>
      </c>
      <c r="O19" s="76">
        <v>2</v>
      </c>
      <c r="P19" s="76"/>
      <c r="Q19" s="30">
        <v>75</v>
      </c>
      <c r="R19" s="76">
        <f t="shared" si="9"/>
        <v>2.3809523809523809</v>
      </c>
    </row>
    <row r="20" spans="1:18">
      <c r="A20" s="25" t="s">
        <v>111</v>
      </c>
      <c r="B20" s="25" t="s">
        <v>112</v>
      </c>
      <c r="C20" s="46">
        <v>1</v>
      </c>
      <c r="D20" s="50">
        <f t="shared" si="3"/>
        <v>1</v>
      </c>
      <c r="E20" s="50">
        <f t="shared" si="4"/>
        <v>70.61999999999999</v>
      </c>
      <c r="F20" s="51">
        <f t="shared" si="5"/>
        <v>0.84961767204757865</v>
      </c>
      <c r="G20" s="50">
        <f t="shared" si="6"/>
        <v>20</v>
      </c>
      <c r="H20" s="52">
        <f t="shared" si="7"/>
        <v>16.992353440951572</v>
      </c>
      <c r="N20" s="76">
        <v>74.835999999999999</v>
      </c>
      <c r="O20" s="76">
        <v>1</v>
      </c>
      <c r="P20" s="76"/>
      <c r="Q20" s="30">
        <v>75</v>
      </c>
      <c r="R20" s="76">
        <f t="shared" si="9"/>
        <v>3.5377358490566038</v>
      </c>
    </row>
    <row r="21" spans="1:18">
      <c r="A21" s="25" t="s">
        <v>111</v>
      </c>
      <c r="B21" s="25" t="s">
        <v>113</v>
      </c>
      <c r="C21" s="46">
        <v>1</v>
      </c>
      <c r="D21" s="50">
        <f t="shared" si="3"/>
        <v>1</v>
      </c>
      <c r="E21" s="50">
        <f t="shared" si="4"/>
        <v>70.61999999999999</v>
      </c>
      <c r="F21" s="51">
        <f t="shared" si="5"/>
        <v>0.84961767204757865</v>
      </c>
      <c r="G21" s="50">
        <f t="shared" si="6"/>
        <v>20</v>
      </c>
      <c r="H21" s="52">
        <f t="shared" si="7"/>
        <v>16.992353440951572</v>
      </c>
      <c r="N21" s="76">
        <v>71.100000000000009</v>
      </c>
      <c r="O21" s="76">
        <v>1</v>
      </c>
      <c r="P21" s="76"/>
      <c r="Q21" s="30">
        <v>126</v>
      </c>
      <c r="R21" s="76">
        <f t="shared" si="9"/>
        <v>11.77570093457944</v>
      </c>
    </row>
    <row r="22" spans="1:18">
      <c r="A22" s="25" t="s">
        <v>111</v>
      </c>
      <c r="B22" s="25" t="s">
        <v>114</v>
      </c>
      <c r="C22" s="46">
        <v>0</v>
      </c>
      <c r="D22" s="50">
        <f t="shared" si="3"/>
        <v>1</v>
      </c>
      <c r="E22" s="50">
        <f t="shared" si="4"/>
        <v>70.61999999999999</v>
      </c>
      <c r="F22" s="51">
        <f t="shared" si="5"/>
        <v>0</v>
      </c>
      <c r="G22" s="50">
        <f t="shared" si="6"/>
        <v>20</v>
      </c>
      <c r="H22" s="52">
        <f t="shared" si="7"/>
        <v>0</v>
      </c>
      <c r="N22" s="76"/>
      <c r="O22" s="76"/>
      <c r="P22" s="76"/>
      <c r="Q22" s="76"/>
      <c r="R22" s="76"/>
    </row>
    <row r="23" spans="1:18">
      <c r="A23" s="25" t="s">
        <v>115</v>
      </c>
      <c r="B23" s="25" t="s">
        <v>112</v>
      </c>
      <c r="C23" s="46">
        <v>1</v>
      </c>
      <c r="D23" s="50">
        <f t="shared" si="3"/>
        <v>2</v>
      </c>
      <c r="E23" s="50">
        <f t="shared" si="4"/>
        <v>72.449999999999989</v>
      </c>
      <c r="F23" s="51">
        <f t="shared" si="5"/>
        <v>0.82815734989648049</v>
      </c>
      <c r="G23" s="50">
        <f t="shared" si="6"/>
        <v>20</v>
      </c>
      <c r="H23" s="52">
        <f t="shared" si="7"/>
        <v>33.126293995859221</v>
      </c>
      <c r="N23" s="76"/>
      <c r="O23" s="76"/>
      <c r="P23" s="76"/>
      <c r="Q23" s="76"/>
      <c r="R23" s="76"/>
    </row>
    <row r="24" spans="1:18">
      <c r="A24" s="25" t="s">
        <v>115</v>
      </c>
      <c r="B24" s="25" t="s">
        <v>113</v>
      </c>
      <c r="C24" s="46">
        <v>1</v>
      </c>
      <c r="D24" s="50">
        <f t="shared" si="3"/>
        <v>2</v>
      </c>
      <c r="E24" s="50">
        <f t="shared" si="4"/>
        <v>72.449999999999989</v>
      </c>
      <c r="F24" s="51">
        <f t="shared" si="5"/>
        <v>0.82815734989648049</v>
      </c>
      <c r="G24" s="50">
        <f t="shared" si="6"/>
        <v>20</v>
      </c>
      <c r="H24" s="52">
        <f t="shared" si="7"/>
        <v>33.126293995859221</v>
      </c>
      <c r="N24" s="76"/>
      <c r="O24" s="76"/>
      <c r="P24" s="76"/>
      <c r="Q24" s="76"/>
      <c r="R24" s="76"/>
    </row>
    <row r="25" spans="1:18">
      <c r="A25" s="25" t="s">
        <v>115</v>
      </c>
      <c r="B25" s="25" t="s">
        <v>116</v>
      </c>
      <c r="C25" s="46">
        <v>1</v>
      </c>
      <c r="D25" s="50">
        <f t="shared" si="3"/>
        <v>2</v>
      </c>
      <c r="E25" s="50">
        <f t="shared" si="4"/>
        <v>72.449999999999989</v>
      </c>
      <c r="F25" s="51">
        <f t="shared" si="5"/>
        <v>0.82815734989648049</v>
      </c>
      <c r="G25" s="50">
        <f t="shared" si="6"/>
        <v>20</v>
      </c>
      <c r="H25" s="52">
        <f t="shared" si="7"/>
        <v>33.126293995859221</v>
      </c>
      <c r="N25" s="76"/>
      <c r="O25" s="76"/>
      <c r="P25" s="76"/>
      <c r="Q25" s="76">
        <v>63.24</v>
      </c>
      <c r="R25" s="76">
        <v>3</v>
      </c>
    </row>
    <row r="26" spans="1:18">
      <c r="A26" s="25" t="s">
        <v>115</v>
      </c>
      <c r="B26" s="25" t="s">
        <v>117</v>
      </c>
      <c r="C26" s="46">
        <v>1</v>
      </c>
      <c r="D26" s="50">
        <f t="shared" si="3"/>
        <v>2</v>
      </c>
      <c r="E26" s="50">
        <f t="shared" si="4"/>
        <v>72.449999999999989</v>
      </c>
      <c r="F26" s="51">
        <f t="shared" si="5"/>
        <v>0.82815734989648049</v>
      </c>
      <c r="G26" s="50">
        <f t="shared" si="6"/>
        <v>20</v>
      </c>
      <c r="H26" s="52">
        <f t="shared" si="7"/>
        <v>33.126293995859221</v>
      </c>
      <c r="N26" s="76"/>
      <c r="O26" s="76"/>
      <c r="P26" s="76"/>
      <c r="Q26" s="76">
        <v>49.97</v>
      </c>
      <c r="R26" s="76">
        <v>1</v>
      </c>
    </row>
    <row r="27" spans="1:18">
      <c r="A27" s="25" t="s">
        <v>115</v>
      </c>
      <c r="B27" s="25" t="s">
        <v>118</v>
      </c>
      <c r="C27" s="46">
        <v>1</v>
      </c>
      <c r="D27" s="50">
        <f t="shared" si="3"/>
        <v>2</v>
      </c>
      <c r="E27" s="50">
        <f t="shared" si="4"/>
        <v>72.449999999999989</v>
      </c>
      <c r="F27" s="51">
        <f t="shared" si="5"/>
        <v>0.82815734989648049</v>
      </c>
      <c r="G27" s="50">
        <f t="shared" si="6"/>
        <v>20</v>
      </c>
      <c r="H27" s="52">
        <f t="shared" si="7"/>
        <v>33.126293995859221</v>
      </c>
      <c r="N27" s="76"/>
      <c r="O27" s="76"/>
      <c r="P27" s="76"/>
      <c r="Q27" s="76">
        <v>73.08</v>
      </c>
      <c r="R27" s="76">
        <v>2</v>
      </c>
    </row>
    <row r="28" spans="1:18">
      <c r="A28" s="25" t="s">
        <v>115</v>
      </c>
      <c r="B28" s="25" t="s">
        <v>114</v>
      </c>
      <c r="C28" s="46">
        <v>1</v>
      </c>
      <c r="D28" s="50">
        <f t="shared" si="3"/>
        <v>2</v>
      </c>
      <c r="E28" s="50">
        <f t="shared" si="4"/>
        <v>72.449999999999989</v>
      </c>
      <c r="F28" s="51">
        <f t="shared" si="5"/>
        <v>0.82815734989648049</v>
      </c>
      <c r="G28" s="50">
        <f t="shared" si="6"/>
        <v>20</v>
      </c>
      <c r="H28" s="52">
        <f t="shared" si="7"/>
        <v>33.126293995859221</v>
      </c>
      <c r="N28" s="76"/>
      <c r="O28" s="76"/>
      <c r="P28" s="76"/>
      <c r="Q28" s="76">
        <v>72.449999999999989</v>
      </c>
      <c r="R28" s="76">
        <v>2</v>
      </c>
    </row>
    <row r="29" spans="1:18">
      <c r="A29" s="25" t="s">
        <v>121</v>
      </c>
      <c r="B29" s="25" t="s">
        <v>112</v>
      </c>
      <c r="C29" s="46">
        <v>1</v>
      </c>
      <c r="D29" s="50">
        <f t="shared" si="3"/>
        <v>1</v>
      </c>
      <c r="E29" s="50">
        <f t="shared" si="4"/>
        <v>74.835999999999999</v>
      </c>
      <c r="F29" s="51">
        <f t="shared" si="5"/>
        <v>0.80175316692500942</v>
      </c>
      <c r="G29" s="50">
        <f t="shared" si="6"/>
        <v>20</v>
      </c>
      <c r="H29" s="52">
        <f t="shared" si="7"/>
        <v>16.035063338500187</v>
      </c>
      <c r="N29" s="76"/>
      <c r="O29" s="76"/>
      <c r="P29" s="76"/>
      <c r="Q29" s="76">
        <v>74.835999999999999</v>
      </c>
      <c r="R29" s="76">
        <v>1</v>
      </c>
    </row>
    <row r="30" spans="1:18">
      <c r="A30" s="25" t="s">
        <v>121</v>
      </c>
      <c r="B30" s="25" t="s">
        <v>113</v>
      </c>
      <c r="C30" s="46">
        <v>1</v>
      </c>
      <c r="D30" s="50">
        <f t="shared" si="3"/>
        <v>1</v>
      </c>
      <c r="E30" s="50">
        <f t="shared" si="4"/>
        <v>74.835999999999999</v>
      </c>
      <c r="F30" s="51">
        <f t="shared" si="5"/>
        <v>0.80175316692500942</v>
      </c>
      <c r="G30" s="50">
        <f t="shared" si="6"/>
        <v>20</v>
      </c>
      <c r="H30" s="52">
        <f t="shared" si="7"/>
        <v>16.035063338500187</v>
      </c>
      <c r="N30" s="76"/>
      <c r="O30" s="76"/>
      <c r="P30" s="76"/>
      <c r="Q30" s="76">
        <v>126.4</v>
      </c>
      <c r="R30" s="76">
        <v>1</v>
      </c>
    </row>
    <row r="31" spans="1:18">
      <c r="A31" s="25" t="s">
        <v>121</v>
      </c>
      <c r="B31" s="25" t="s">
        <v>122</v>
      </c>
      <c r="C31" s="46">
        <v>1</v>
      </c>
      <c r="D31" s="50">
        <f t="shared" si="3"/>
        <v>1</v>
      </c>
      <c r="E31" s="50">
        <f t="shared" si="4"/>
        <v>74.835999999999999</v>
      </c>
      <c r="F31" s="51">
        <f t="shared" si="5"/>
        <v>0.80175316692500942</v>
      </c>
      <c r="G31" s="50">
        <f t="shared" si="6"/>
        <v>20</v>
      </c>
      <c r="H31" s="52">
        <f t="shared" si="7"/>
        <v>16.035063338500187</v>
      </c>
      <c r="N31" s="76"/>
      <c r="O31" s="76"/>
      <c r="P31" s="76"/>
      <c r="Q31" s="76"/>
      <c r="R31" s="76"/>
    </row>
    <row r="32" spans="1:18">
      <c r="A32" s="25" t="s">
        <v>121</v>
      </c>
      <c r="B32" s="25" t="s">
        <v>114</v>
      </c>
      <c r="C32" s="46">
        <v>1</v>
      </c>
      <c r="D32" s="50">
        <f t="shared" si="3"/>
        <v>1</v>
      </c>
      <c r="E32" s="50">
        <f t="shared" si="4"/>
        <v>74.835999999999999</v>
      </c>
      <c r="F32" s="51">
        <f t="shared" si="5"/>
        <v>0.80175316692500942</v>
      </c>
      <c r="G32" s="50">
        <f t="shared" si="6"/>
        <v>20</v>
      </c>
      <c r="H32" s="52">
        <f t="shared" si="7"/>
        <v>16.035063338500187</v>
      </c>
      <c r="N32" s="76"/>
      <c r="O32" s="76"/>
      <c r="P32" s="76"/>
      <c r="Q32" s="76"/>
      <c r="R32" s="76"/>
    </row>
    <row r="33" spans="1:18">
      <c r="A33" s="18" t="s">
        <v>111</v>
      </c>
      <c r="B33" s="25" t="s">
        <v>116</v>
      </c>
      <c r="C33" s="46">
        <v>0</v>
      </c>
      <c r="D33" s="50">
        <f t="shared" ref="D33" si="10">VLOOKUP(A33,$M$1:$W$8,6,FALSE)</f>
        <v>1</v>
      </c>
      <c r="E33" s="50">
        <f t="shared" ref="E33" si="11">VLOOKUP(A33,$M$1:$W$8,5,FALSE)</f>
        <v>70.61999999999999</v>
      </c>
      <c r="F33" s="51">
        <f t="shared" ref="F33" si="12">60/E33*C33</f>
        <v>0</v>
      </c>
      <c r="G33" s="50">
        <f t="shared" ref="G33" si="13">VLOOKUP(A33,$M$1:$W$8,8,FALSE)</f>
        <v>20</v>
      </c>
      <c r="H33" s="52">
        <f t="shared" ref="H33" si="14">D33*F33*G33</f>
        <v>0</v>
      </c>
      <c r="N33" s="76"/>
      <c r="O33" s="76"/>
      <c r="P33" s="76"/>
      <c r="Q33" s="76"/>
      <c r="R33" s="76"/>
    </row>
    <row r="34" spans="1:18" hidden="1">
      <c r="A34" s="55"/>
      <c r="B34" s="55"/>
      <c r="C34" s="55"/>
      <c r="D34" s="55"/>
      <c r="N34" s="76"/>
      <c r="O34" s="76"/>
      <c r="P34" s="76"/>
      <c r="Q34" s="76"/>
      <c r="R34" s="76"/>
    </row>
    <row r="35" spans="1:18" ht="15" thickBot="1">
      <c r="N35" s="76"/>
      <c r="O35" s="76"/>
      <c r="P35" s="76"/>
      <c r="Q35" s="76"/>
      <c r="R35" s="76"/>
    </row>
    <row r="36" spans="1:18">
      <c r="A36" s="83" t="s">
        <v>66</v>
      </c>
      <c r="B36" s="84"/>
      <c r="N36" s="76"/>
      <c r="O36" s="76"/>
      <c r="P36" s="76"/>
      <c r="Q36" s="76"/>
      <c r="R36" s="76"/>
    </row>
    <row r="37" spans="1:18" ht="116">
      <c r="A37" s="72" t="s">
        <v>65</v>
      </c>
      <c r="B37" s="73" t="s">
        <v>53</v>
      </c>
      <c r="C37" s="74" t="s">
        <v>51</v>
      </c>
      <c r="D37" s="75" t="s">
        <v>52</v>
      </c>
      <c r="E37" s="35"/>
      <c r="F37" s="63" t="s">
        <v>76</v>
      </c>
      <c r="G37" s="61" t="s">
        <v>50</v>
      </c>
      <c r="H37" s="61" t="s">
        <v>54</v>
      </c>
      <c r="I37" s="61" t="s">
        <v>55</v>
      </c>
      <c r="N37" s="76"/>
      <c r="O37" s="76"/>
      <c r="P37" s="76"/>
      <c r="Q37" s="76"/>
      <c r="R37" s="76"/>
    </row>
    <row r="38" spans="1:18">
      <c r="A38" s="67" t="s">
        <v>112</v>
      </c>
      <c r="B38" s="68">
        <v>520</v>
      </c>
      <c r="C38" s="62">
        <f>GETPIVOTDATA("Итого",$I$1,"transaction rq",A38)*3</f>
        <v>539.19101809177675</v>
      </c>
      <c r="D38" s="23">
        <f>1-B38/C38</f>
        <v>3.5592243653639999E-2</v>
      </c>
      <c r="E38" s="34"/>
      <c r="F38" s="64" t="str">
        <f>VLOOKUP(A38,Соответствие!A:B,2,FALSE)</f>
        <v>Open_start_page</v>
      </c>
      <c r="G38" s="65">
        <f>C38/3</f>
        <v>179.73033936392559</v>
      </c>
      <c r="H38" s="66" t="e">
        <f>VLOOKUP(F38,SummaryReport!A:J,8,FALSE)</f>
        <v>#N/A</v>
      </c>
      <c r="I38" s="24" t="e">
        <f t="shared" ref="I38:I49" si="15">1-G38/H38</f>
        <v>#N/A</v>
      </c>
      <c r="N38" s="76"/>
      <c r="O38" s="76"/>
      <c r="P38" s="76"/>
      <c r="Q38" s="76"/>
      <c r="R38" s="76"/>
    </row>
    <row r="39" spans="1:18">
      <c r="A39" s="67" t="s">
        <v>113</v>
      </c>
      <c r="B39" s="68">
        <v>422</v>
      </c>
      <c r="C39" s="62">
        <f t="shared" ref="C39:C49" si="16">GETPIVOTDATA("Итого",$I$1,"transaction rq",A39)*3</f>
        <v>440.66885060409214</v>
      </c>
      <c r="D39" s="23">
        <f>1-B39/C39</f>
        <v>4.236480654010355E-2</v>
      </c>
      <c r="E39" s="34"/>
      <c r="F39" s="64" t="str">
        <f>VLOOKUP(A39,Соответствие!A:B,2,FALSE)</f>
        <v>LogIn</v>
      </c>
      <c r="G39" s="65">
        <f t="shared" ref="G39:G49" si="17">C39/3</f>
        <v>146.88961686803071</v>
      </c>
      <c r="H39" s="66">
        <f>VLOOKUP(F39,SummaryReport!A:J,8,FALSE)</f>
        <v>136</v>
      </c>
      <c r="I39" s="24">
        <f t="shared" si="15"/>
        <v>-8.0070712264931787E-2</v>
      </c>
      <c r="N39" s="76"/>
      <c r="O39" s="76"/>
      <c r="P39" s="76"/>
      <c r="Q39" s="76"/>
      <c r="R39" s="76"/>
    </row>
    <row r="40" spans="1:18">
      <c r="A40" s="67" t="s">
        <v>116</v>
      </c>
      <c r="B40" s="68">
        <v>305</v>
      </c>
      <c r="C40" s="62">
        <v>314</v>
      </c>
      <c r="D40" s="23">
        <f>1-B40/C40</f>
        <v>2.8662420382165599E-2</v>
      </c>
      <c r="E40" s="34"/>
      <c r="F40" s="64" t="str">
        <f>VLOOKUP(A40,Соответствие!A:B,2,FALSE)</f>
        <v>Open_search_tour</v>
      </c>
      <c r="G40" s="65">
        <f t="shared" si="17"/>
        <v>104.66666666666667</v>
      </c>
      <c r="H40" s="66" t="e">
        <f>VLOOKUP(F40,SummaryReport!A:J,8,FALSE)</f>
        <v>#N/A</v>
      </c>
      <c r="I40" s="24"/>
      <c r="N40" s="76"/>
      <c r="O40" s="76"/>
      <c r="P40" s="76"/>
      <c r="Q40" s="77"/>
      <c r="R40" s="76"/>
    </row>
    <row r="41" spans="1:18">
      <c r="A41" s="67" t="s">
        <v>117</v>
      </c>
      <c r="B41" s="68">
        <v>282</v>
      </c>
      <c r="C41" s="62">
        <f t="shared" si="16"/>
        <v>269.54337433017554</v>
      </c>
      <c r="D41" s="23">
        <f t="shared" ref="D41:D50" si="18">1-B41/C41</f>
        <v>-4.6213807706383392E-2</v>
      </c>
      <c r="E41" s="34"/>
      <c r="F41" s="64" t="str">
        <f>VLOOKUP(A41,Соответствие!A:B,2,FALSE)</f>
        <v>Search_tour_round-trip</v>
      </c>
      <c r="G41" s="65">
        <f t="shared" si="17"/>
        <v>89.847791443391841</v>
      </c>
      <c r="H41" s="66" t="e">
        <f>VLOOKUP(F41,SummaryReport!A:J,8,FALSE)</f>
        <v>#N/A</v>
      </c>
      <c r="I41" s="24" t="e">
        <f t="shared" si="15"/>
        <v>#N/A</v>
      </c>
      <c r="N41" s="76"/>
      <c r="O41" s="76"/>
      <c r="P41" s="76"/>
      <c r="Q41" s="77"/>
      <c r="R41" s="76"/>
    </row>
    <row r="42" spans="1:18">
      <c r="A42" s="67" t="s">
        <v>118</v>
      </c>
      <c r="B42" s="68">
        <v>270</v>
      </c>
      <c r="C42" s="62">
        <f t="shared" si="16"/>
        <v>269.54337433017554</v>
      </c>
      <c r="D42" s="23">
        <f t="shared" si="18"/>
        <v>-1.6940712082393894E-3</v>
      </c>
      <c r="E42" s="34"/>
      <c r="F42" s="64" t="str">
        <f>VLOOKUP(A42,Соответствие!A:B,2,FALSE)</f>
        <v>Select_flight</v>
      </c>
      <c r="G42" s="65">
        <f t="shared" si="17"/>
        <v>89.847791443391841</v>
      </c>
      <c r="H42" s="66" t="e">
        <f>VLOOKUP(F42,SummaryReport!A:J,8,FALSE)</f>
        <v>#N/A</v>
      </c>
      <c r="I42" s="24" t="e">
        <f t="shared" si="15"/>
        <v>#N/A</v>
      </c>
      <c r="N42" s="76"/>
      <c r="O42" s="76"/>
      <c r="P42" s="76"/>
      <c r="Q42" s="77"/>
      <c r="R42" s="76"/>
    </row>
    <row r="43" spans="1:18">
      <c r="A43" s="67" t="s">
        <v>120</v>
      </c>
      <c r="B43" s="68">
        <v>175</v>
      </c>
      <c r="C43" s="62">
        <f t="shared" si="16"/>
        <v>170.16449234259787</v>
      </c>
      <c r="D43" s="23">
        <f t="shared" si="18"/>
        <v>-2.8416666666666535E-2</v>
      </c>
      <c r="E43" s="34"/>
      <c r="F43" s="64" t="str">
        <f>VLOOKUP(A43,Соответствие!A:B,2,FALSE)</f>
        <v>Booking_payment</v>
      </c>
      <c r="G43" s="65">
        <f t="shared" si="17"/>
        <v>56.72149744753262</v>
      </c>
      <c r="H43" s="66" t="e">
        <f>VLOOKUP(F43,SummaryReport!A:J,8,FALSE)</f>
        <v>#N/A</v>
      </c>
      <c r="I43" s="24" t="e">
        <f t="shared" si="15"/>
        <v>#N/A</v>
      </c>
      <c r="N43" s="76"/>
      <c r="O43" s="76"/>
      <c r="P43" s="76"/>
      <c r="Q43" s="77"/>
      <c r="R43" s="76"/>
    </row>
    <row r="44" spans="1:18">
      <c r="A44" s="67" t="s">
        <v>122</v>
      </c>
      <c r="B44" s="68">
        <v>280</v>
      </c>
      <c r="C44" s="62">
        <f t="shared" si="16"/>
        <v>290.3129082936598</v>
      </c>
      <c r="D44" s="23">
        <f t="shared" si="18"/>
        <v>3.5523423172172608E-2</v>
      </c>
      <c r="E44" s="41"/>
      <c r="F44" s="64" t="str">
        <f>VLOOKUP(A44,Соответствие!A:B,2,FALSE)</f>
        <v>Open_booking_list</v>
      </c>
      <c r="G44" s="65">
        <f t="shared" si="17"/>
        <v>96.770969431219939</v>
      </c>
      <c r="H44" s="66" t="e">
        <f>VLOOKUP(F44,SummaryReport!A:J,8,FALSE)</f>
        <v>#N/A</v>
      </c>
      <c r="I44" s="24" t="e">
        <f t="shared" si="15"/>
        <v>#N/A</v>
      </c>
      <c r="N44" s="76"/>
      <c r="O44" s="76"/>
      <c r="P44" s="76"/>
      <c r="Q44" s="77"/>
      <c r="R44" s="76"/>
    </row>
    <row r="45" spans="1:18">
      <c r="A45" s="67" t="s">
        <v>124</v>
      </c>
      <c r="B45" s="68">
        <v>73</v>
      </c>
      <c r="C45" s="62">
        <f t="shared" si="16"/>
        <v>72.043225935561338</v>
      </c>
      <c r="D45" s="23">
        <f t="shared" si="18"/>
        <v>-1.3280555555555518E-2</v>
      </c>
      <c r="E45" s="34"/>
      <c r="F45" s="64" t="str">
        <f>VLOOKUP(A45,Соответствие!A:B,2,FALSE)</f>
        <v>Delete_flight</v>
      </c>
      <c r="G45" s="65">
        <f t="shared" si="17"/>
        <v>24.014408645187114</v>
      </c>
      <c r="H45" s="66" t="e">
        <f>VLOOKUP(F45,SummaryReport!A:J,8,FALSE)</f>
        <v>#N/A</v>
      </c>
      <c r="I45" s="24" t="e">
        <f t="shared" si="15"/>
        <v>#N/A</v>
      </c>
      <c r="N45" s="76"/>
      <c r="O45" s="76"/>
      <c r="P45" s="76"/>
      <c r="Q45" s="77"/>
      <c r="R45" s="76"/>
    </row>
    <row r="46" spans="1:18">
      <c r="A46" s="67" t="s">
        <v>114</v>
      </c>
      <c r="B46" s="68">
        <v>326</v>
      </c>
      <c r="C46" s="62">
        <f t="shared" si="16"/>
        <v>318.04946542632433</v>
      </c>
      <c r="D46" s="23">
        <f t="shared" si="18"/>
        <v>-2.4997792601281432E-2</v>
      </c>
      <c r="E46" s="34"/>
      <c r="F46" s="64" t="str">
        <f>VLOOKUP(A46,Соответствие!A:B,2,FALSE)</f>
        <v>LogOut</v>
      </c>
      <c r="G46" s="65">
        <f t="shared" si="17"/>
        <v>106.01648847544145</v>
      </c>
      <c r="H46" s="66">
        <f>VLOOKUP(F46,SummaryReport!A:J,8,FALSE)</f>
        <v>107</v>
      </c>
      <c r="I46" s="24">
        <f t="shared" si="15"/>
        <v>9.1916964912014398E-3</v>
      </c>
      <c r="N46" s="76"/>
      <c r="O46" s="76"/>
      <c r="P46" s="76"/>
      <c r="Q46" s="76"/>
      <c r="R46" s="76"/>
    </row>
    <row r="47" spans="1:18">
      <c r="A47" s="67" t="s">
        <v>126</v>
      </c>
      <c r="B47" s="68">
        <v>97</v>
      </c>
      <c r="C47" s="62">
        <f t="shared" si="16"/>
        <v>98.522167487684726</v>
      </c>
      <c r="D47" s="23">
        <f t="shared" si="18"/>
        <v>1.5449999999999964E-2</v>
      </c>
      <c r="E47" s="34"/>
      <c r="F47" s="64" t="str">
        <f>VLOOKUP(A47,Соответствие!A:B,2,FALSE)</f>
        <v>Registration</v>
      </c>
      <c r="G47" s="65">
        <f t="shared" si="17"/>
        <v>32.840722495894909</v>
      </c>
      <c r="H47" s="66"/>
      <c r="I47" s="24" t="e">
        <f t="shared" si="15"/>
        <v>#DIV/0!</v>
      </c>
    </row>
    <row r="48" spans="1:18">
      <c r="A48" s="67" t="s">
        <v>127</v>
      </c>
      <c r="B48" s="68">
        <v>97</v>
      </c>
      <c r="C48" s="62">
        <f t="shared" si="16"/>
        <v>98.522167487684726</v>
      </c>
      <c r="D48" s="23">
        <f t="shared" si="18"/>
        <v>1.5449999999999964E-2</v>
      </c>
      <c r="E48" s="34"/>
      <c r="F48" s="64" t="str">
        <f>VLOOKUP(A48,Соответствие!A:B,2,FALSE)</f>
        <v>Input_data</v>
      </c>
      <c r="G48" s="65">
        <f t="shared" si="17"/>
        <v>32.840722495894909</v>
      </c>
      <c r="H48" s="66"/>
      <c r="I48" s="24" t="e">
        <f t="shared" si="15"/>
        <v>#DIV/0!</v>
      </c>
    </row>
    <row r="49" spans="1:10">
      <c r="A49" s="67" t="s">
        <v>128</v>
      </c>
      <c r="B49" s="68">
        <v>97</v>
      </c>
      <c r="C49" s="62">
        <f t="shared" si="16"/>
        <v>98.522167487684726</v>
      </c>
      <c r="D49" s="23">
        <f t="shared" si="18"/>
        <v>1.5449999999999964E-2</v>
      </c>
      <c r="E49" s="34"/>
      <c r="F49" s="64" t="str">
        <f>VLOOKUP(A49,Соответствие!A:B,2,FALSE)</f>
        <v>Personal_Account</v>
      </c>
      <c r="G49" s="65">
        <f t="shared" si="17"/>
        <v>32.840722495894909</v>
      </c>
      <c r="H49" s="66"/>
      <c r="I49" s="24" t="e">
        <f t="shared" si="15"/>
        <v>#DIV/0!</v>
      </c>
    </row>
    <row r="50" spans="1:10" ht="15" thickBot="1">
      <c r="A50" s="69" t="s">
        <v>6</v>
      </c>
      <c r="B50" s="70">
        <f>SUM(B38:B49)</f>
        <v>2944</v>
      </c>
      <c r="C50" s="71">
        <f>SUM(C38:C49)</f>
        <v>2979.0832118174176</v>
      </c>
      <c r="D50" s="78">
        <f t="shared" si="18"/>
        <v>1.1776512880959378E-2</v>
      </c>
    </row>
    <row r="51" spans="1:10">
      <c r="I51" s="27"/>
    </row>
    <row r="52" spans="1:10">
      <c r="C52" s="27" t="s">
        <v>64</v>
      </c>
      <c r="D52" s="27"/>
      <c r="E52" s="27"/>
      <c r="F52" s="27"/>
      <c r="G52" s="27"/>
      <c r="H52" s="27"/>
    </row>
    <row r="53" spans="1:10">
      <c r="B53" t="s">
        <v>78</v>
      </c>
      <c r="C53" t="s">
        <v>63</v>
      </c>
      <c r="D53" t="s">
        <v>59</v>
      </c>
      <c r="E53" t="s">
        <v>61</v>
      </c>
      <c r="F53" t="s">
        <v>60</v>
      </c>
      <c r="G53" t="s">
        <v>62</v>
      </c>
      <c r="H53" t="s">
        <v>77</v>
      </c>
    </row>
    <row r="54" spans="1:10">
      <c r="A54" s="44" t="s">
        <v>119</v>
      </c>
      <c r="B54" s="36">
        <f>124/3</f>
        <v>41.333333333333336</v>
      </c>
      <c r="C54" s="30">
        <v>57</v>
      </c>
      <c r="D54" s="28">
        <f>60/C54</f>
        <v>1.0526315789473684</v>
      </c>
      <c r="E54" s="33">
        <v>20</v>
      </c>
      <c r="F54" s="31">
        <f>B54/(D54*E54)</f>
        <v>1.9633333333333336</v>
      </c>
      <c r="G54" s="20">
        <f>ROUND(F54,0)</f>
        <v>2</v>
      </c>
      <c r="H54" s="20">
        <f>G54*D54*E54</f>
        <v>42.105263157894733</v>
      </c>
      <c r="I54" s="26">
        <f>1-B54/H54</f>
        <v>1.8333333333333202E-2</v>
      </c>
    </row>
    <row r="55" spans="1:10">
      <c r="A55" s="44" t="s">
        <v>111</v>
      </c>
      <c r="B55" s="36">
        <f>150/3</f>
        <v>50</v>
      </c>
      <c r="C55" s="30">
        <v>25</v>
      </c>
      <c r="D55" s="28">
        <f>60/C55</f>
        <v>2.4</v>
      </c>
      <c r="E55" s="33">
        <v>20</v>
      </c>
      <c r="F55" s="31">
        <f>B55/(D55*E55)</f>
        <v>1.0416666666666667</v>
      </c>
      <c r="G55" s="20">
        <f>ROUND(F55,0)</f>
        <v>1</v>
      </c>
      <c r="H55" s="20">
        <f>G55*D55*E55</f>
        <v>48</v>
      </c>
      <c r="I55" s="26">
        <f>1-B55/H55</f>
        <v>-4.1666666666666741E-2</v>
      </c>
    </row>
    <row r="56" spans="1:10">
      <c r="A56" s="44" t="s">
        <v>123</v>
      </c>
      <c r="B56" s="37">
        <f>30/3</f>
        <v>10</v>
      </c>
      <c r="C56" s="32">
        <v>115</v>
      </c>
      <c r="D56" s="28">
        <f>60/C56</f>
        <v>0.52173913043478259</v>
      </c>
      <c r="E56" s="33">
        <v>20</v>
      </c>
      <c r="F56" s="31">
        <f>B56/(D56*E56)</f>
        <v>0.95833333333333337</v>
      </c>
      <c r="G56" s="20">
        <v>1</v>
      </c>
      <c r="H56" s="20">
        <f>G56*D56*E56</f>
        <v>10.434782608695652</v>
      </c>
      <c r="I56" s="26">
        <f>1-B56/H56</f>
        <v>4.166666666666663E-2</v>
      </c>
    </row>
    <row r="57" spans="1:10">
      <c r="A57" s="44" t="s">
        <v>115</v>
      </c>
      <c r="B57" s="36">
        <f>20/3</f>
        <v>6.666666666666667</v>
      </c>
      <c r="C57" s="30">
        <v>180</v>
      </c>
      <c r="D57" s="28">
        <f>60/C57</f>
        <v>0.33333333333333331</v>
      </c>
      <c r="E57" s="33">
        <v>20</v>
      </c>
      <c r="F57" s="31">
        <f>B57/(D57*E57)</f>
        <v>1.0000000000000002</v>
      </c>
      <c r="G57" s="20">
        <v>1</v>
      </c>
      <c r="H57" s="20">
        <f>G57*D57*E57</f>
        <v>6.6666666666666661</v>
      </c>
      <c r="I57" s="26">
        <f>1-B57/H57</f>
        <v>0</v>
      </c>
    </row>
    <row r="58" spans="1:10">
      <c r="A58" s="44" t="s">
        <v>121</v>
      </c>
      <c r="B58" s="36">
        <f>120/3</f>
        <v>40</v>
      </c>
      <c r="C58" s="30">
        <v>30</v>
      </c>
      <c r="D58" s="28">
        <f>60/C58</f>
        <v>2</v>
      </c>
      <c r="E58" s="33">
        <v>20</v>
      </c>
      <c r="F58" s="31">
        <f>B58/(D58*E58)</f>
        <v>1</v>
      </c>
      <c r="G58" s="20">
        <f>ROUND(F58,0)</f>
        <v>1</v>
      </c>
      <c r="H58" s="20">
        <f>G58*D58*E58</f>
        <v>40</v>
      </c>
      <c r="I58" s="26">
        <f>1-B58/H58</f>
        <v>0</v>
      </c>
    </row>
    <row r="59" spans="1:10">
      <c r="G59" s="20">
        <f>SUM(G54:G58)</f>
        <v>6</v>
      </c>
    </row>
    <row r="62" spans="1:10">
      <c r="A62" t="s">
        <v>89</v>
      </c>
      <c r="B62" t="s">
        <v>90</v>
      </c>
      <c r="C62" t="s">
        <v>91</v>
      </c>
      <c r="D62" t="s">
        <v>40</v>
      </c>
      <c r="E62" t="s">
        <v>92</v>
      </c>
      <c r="F62" t="s">
        <v>49</v>
      </c>
      <c r="G62" t="s">
        <v>6</v>
      </c>
      <c r="I62" s="16" t="s">
        <v>34</v>
      </c>
      <c r="J62" t="s">
        <v>46</v>
      </c>
    </row>
    <row r="63" spans="1:10">
      <c r="A63" t="s">
        <v>7</v>
      </c>
      <c r="B63" t="s">
        <v>80</v>
      </c>
      <c r="C63" s="20" t="e">
        <f>VLOOKUP(A63,$A$54:$H$58,6,FALSE)</f>
        <v>#N/A</v>
      </c>
      <c r="D63" t="e">
        <f>VLOOKUP(A63,$A$54:$H$58,3,FALSE)</f>
        <v>#N/A</v>
      </c>
      <c r="E63" s="20" t="e">
        <f>60/D63</f>
        <v>#N/A</v>
      </c>
      <c r="F63">
        <v>20</v>
      </c>
      <c r="G63" s="20" t="e">
        <f>C63*E63*F63</f>
        <v>#N/A</v>
      </c>
      <c r="I63" s="17" t="s">
        <v>83</v>
      </c>
      <c r="J63" s="20">
        <v>48</v>
      </c>
    </row>
    <row r="64" spans="1:10">
      <c r="A64" t="s">
        <v>7</v>
      </c>
      <c r="B64" t="s">
        <v>56</v>
      </c>
      <c r="C64" s="20" t="e">
        <f t="shared" ref="C64:C88" si="19">VLOOKUP(A64,$A$54:$H$58,6,FALSE)</f>
        <v>#N/A</v>
      </c>
      <c r="D64" t="e">
        <f t="shared" ref="D64:D88" si="20">VLOOKUP(A64,$A$54:$H$58,3,FALSE)</f>
        <v>#N/A</v>
      </c>
      <c r="E64" s="20" t="e">
        <f t="shared" ref="E64:E88" si="21">60/D64</f>
        <v>#N/A</v>
      </c>
      <c r="F64">
        <v>20</v>
      </c>
      <c r="G64" s="20" t="e">
        <f t="shared" ref="G64:G88" si="22">C64*E64*F64</f>
        <v>#N/A</v>
      </c>
      <c r="I64" s="17" t="s">
        <v>80</v>
      </c>
      <c r="J64" s="20">
        <v>154.66666666666669</v>
      </c>
    </row>
    <row r="65" spans="1:10">
      <c r="A65" t="s">
        <v>7</v>
      </c>
      <c r="B65" t="s">
        <v>81</v>
      </c>
      <c r="C65" s="20" t="e">
        <f t="shared" si="19"/>
        <v>#N/A</v>
      </c>
      <c r="D65" t="e">
        <f t="shared" si="20"/>
        <v>#N/A</v>
      </c>
      <c r="E65" s="20" t="e">
        <f t="shared" si="21"/>
        <v>#N/A</v>
      </c>
      <c r="F65">
        <v>20</v>
      </c>
      <c r="G65" s="20" t="e">
        <f t="shared" si="22"/>
        <v>#N/A</v>
      </c>
      <c r="I65" s="17" t="s">
        <v>82</v>
      </c>
      <c r="J65" s="20">
        <v>48</v>
      </c>
    </row>
    <row r="66" spans="1:10">
      <c r="A66" t="s">
        <v>7</v>
      </c>
      <c r="B66" t="s">
        <v>82</v>
      </c>
      <c r="C66" s="20" t="e">
        <f t="shared" si="19"/>
        <v>#N/A</v>
      </c>
      <c r="D66" t="e">
        <f t="shared" si="20"/>
        <v>#N/A</v>
      </c>
      <c r="E66" s="20" t="e">
        <f t="shared" si="21"/>
        <v>#N/A</v>
      </c>
      <c r="F66">
        <v>20</v>
      </c>
      <c r="G66" s="20" t="e">
        <f t="shared" si="22"/>
        <v>#N/A</v>
      </c>
      <c r="I66" s="38" t="s">
        <v>85</v>
      </c>
      <c r="J66" s="20">
        <v>148</v>
      </c>
    </row>
    <row r="67" spans="1:10">
      <c r="A67" t="s">
        <v>7</v>
      </c>
      <c r="B67" t="s">
        <v>83</v>
      </c>
      <c r="C67" s="20" t="e">
        <f t="shared" si="19"/>
        <v>#N/A</v>
      </c>
      <c r="D67" t="e">
        <f t="shared" si="20"/>
        <v>#N/A</v>
      </c>
      <c r="E67" s="20" t="e">
        <f t="shared" si="21"/>
        <v>#N/A</v>
      </c>
      <c r="F67">
        <v>20</v>
      </c>
      <c r="G67" s="20" t="e">
        <f t="shared" si="22"/>
        <v>#N/A</v>
      </c>
      <c r="I67" s="38" t="s">
        <v>56</v>
      </c>
      <c r="J67" s="20">
        <v>148</v>
      </c>
    </row>
    <row r="68" spans="1:10">
      <c r="A68" t="s">
        <v>7</v>
      </c>
      <c r="B68" t="s">
        <v>84</v>
      </c>
      <c r="C68" s="20" t="e">
        <f t="shared" si="19"/>
        <v>#N/A</v>
      </c>
      <c r="D68" t="e">
        <f t="shared" si="20"/>
        <v>#N/A</v>
      </c>
      <c r="E68" s="20" t="e">
        <f t="shared" si="21"/>
        <v>#N/A</v>
      </c>
      <c r="F68">
        <v>20</v>
      </c>
      <c r="G68" s="20" t="e">
        <f t="shared" si="22"/>
        <v>#N/A</v>
      </c>
      <c r="I68" s="17" t="s">
        <v>81</v>
      </c>
      <c r="J68" s="20">
        <v>48</v>
      </c>
    </row>
    <row r="69" spans="1:10">
      <c r="A69" t="s">
        <v>7</v>
      </c>
      <c r="B69" t="s">
        <v>85</v>
      </c>
      <c r="C69" s="20" t="e">
        <f t="shared" si="19"/>
        <v>#N/A</v>
      </c>
      <c r="D69" t="e">
        <f t="shared" si="20"/>
        <v>#N/A</v>
      </c>
      <c r="E69" s="20" t="e">
        <f t="shared" si="21"/>
        <v>#N/A</v>
      </c>
      <c r="F69">
        <v>20</v>
      </c>
      <c r="G69" s="20" t="e">
        <f t="shared" si="22"/>
        <v>#N/A</v>
      </c>
      <c r="I69" s="38" t="s">
        <v>84</v>
      </c>
      <c r="J69" s="20">
        <v>41.333333333333336</v>
      </c>
    </row>
    <row r="70" spans="1:10">
      <c r="A70" t="s">
        <v>86</v>
      </c>
      <c r="B70" t="s">
        <v>80</v>
      </c>
      <c r="C70" s="20" t="e">
        <f t="shared" si="19"/>
        <v>#N/A</v>
      </c>
      <c r="D70" t="e">
        <f t="shared" si="20"/>
        <v>#N/A</v>
      </c>
      <c r="E70" s="20" t="e">
        <f t="shared" si="21"/>
        <v>#N/A</v>
      </c>
      <c r="F70">
        <v>20</v>
      </c>
      <c r="G70" s="20" t="e">
        <f t="shared" si="22"/>
        <v>#N/A</v>
      </c>
      <c r="I70" s="17" t="s">
        <v>87</v>
      </c>
      <c r="J70" s="20">
        <v>50</v>
      </c>
    </row>
    <row r="71" spans="1:10">
      <c r="A71" t="s">
        <v>86</v>
      </c>
      <c r="B71" t="s">
        <v>56</v>
      </c>
      <c r="C71" s="20" t="e">
        <f t="shared" si="19"/>
        <v>#N/A</v>
      </c>
      <c r="D71" t="e">
        <f t="shared" si="20"/>
        <v>#N/A</v>
      </c>
      <c r="E71" s="20" t="e">
        <f t="shared" si="21"/>
        <v>#N/A</v>
      </c>
      <c r="F71">
        <v>20</v>
      </c>
      <c r="G71" s="20" t="e">
        <f t="shared" si="22"/>
        <v>#N/A</v>
      </c>
      <c r="I71" s="38" t="s">
        <v>88</v>
      </c>
      <c r="J71" s="20">
        <v>10</v>
      </c>
    </row>
    <row r="72" spans="1:10">
      <c r="A72" t="s">
        <v>86</v>
      </c>
      <c r="B72" t="s">
        <v>85</v>
      </c>
      <c r="C72" s="20" t="e">
        <f t="shared" si="19"/>
        <v>#N/A</v>
      </c>
      <c r="D72" t="e">
        <f t="shared" si="20"/>
        <v>#N/A</v>
      </c>
      <c r="E72" s="20" t="e">
        <f t="shared" si="21"/>
        <v>#N/A</v>
      </c>
      <c r="F72">
        <v>20</v>
      </c>
      <c r="G72" s="20" t="e">
        <f t="shared" si="22"/>
        <v>#N/A</v>
      </c>
      <c r="I72" s="17" t="s">
        <v>35</v>
      </c>
      <c r="J72" s="15">
        <v>696.00000000000011</v>
      </c>
    </row>
    <row r="73" spans="1:10">
      <c r="A73" t="s">
        <v>79</v>
      </c>
      <c r="B73" t="s">
        <v>80</v>
      </c>
      <c r="C73" s="20" t="e">
        <f t="shared" si="19"/>
        <v>#N/A</v>
      </c>
      <c r="D73" t="e">
        <f t="shared" si="20"/>
        <v>#N/A</v>
      </c>
      <c r="E73" s="20" t="e">
        <f t="shared" si="21"/>
        <v>#N/A</v>
      </c>
      <c r="F73">
        <v>20</v>
      </c>
      <c r="G73" s="20" t="e">
        <f t="shared" si="22"/>
        <v>#N/A</v>
      </c>
    </row>
    <row r="74" spans="1:10">
      <c r="A74" t="s">
        <v>79</v>
      </c>
      <c r="B74" t="s">
        <v>56</v>
      </c>
      <c r="C74" s="20" t="e">
        <f t="shared" si="19"/>
        <v>#N/A</v>
      </c>
      <c r="D74" t="e">
        <f t="shared" si="20"/>
        <v>#N/A</v>
      </c>
      <c r="E74" s="20" t="e">
        <f t="shared" si="21"/>
        <v>#N/A</v>
      </c>
      <c r="F74">
        <v>20</v>
      </c>
      <c r="G74" s="20" t="e">
        <f t="shared" si="22"/>
        <v>#N/A</v>
      </c>
    </row>
    <row r="75" spans="1:10">
      <c r="A75" t="s">
        <v>79</v>
      </c>
      <c r="B75" t="s">
        <v>87</v>
      </c>
      <c r="C75" s="20" t="e">
        <f t="shared" si="19"/>
        <v>#N/A</v>
      </c>
      <c r="D75" t="e">
        <f t="shared" si="20"/>
        <v>#N/A</v>
      </c>
      <c r="E75" s="20" t="e">
        <f t="shared" si="21"/>
        <v>#N/A</v>
      </c>
      <c r="F75">
        <v>20</v>
      </c>
      <c r="G75" s="20" t="e">
        <f t="shared" si="22"/>
        <v>#N/A</v>
      </c>
    </row>
    <row r="76" spans="1:10">
      <c r="A76" t="s">
        <v>79</v>
      </c>
      <c r="B76" t="s">
        <v>88</v>
      </c>
      <c r="C76" s="20" t="e">
        <f t="shared" si="19"/>
        <v>#N/A</v>
      </c>
      <c r="D76" t="e">
        <f t="shared" si="20"/>
        <v>#N/A</v>
      </c>
      <c r="E76" s="20" t="e">
        <f t="shared" si="21"/>
        <v>#N/A</v>
      </c>
      <c r="F76">
        <v>20</v>
      </c>
      <c r="G76" s="20" t="e">
        <f t="shared" si="22"/>
        <v>#N/A</v>
      </c>
    </row>
    <row r="77" spans="1:10">
      <c r="A77" t="s">
        <v>79</v>
      </c>
      <c r="B77" t="s">
        <v>85</v>
      </c>
      <c r="C77" s="20" t="e">
        <f t="shared" si="19"/>
        <v>#N/A</v>
      </c>
      <c r="D77" t="e">
        <f t="shared" si="20"/>
        <v>#N/A</v>
      </c>
      <c r="E77" s="20" t="e">
        <f t="shared" si="21"/>
        <v>#N/A</v>
      </c>
      <c r="F77">
        <v>20</v>
      </c>
      <c r="G77" s="20" t="e">
        <f t="shared" si="22"/>
        <v>#N/A</v>
      </c>
    </row>
    <row r="78" spans="1:10">
      <c r="A78" t="s">
        <v>57</v>
      </c>
      <c r="B78" t="s">
        <v>80</v>
      </c>
      <c r="C78" s="20" t="e">
        <f t="shared" si="19"/>
        <v>#N/A</v>
      </c>
      <c r="D78" t="e">
        <f t="shared" si="20"/>
        <v>#N/A</v>
      </c>
      <c r="E78" s="20" t="e">
        <f t="shared" si="21"/>
        <v>#N/A</v>
      </c>
      <c r="F78">
        <v>20</v>
      </c>
      <c r="G78" s="20" t="e">
        <f t="shared" si="22"/>
        <v>#N/A</v>
      </c>
    </row>
    <row r="79" spans="1:10">
      <c r="A79" t="s">
        <v>57</v>
      </c>
      <c r="B79" t="s">
        <v>80</v>
      </c>
      <c r="C79" s="20" t="e">
        <f t="shared" si="19"/>
        <v>#N/A</v>
      </c>
      <c r="D79" t="e">
        <f t="shared" si="20"/>
        <v>#N/A</v>
      </c>
      <c r="E79" s="20" t="e">
        <f>60/D79</f>
        <v>#N/A</v>
      </c>
      <c r="F79">
        <v>20</v>
      </c>
      <c r="G79" s="20" t="e">
        <f t="shared" si="22"/>
        <v>#N/A</v>
      </c>
    </row>
    <row r="80" spans="1:10">
      <c r="A80" t="s">
        <v>57</v>
      </c>
      <c r="B80" t="s">
        <v>56</v>
      </c>
      <c r="C80" s="20" t="e">
        <f t="shared" si="19"/>
        <v>#N/A</v>
      </c>
      <c r="D80" t="e">
        <f t="shared" si="20"/>
        <v>#N/A</v>
      </c>
      <c r="E80" s="20" t="e">
        <f t="shared" si="21"/>
        <v>#N/A</v>
      </c>
      <c r="F80">
        <v>20</v>
      </c>
      <c r="G80" s="20" t="e">
        <f t="shared" si="22"/>
        <v>#N/A</v>
      </c>
    </row>
    <row r="81" spans="1:7">
      <c r="A81" t="s">
        <v>57</v>
      </c>
      <c r="B81" t="s">
        <v>81</v>
      </c>
      <c r="C81" s="20" t="e">
        <f t="shared" si="19"/>
        <v>#N/A</v>
      </c>
      <c r="D81" t="e">
        <f t="shared" si="20"/>
        <v>#N/A</v>
      </c>
      <c r="E81" s="20" t="e">
        <f t="shared" si="21"/>
        <v>#N/A</v>
      </c>
      <c r="F81">
        <v>20</v>
      </c>
      <c r="G81" s="20" t="e">
        <f t="shared" si="22"/>
        <v>#N/A</v>
      </c>
    </row>
    <row r="82" spans="1:7">
      <c r="A82" t="s">
        <v>57</v>
      </c>
      <c r="B82" t="s">
        <v>82</v>
      </c>
      <c r="C82" s="20" t="e">
        <f t="shared" si="19"/>
        <v>#N/A</v>
      </c>
      <c r="D82" t="e">
        <f t="shared" si="20"/>
        <v>#N/A</v>
      </c>
      <c r="E82" s="20" t="e">
        <f t="shared" si="21"/>
        <v>#N/A</v>
      </c>
      <c r="F82">
        <v>20</v>
      </c>
      <c r="G82" s="20" t="e">
        <f t="shared" si="22"/>
        <v>#N/A</v>
      </c>
    </row>
    <row r="83" spans="1:7">
      <c r="A83" t="s">
        <v>57</v>
      </c>
      <c r="B83" t="s">
        <v>83</v>
      </c>
      <c r="C83" s="20" t="e">
        <f t="shared" si="19"/>
        <v>#N/A</v>
      </c>
      <c r="D83" t="e">
        <f t="shared" si="20"/>
        <v>#N/A</v>
      </c>
      <c r="E83" s="20" t="e">
        <f t="shared" si="21"/>
        <v>#N/A</v>
      </c>
      <c r="F83">
        <v>20</v>
      </c>
      <c r="G83" s="20" t="e">
        <f t="shared" si="22"/>
        <v>#N/A</v>
      </c>
    </row>
    <row r="84" spans="1:7">
      <c r="A84" t="s">
        <v>57</v>
      </c>
      <c r="B84" t="s">
        <v>85</v>
      </c>
      <c r="C84" s="20" t="e">
        <f t="shared" si="19"/>
        <v>#N/A</v>
      </c>
      <c r="D84" t="e">
        <f t="shared" si="20"/>
        <v>#N/A</v>
      </c>
      <c r="E84" s="20" t="e">
        <f t="shared" si="21"/>
        <v>#N/A</v>
      </c>
      <c r="F84">
        <v>20</v>
      </c>
      <c r="G84" s="20" t="e">
        <f t="shared" si="22"/>
        <v>#N/A</v>
      </c>
    </row>
    <row r="85" spans="1:7">
      <c r="A85" t="s">
        <v>58</v>
      </c>
      <c r="B85" t="s">
        <v>80</v>
      </c>
      <c r="C85" s="20" t="e">
        <f t="shared" si="19"/>
        <v>#N/A</v>
      </c>
      <c r="D85" t="e">
        <f t="shared" si="20"/>
        <v>#N/A</v>
      </c>
      <c r="E85" s="20" t="e">
        <f t="shared" si="21"/>
        <v>#N/A</v>
      </c>
      <c r="F85">
        <v>20</v>
      </c>
      <c r="G85" s="20" t="e">
        <f t="shared" si="22"/>
        <v>#N/A</v>
      </c>
    </row>
    <row r="86" spans="1:7">
      <c r="A86" t="s">
        <v>58</v>
      </c>
      <c r="B86" t="s">
        <v>56</v>
      </c>
      <c r="C86" s="20" t="e">
        <f t="shared" si="19"/>
        <v>#N/A</v>
      </c>
      <c r="D86" t="e">
        <f t="shared" si="20"/>
        <v>#N/A</v>
      </c>
      <c r="E86" s="20" t="e">
        <f t="shared" si="21"/>
        <v>#N/A</v>
      </c>
      <c r="F86">
        <v>20</v>
      </c>
      <c r="G86" s="20" t="e">
        <f t="shared" si="22"/>
        <v>#N/A</v>
      </c>
    </row>
    <row r="87" spans="1:7">
      <c r="A87" t="s">
        <v>58</v>
      </c>
      <c r="B87" t="s">
        <v>87</v>
      </c>
      <c r="C87" s="20" t="e">
        <f t="shared" si="19"/>
        <v>#N/A</v>
      </c>
      <c r="D87" t="e">
        <f t="shared" si="20"/>
        <v>#N/A</v>
      </c>
      <c r="E87" s="20" t="e">
        <f t="shared" si="21"/>
        <v>#N/A</v>
      </c>
      <c r="F87">
        <v>20</v>
      </c>
      <c r="G87" s="20" t="e">
        <f t="shared" si="22"/>
        <v>#N/A</v>
      </c>
    </row>
    <row r="88" spans="1:7">
      <c r="A88" t="s">
        <v>58</v>
      </c>
      <c r="B88" t="s">
        <v>85</v>
      </c>
      <c r="C88" s="20" t="e">
        <f t="shared" si="19"/>
        <v>#N/A</v>
      </c>
      <c r="D88" t="e">
        <f t="shared" si="20"/>
        <v>#N/A</v>
      </c>
      <c r="E88" s="20" t="e">
        <f t="shared" si="21"/>
        <v>#N/A</v>
      </c>
      <c r="F88">
        <v>20</v>
      </c>
      <c r="G88" s="20" t="e">
        <f t="shared" si="22"/>
        <v>#N/A</v>
      </c>
    </row>
  </sheetData>
  <mergeCells count="1">
    <mergeCell ref="A36:B36"/>
  </mergeCell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D18" sqref="D18"/>
    </sheetView>
  </sheetViews>
  <sheetFormatPr defaultRowHeight="14.5"/>
  <cols>
    <col min="1" max="1" width="47.453125" bestFit="1" customWidth="1"/>
    <col min="2" max="2" width="14.1796875" bestFit="1" customWidth="1"/>
  </cols>
  <sheetData>
    <row r="1" spans="1:2">
      <c r="A1" t="s">
        <v>67</v>
      </c>
      <c r="B1" t="s">
        <v>68</v>
      </c>
    </row>
    <row r="2" spans="1:2">
      <c r="A2" t="str">
        <f>'Автоматизированный расчет'!A38</f>
        <v>Open_start_page</v>
      </c>
      <c r="B2" t="s">
        <v>112</v>
      </c>
    </row>
    <row r="3" spans="1:2">
      <c r="A3" t="str">
        <f>'Автоматизированный расчет'!A39</f>
        <v>LogIn</v>
      </c>
      <c r="B3" t="s">
        <v>113</v>
      </c>
    </row>
    <row r="4" spans="1:2">
      <c r="A4" t="str">
        <f>'Автоматизированный расчет'!A40</f>
        <v>Open_search_tour</v>
      </c>
      <c r="B4" t="s">
        <v>116</v>
      </c>
    </row>
    <row r="5" spans="1:2">
      <c r="A5" t="str">
        <f>'Автоматизированный расчет'!A41</f>
        <v>Search_tour_round-trip</v>
      </c>
      <c r="B5" t="s">
        <v>117</v>
      </c>
    </row>
    <row r="6" spans="1:2">
      <c r="A6" t="str">
        <f>'Автоматизированный расчет'!A42</f>
        <v>Select_flight</v>
      </c>
      <c r="B6" t="s">
        <v>118</v>
      </c>
    </row>
    <row r="7" spans="1:2">
      <c r="A7" t="str">
        <f>'Автоматизированный расчет'!A43</f>
        <v>Booking_payment</v>
      </c>
      <c r="B7" t="s">
        <v>120</v>
      </c>
    </row>
    <row r="8" spans="1:2">
      <c r="A8" t="str">
        <f>'Автоматизированный расчет'!A44</f>
        <v>Open_booking_list</v>
      </c>
      <c r="B8" t="s">
        <v>122</v>
      </c>
    </row>
    <row r="9" spans="1:2">
      <c r="A9" t="str">
        <f>'Автоматизированный расчет'!A45</f>
        <v>Delete_flight</v>
      </c>
      <c r="B9" t="s">
        <v>124</v>
      </c>
    </row>
    <row r="10" spans="1:2">
      <c r="A10" t="str">
        <f>'Автоматизированный расчет'!A46</f>
        <v>LogOut</v>
      </c>
      <c r="B10" t="s">
        <v>114</v>
      </c>
    </row>
    <row r="11" spans="1:2">
      <c r="A11" t="str">
        <f>'Автоматизированный расчет'!A47</f>
        <v>Registration</v>
      </c>
      <c r="B11" t="s">
        <v>126</v>
      </c>
    </row>
    <row r="12" spans="1:2">
      <c r="A12" t="str">
        <f>'Автоматизированный расчет'!A48</f>
        <v>Input_data</v>
      </c>
      <c r="B12" t="s">
        <v>127</v>
      </c>
    </row>
    <row r="13" spans="1:2">
      <c r="A13" t="str">
        <f>'Автоматизированный расчет'!A49</f>
        <v>Personal_Account</v>
      </c>
      <c r="B13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F13" sqref="F13"/>
    </sheetView>
  </sheetViews>
  <sheetFormatPr defaultRowHeight="14.5"/>
  <cols>
    <col min="1" max="1" width="36.453125" bestFit="1" customWidth="1"/>
  </cols>
  <sheetData>
    <row r="1" spans="1:10">
      <c r="A1" s="43" t="s">
        <v>21</v>
      </c>
      <c r="B1" s="43" t="s">
        <v>69</v>
      </c>
      <c r="C1" s="43" t="s">
        <v>70</v>
      </c>
      <c r="D1" s="43" t="s">
        <v>71</v>
      </c>
      <c r="E1" s="43" t="s">
        <v>72</v>
      </c>
      <c r="F1" s="43" t="s">
        <v>73</v>
      </c>
      <c r="G1" s="43" t="s">
        <v>74</v>
      </c>
      <c r="H1" s="43" t="s">
        <v>22</v>
      </c>
      <c r="I1" s="43" t="s">
        <v>23</v>
      </c>
      <c r="J1" s="43" t="s">
        <v>24</v>
      </c>
    </row>
    <row r="2" spans="1:10">
      <c r="A2" s="43" t="s">
        <v>94</v>
      </c>
      <c r="B2" s="43" t="s">
        <v>75</v>
      </c>
      <c r="C2" s="43">
        <v>0.188</v>
      </c>
      <c r="D2" s="43">
        <v>0.434</v>
      </c>
      <c r="E2" s="43">
        <v>0.72799999999999998</v>
      </c>
      <c r="F2" s="43">
        <v>0.14799999999999999</v>
      </c>
      <c r="G2" s="43">
        <v>0.63300000000000001</v>
      </c>
      <c r="H2" s="43">
        <v>169</v>
      </c>
      <c r="I2" s="43">
        <v>0</v>
      </c>
      <c r="J2" s="43">
        <v>0</v>
      </c>
    </row>
    <row r="3" spans="1:10">
      <c r="A3" s="43" t="s">
        <v>95</v>
      </c>
      <c r="B3" s="43" t="s">
        <v>75</v>
      </c>
      <c r="C3" s="43">
        <v>7.1999999999999995E-2</v>
      </c>
      <c r="D3" s="43">
        <v>0.111</v>
      </c>
      <c r="E3" s="43">
        <v>0.156</v>
      </c>
      <c r="F3" s="43">
        <v>1.2999999999999999E-2</v>
      </c>
      <c r="G3" s="43">
        <v>0.128</v>
      </c>
      <c r="H3" s="43">
        <v>97</v>
      </c>
      <c r="I3" s="43">
        <v>0</v>
      </c>
      <c r="J3" s="43">
        <v>0</v>
      </c>
    </row>
    <row r="4" spans="1:10">
      <c r="A4" s="43" t="s">
        <v>96</v>
      </c>
      <c r="B4" s="43" t="s">
        <v>75</v>
      </c>
      <c r="C4" s="43">
        <v>3.3000000000000002E-2</v>
      </c>
      <c r="D4" s="43">
        <v>4.4999999999999998E-2</v>
      </c>
      <c r="E4" s="43">
        <v>6.3E-2</v>
      </c>
      <c r="F4" s="43">
        <v>0.01</v>
      </c>
      <c r="G4" s="43">
        <v>5.8999999999999997E-2</v>
      </c>
      <c r="H4" s="43">
        <v>24</v>
      </c>
      <c r="I4" s="43">
        <v>0</v>
      </c>
      <c r="J4" s="43">
        <v>0</v>
      </c>
    </row>
    <row r="5" spans="1:10">
      <c r="A5" s="43" t="s">
        <v>97</v>
      </c>
      <c r="B5" s="43" t="s">
        <v>75</v>
      </c>
      <c r="C5" s="43">
        <v>3.3000000000000002E-2</v>
      </c>
      <c r="D5" s="43">
        <v>4.8000000000000001E-2</v>
      </c>
      <c r="E5" s="43">
        <v>7.1999999999999995E-2</v>
      </c>
      <c r="F5" s="43">
        <v>0.01</v>
      </c>
      <c r="G5" s="43">
        <v>6.3E-2</v>
      </c>
      <c r="H5" s="43">
        <v>92</v>
      </c>
      <c r="I5" s="43">
        <v>0</v>
      </c>
      <c r="J5" s="43">
        <v>0</v>
      </c>
    </row>
    <row r="6" spans="1:10">
      <c r="A6" s="43" t="s">
        <v>98</v>
      </c>
      <c r="B6" s="43" t="s">
        <v>75</v>
      </c>
      <c r="C6" s="43">
        <v>7.1999999999999995E-2</v>
      </c>
      <c r="D6" s="43">
        <v>8.5999999999999993E-2</v>
      </c>
      <c r="E6" s="43">
        <v>0.123</v>
      </c>
      <c r="F6" s="43">
        <v>1.2999999999999999E-2</v>
      </c>
      <c r="G6" s="43">
        <v>0.10199999999999999</v>
      </c>
      <c r="H6" s="43">
        <v>32</v>
      </c>
      <c r="I6" s="43">
        <v>0</v>
      </c>
      <c r="J6" s="43">
        <v>0</v>
      </c>
    </row>
    <row r="7" spans="1:10">
      <c r="A7" s="43" t="s">
        <v>99</v>
      </c>
      <c r="B7" s="43" t="s">
        <v>75</v>
      </c>
      <c r="C7" s="43">
        <v>9.2999999999999999E-2</v>
      </c>
      <c r="D7" s="43">
        <v>0.111</v>
      </c>
      <c r="E7" s="43">
        <v>0.13400000000000001</v>
      </c>
      <c r="F7" s="43">
        <v>1.0999999999999999E-2</v>
      </c>
      <c r="G7" s="43">
        <v>0.128</v>
      </c>
      <c r="H7" s="43">
        <v>98</v>
      </c>
      <c r="I7" s="43">
        <v>0</v>
      </c>
      <c r="J7" s="43">
        <v>0</v>
      </c>
    </row>
    <row r="8" spans="1:10">
      <c r="A8" s="43" t="s">
        <v>18</v>
      </c>
      <c r="B8" s="43" t="s">
        <v>75</v>
      </c>
      <c r="C8" s="43">
        <v>7.2999999999999995E-2</v>
      </c>
      <c r="D8" s="43">
        <v>9.2999999999999999E-2</v>
      </c>
      <c r="E8" s="43">
        <v>0.14399999999999999</v>
      </c>
      <c r="F8" s="43">
        <v>1.4999999999999999E-2</v>
      </c>
      <c r="G8" s="43">
        <v>0.107</v>
      </c>
      <c r="H8" s="43">
        <v>136</v>
      </c>
      <c r="I8" s="43">
        <v>0</v>
      </c>
      <c r="J8" s="43">
        <v>0</v>
      </c>
    </row>
    <row r="9" spans="1:10">
      <c r="A9" s="43" t="s">
        <v>19</v>
      </c>
      <c r="B9" s="43" t="s">
        <v>75</v>
      </c>
      <c r="C9" s="43">
        <v>5.0999999999999997E-2</v>
      </c>
      <c r="D9" s="43">
        <v>7.8E-2</v>
      </c>
      <c r="E9" s="43">
        <v>0.13300000000000001</v>
      </c>
      <c r="F9" s="43">
        <v>1.7999999999999999E-2</v>
      </c>
      <c r="G9" s="43">
        <v>0.1</v>
      </c>
      <c r="H9" s="43">
        <v>107</v>
      </c>
      <c r="I9" s="43">
        <v>0</v>
      </c>
      <c r="J9" s="43">
        <v>0</v>
      </c>
    </row>
    <row r="10" spans="1:10">
      <c r="A10" s="43" t="s">
        <v>100</v>
      </c>
      <c r="B10" s="43" t="s">
        <v>75</v>
      </c>
      <c r="C10" s="43">
        <v>0.03</v>
      </c>
      <c r="D10" s="43">
        <v>4.4999999999999998E-2</v>
      </c>
      <c r="E10" s="43">
        <v>6.6000000000000003E-2</v>
      </c>
      <c r="F10" s="43">
        <v>1.0999999999999999E-2</v>
      </c>
      <c r="G10" s="43">
        <v>6.3E-2</v>
      </c>
      <c r="H10" s="43">
        <v>32</v>
      </c>
      <c r="I10" s="43">
        <v>0</v>
      </c>
      <c r="J10" s="43">
        <v>0</v>
      </c>
    </row>
    <row r="11" spans="1:10">
      <c r="A11" s="43" t="s">
        <v>101</v>
      </c>
      <c r="B11" s="43" t="s">
        <v>75</v>
      </c>
      <c r="C11" s="43">
        <v>5.2999999999999999E-2</v>
      </c>
      <c r="D11" s="43">
        <v>6.9000000000000006E-2</v>
      </c>
      <c r="E11" s="43">
        <v>0.105</v>
      </c>
      <c r="F11" s="43">
        <v>1.0999999999999999E-2</v>
      </c>
      <c r="G11" s="43">
        <v>8.4000000000000005E-2</v>
      </c>
      <c r="H11" s="43">
        <v>169</v>
      </c>
      <c r="I11" s="43">
        <v>0</v>
      </c>
      <c r="J11" s="43">
        <v>0</v>
      </c>
    </row>
    <row r="12" spans="1:10">
      <c r="A12" s="43" t="s">
        <v>102</v>
      </c>
      <c r="B12" s="43" t="s">
        <v>75</v>
      </c>
      <c r="C12" s="43">
        <v>3.3000000000000002E-2</v>
      </c>
      <c r="D12" s="43">
        <v>4.9000000000000002E-2</v>
      </c>
      <c r="E12" s="43">
        <v>8.4000000000000005E-2</v>
      </c>
      <c r="F12" s="43">
        <v>1.0999999999999999E-2</v>
      </c>
      <c r="G12" s="43">
        <v>6.2E-2</v>
      </c>
      <c r="H12" s="43">
        <v>58</v>
      </c>
      <c r="I12" s="43">
        <v>0</v>
      </c>
      <c r="J12" s="43">
        <v>0</v>
      </c>
    </row>
    <row r="13" spans="1:10">
      <c r="A13" s="43" t="s">
        <v>103</v>
      </c>
      <c r="B13" s="43" t="s">
        <v>75</v>
      </c>
      <c r="C13" s="43">
        <v>2.8000000000000001E-2</v>
      </c>
      <c r="D13" s="43">
        <v>4.2999999999999997E-2</v>
      </c>
      <c r="E13" s="43">
        <v>5.8999999999999997E-2</v>
      </c>
      <c r="F13" s="43">
        <v>0.01</v>
      </c>
      <c r="G13" s="43">
        <v>5.6000000000000001E-2</v>
      </c>
      <c r="H13" s="43">
        <v>32</v>
      </c>
      <c r="I13" s="43">
        <v>0</v>
      </c>
      <c r="J13" s="43">
        <v>0</v>
      </c>
    </row>
    <row r="14" spans="1:10">
      <c r="A14" s="43" t="s">
        <v>104</v>
      </c>
      <c r="B14" s="43" t="s">
        <v>75</v>
      </c>
      <c r="C14" s="43">
        <v>3.2000000000000001E-2</v>
      </c>
      <c r="D14" s="43">
        <v>4.9000000000000002E-2</v>
      </c>
      <c r="E14" s="43">
        <v>0.154</v>
      </c>
      <c r="F14" s="43">
        <v>1.6E-2</v>
      </c>
      <c r="G14" s="43">
        <v>6.4000000000000001E-2</v>
      </c>
      <c r="H14" s="43">
        <v>98</v>
      </c>
      <c r="I14" s="43">
        <v>0</v>
      </c>
      <c r="J14" s="43">
        <v>0</v>
      </c>
    </row>
    <row r="15" spans="1:10">
      <c r="A15" s="43" t="s">
        <v>105</v>
      </c>
      <c r="B15" s="43" t="s">
        <v>75</v>
      </c>
      <c r="C15" s="43">
        <v>0.28799999999999998</v>
      </c>
      <c r="D15" s="43">
        <v>0.33800000000000002</v>
      </c>
      <c r="E15" s="43">
        <v>0.38500000000000001</v>
      </c>
      <c r="F15" s="43">
        <v>2.9000000000000001E-2</v>
      </c>
      <c r="G15" s="43">
        <v>0.38300000000000001</v>
      </c>
      <c r="H15" s="43">
        <v>14</v>
      </c>
      <c r="I15" s="43">
        <v>0</v>
      </c>
      <c r="J15" s="43">
        <v>0</v>
      </c>
    </row>
    <row r="16" spans="1:10">
      <c r="A16" s="43" t="s">
        <v>106</v>
      </c>
      <c r="B16" s="43" t="s">
        <v>75</v>
      </c>
      <c r="C16" s="43">
        <v>0.26300000000000001</v>
      </c>
      <c r="D16" s="43">
        <v>0.309</v>
      </c>
      <c r="E16" s="43">
        <v>0.33700000000000002</v>
      </c>
      <c r="F16" s="43">
        <v>2.8000000000000001E-2</v>
      </c>
      <c r="G16" s="43">
        <v>0.33700000000000002</v>
      </c>
      <c r="H16" s="43">
        <v>6</v>
      </c>
      <c r="I16" s="43">
        <v>0</v>
      </c>
      <c r="J16" s="43">
        <v>0</v>
      </c>
    </row>
    <row r="17" spans="1:10">
      <c r="A17" s="43" t="s">
        <v>107</v>
      </c>
      <c r="B17" s="43" t="s">
        <v>75</v>
      </c>
      <c r="C17" s="43">
        <v>0.51900000000000002</v>
      </c>
      <c r="D17" s="43">
        <v>0.60099999999999998</v>
      </c>
      <c r="E17" s="43">
        <v>0.72799999999999998</v>
      </c>
      <c r="F17" s="43">
        <v>5.0999999999999997E-2</v>
      </c>
      <c r="G17" s="43">
        <v>0.68400000000000005</v>
      </c>
      <c r="H17" s="43">
        <v>59</v>
      </c>
      <c r="I17" s="43">
        <v>0</v>
      </c>
      <c r="J17" s="43">
        <v>0</v>
      </c>
    </row>
    <row r="18" spans="1:10">
      <c r="A18" s="43" t="s">
        <v>108</v>
      </c>
      <c r="B18" s="43" t="s">
        <v>75</v>
      </c>
      <c r="C18" s="43">
        <v>0.23599999999999999</v>
      </c>
      <c r="D18" s="43">
        <v>0.312</v>
      </c>
      <c r="E18" s="43">
        <v>0.36899999999999999</v>
      </c>
      <c r="F18" s="43">
        <v>3.1E-2</v>
      </c>
      <c r="G18" s="43">
        <v>0.36</v>
      </c>
      <c r="H18" s="43">
        <v>24</v>
      </c>
      <c r="I18" s="43">
        <v>0</v>
      </c>
      <c r="J18" s="43">
        <v>0</v>
      </c>
    </row>
    <row r="19" spans="1:10">
      <c r="A19" s="43" t="s">
        <v>109</v>
      </c>
      <c r="B19" s="43" t="s">
        <v>75</v>
      </c>
      <c r="C19" s="43">
        <v>0.188</v>
      </c>
      <c r="D19" s="43">
        <v>0.245</v>
      </c>
      <c r="E19" s="43">
        <v>0.33</v>
      </c>
      <c r="F19" s="43">
        <v>3.3000000000000002E-2</v>
      </c>
      <c r="G19" s="43">
        <v>0.29299999999999998</v>
      </c>
      <c r="H19" s="43">
        <v>32</v>
      </c>
      <c r="I19" s="43">
        <v>0</v>
      </c>
      <c r="J19" s="43">
        <v>0</v>
      </c>
    </row>
    <row r="20" spans="1:10">
      <c r="A20" s="43" t="s">
        <v>110</v>
      </c>
      <c r="B20" s="43" t="s">
        <v>75</v>
      </c>
      <c r="C20" s="43">
        <v>0.39500000000000002</v>
      </c>
      <c r="D20" s="43">
        <v>0.47</v>
      </c>
      <c r="E20" s="43">
        <v>0.59799999999999998</v>
      </c>
      <c r="F20" s="43">
        <v>4.4999999999999998E-2</v>
      </c>
      <c r="G20" s="43">
        <v>0.53200000000000003</v>
      </c>
      <c r="H20" s="43">
        <v>34</v>
      </c>
      <c r="I20" s="43">
        <v>0</v>
      </c>
      <c r="J20" s="4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42" sqref="E42"/>
    </sheetView>
  </sheetViews>
  <sheetFormatPr defaultColWidth="8.81640625" defaultRowHeight="14.5"/>
  <cols>
    <col min="2" max="2" width="4.453125" customWidth="1"/>
    <col min="3" max="4" width="9.1796875" hidden="1" customWidth="1"/>
    <col min="5" max="5" width="20.453125" customWidth="1"/>
    <col min="6" max="6" width="18.81640625" customWidth="1"/>
    <col min="7" max="7" width="15.26953125" customWidth="1"/>
    <col min="8" max="8" width="15.1796875" customWidth="1"/>
    <col min="9" max="9" width="14" customWidth="1"/>
    <col min="11" max="11" width="1.453125" customWidth="1"/>
    <col min="12" max="12" width="40.26953125" customWidth="1"/>
    <col min="13" max="13" width="6" bestFit="1" customWidth="1"/>
    <col min="14" max="14" width="4.1796875" bestFit="1" customWidth="1"/>
    <col min="15" max="15" width="5" bestFit="1" customWidth="1"/>
    <col min="16" max="16" width="14.1796875" bestFit="1" customWidth="1"/>
    <col min="17" max="17" width="19.453125" bestFit="1" customWidth="1"/>
  </cols>
  <sheetData>
    <row r="9" spans="5:9">
      <c r="E9" s="85" t="s">
        <v>27</v>
      </c>
      <c r="F9" s="85"/>
      <c r="G9" s="85"/>
      <c r="H9" s="85"/>
      <c r="I9" s="85"/>
    </row>
    <row r="11" spans="5:9" ht="28">
      <c r="E11" s="1" t="s">
        <v>8</v>
      </c>
      <c r="F11" s="1" t="s">
        <v>9</v>
      </c>
      <c r="G11" s="1" t="s">
        <v>10</v>
      </c>
      <c r="H11" s="1" t="s">
        <v>11</v>
      </c>
      <c r="I11" s="1" t="s">
        <v>12</v>
      </c>
    </row>
    <row r="12" spans="5:9" ht="15">
      <c r="E12" s="2" t="s">
        <v>0</v>
      </c>
      <c r="F12" s="3" t="s">
        <v>18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0">
      <c r="E13" s="2" t="s">
        <v>1</v>
      </c>
      <c r="F13" s="3" t="s">
        <v>17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0">
      <c r="E14" s="2" t="s">
        <v>2</v>
      </c>
      <c r="F14" s="3" t="s">
        <v>20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">
      <c r="E15" s="2" t="s">
        <v>3</v>
      </c>
      <c r="F15" s="3" t="s">
        <v>13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0">
      <c r="E16" s="2" t="s">
        <v>14</v>
      </c>
      <c r="F16" s="3" t="s">
        <v>16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5">
      <c r="E17" s="2" t="s">
        <v>4</v>
      </c>
      <c r="F17" s="3" t="s">
        <v>15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">
      <c r="E18" s="2" t="s">
        <v>5</v>
      </c>
      <c r="F18" s="3" t="s">
        <v>19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>
      <c r="E23" s="85" t="s">
        <v>25</v>
      </c>
      <c r="F23" s="85"/>
      <c r="G23" s="85"/>
      <c r="H23" s="85"/>
      <c r="I23" s="85"/>
    </row>
    <row r="25" spans="5:9">
      <c r="E25" s="8" t="s">
        <v>8</v>
      </c>
      <c r="F25" s="8" t="s">
        <v>9</v>
      </c>
      <c r="G25" s="8" t="s">
        <v>10</v>
      </c>
      <c r="H25" s="8" t="s">
        <v>11</v>
      </c>
      <c r="I25" s="8" t="s">
        <v>12</v>
      </c>
    </row>
    <row r="26" spans="5:9" ht="15">
      <c r="E26" s="13" t="s">
        <v>0</v>
      </c>
      <c r="F26" s="12" t="s">
        <v>18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">
      <c r="E27" s="13" t="s">
        <v>1</v>
      </c>
      <c r="F27" s="12" t="s">
        <v>17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">
      <c r="E28" s="13" t="s">
        <v>2</v>
      </c>
      <c r="F28" s="12" t="s">
        <v>20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">
      <c r="E29" s="13" t="s">
        <v>3</v>
      </c>
      <c r="F29" s="12" t="s">
        <v>13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">
      <c r="E30" s="13" t="s">
        <v>14</v>
      </c>
      <c r="F30" s="12" t="s">
        <v>16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">
      <c r="E31" s="13" t="s">
        <v>4</v>
      </c>
      <c r="F31" s="12" t="s">
        <v>15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">
      <c r="E32" s="13" t="s">
        <v>5</v>
      </c>
      <c r="F32" s="12" t="s">
        <v>19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>
      <c r="E35" s="85" t="s">
        <v>26</v>
      </c>
      <c r="F35" s="85"/>
      <c r="G35" s="85"/>
      <c r="H35" s="85"/>
      <c r="I35" s="85"/>
    </row>
    <row r="37" spans="5:15">
      <c r="E37" s="8" t="s">
        <v>8</v>
      </c>
      <c r="F37" s="8" t="s">
        <v>9</v>
      </c>
      <c r="G37" s="8" t="s">
        <v>10</v>
      </c>
      <c r="H37" s="8" t="s">
        <v>11</v>
      </c>
      <c r="I37" s="8" t="s">
        <v>12</v>
      </c>
      <c r="L37" s="14" t="s">
        <v>21</v>
      </c>
      <c r="M37" s="14" t="s">
        <v>22</v>
      </c>
      <c r="N37" s="14" t="s">
        <v>23</v>
      </c>
      <c r="O37" s="14" t="s">
        <v>24</v>
      </c>
    </row>
    <row r="38" spans="5:15" ht="15">
      <c r="E38" s="13" t="s">
        <v>0</v>
      </c>
      <c r="F38" s="12" t="s">
        <v>18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15</v>
      </c>
      <c r="M38" s="14">
        <v>377</v>
      </c>
      <c r="N38" s="14">
        <v>27</v>
      </c>
      <c r="O38" s="14">
        <v>0</v>
      </c>
    </row>
    <row r="39" spans="5:15" ht="15">
      <c r="E39" s="13" t="s">
        <v>1</v>
      </c>
      <c r="F39" s="12" t="s">
        <v>17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16</v>
      </c>
      <c r="M39" s="14">
        <v>998</v>
      </c>
      <c r="N39" s="14">
        <v>1</v>
      </c>
      <c r="O39" s="14">
        <v>0</v>
      </c>
    </row>
    <row r="40" spans="5:15" ht="15">
      <c r="E40" s="13" t="s">
        <v>2</v>
      </c>
      <c r="F40" s="12" t="s">
        <v>20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17</v>
      </c>
      <c r="M40" s="14" t="s">
        <v>28</v>
      </c>
      <c r="N40" s="14">
        <v>0</v>
      </c>
      <c r="O40" s="14">
        <v>0</v>
      </c>
    </row>
    <row r="41" spans="5:15" ht="15">
      <c r="E41" s="13" t="s">
        <v>3</v>
      </c>
      <c r="F41" s="12" t="s">
        <v>13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18</v>
      </c>
      <c r="M41" s="14" t="s">
        <v>29</v>
      </c>
      <c r="N41" s="14">
        <v>139</v>
      </c>
      <c r="O41" s="14">
        <v>0</v>
      </c>
    </row>
    <row r="42" spans="5:15" ht="15">
      <c r="E42" s="13" t="s">
        <v>14</v>
      </c>
      <c r="F42" s="12" t="s">
        <v>16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19</v>
      </c>
      <c r="M42" s="14" t="s">
        <v>30</v>
      </c>
      <c r="N42" s="14">
        <v>1</v>
      </c>
      <c r="O42" s="14">
        <v>0</v>
      </c>
    </row>
    <row r="43" spans="5:15" ht="15">
      <c r="E43" s="13" t="s">
        <v>4</v>
      </c>
      <c r="F43" s="12" t="s">
        <v>15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13</v>
      </c>
      <c r="M43" s="14">
        <v>924</v>
      </c>
      <c r="N43" s="14">
        <v>0</v>
      </c>
      <c r="O43" s="14">
        <v>0</v>
      </c>
    </row>
    <row r="44" spans="5:15" ht="15">
      <c r="E44" s="13" t="s">
        <v>5</v>
      </c>
      <c r="F44" s="12" t="s">
        <v>19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20</v>
      </c>
      <c r="M44" s="14" t="s">
        <v>28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Tatyana Stepanova</cp:lastModifiedBy>
  <dcterms:created xsi:type="dcterms:W3CDTF">2015-06-05T18:19:34Z</dcterms:created>
  <dcterms:modified xsi:type="dcterms:W3CDTF">2024-03-30T07:40:42Z</dcterms:modified>
</cp:coreProperties>
</file>