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ngeloakca-my.sharepoint.com/personal/tanishk_deoghare_angeloakcapital_com/Documents/Desktop/Portfolio Construction/Dry Run 10/Input/"/>
    </mc:Choice>
  </mc:AlternateContent>
  <xr:revisionPtr revIDLastSave="455" documentId="8_{7DF8D279-F3CD-4BE2-9FB4-684ECD451866}" xr6:coauthVersionLast="47" xr6:coauthVersionMax="47" xr10:uidLastSave="{C40534C3-16F3-455D-AE81-2D9FADE79E91}"/>
  <bookViews>
    <workbookView xWindow="28680" yWindow="-120" windowWidth="29040" windowHeight="15720" activeTab="1" xr2:uid="{1547AC4A-C9F8-49A1-916D-4FBEFFDAFCA6}"/>
  </bookViews>
  <sheets>
    <sheet name="Data" sheetId="1" r:id="rId1"/>
    <sheet name="ASCIX" sheetId="2" r:id="rId2"/>
    <sheet name="Mean" sheetId="3" r:id="rId3"/>
    <sheet name="Stdev" sheetId="4" r:id="rId4"/>
    <sheet name="Count" sheetId="5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2" l="1"/>
  <c r="H8" i="2"/>
  <c r="H7" i="2"/>
  <c r="H6" i="2"/>
  <c r="H5" i="2"/>
  <c r="H4" i="2"/>
  <c r="H3" i="2"/>
  <c r="G9" i="2"/>
  <c r="G8" i="2"/>
  <c r="G7" i="2"/>
  <c r="G6" i="2"/>
  <c r="G5" i="2"/>
  <c r="G4" i="2"/>
  <c r="G3" i="2"/>
  <c r="H17" i="2"/>
  <c r="H16" i="2"/>
  <c r="H15" i="2"/>
  <c r="H14" i="2"/>
  <c r="H13" i="2"/>
  <c r="I17" i="2"/>
  <c r="I16" i="2"/>
  <c r="I15" i="2"/>
  <c r="I14" i="2"/>
  <c r="I13" i="2"/>
  <c r="I18" i="2" l="1"/>
  <c r="R46" i="2"/>
  <c r="P46" i="2"/>
  <c r="O46" i="2"/>
  <c r="M46" i="2"/>
  <c r="L46" i="2"/>
  <c r="R45" i="2"/>
  <c r="P45" i="2"/>
  <c r="O45" i="2"/>
  <c r="R44" i="2"/>
  <c r="Q43" i="2"/>
  <c r="P43" i="2"/>
  <c r="O43" i="2"/>
  <c r="M43" i="2"/>
  <c r="L43" i="2"/>
  <c r="Q42" i="2"/>
  <c r="P42" i="2"/>
  <c r="O42" i="2"/>
  <c r="M42" i="2"/>
  <c r="L42" i="2"/>
  <c r="R41" i="2"/>
  <c r="P41" i="2"/>
  <c r="R36" i="2"/>
  <c r="P36" i="2"/>
  <c r="O36" i="2"/>
  <c r="M36" i="2"/>
  <c r="L36" i="2"/>
  <c r="R35" i="2"/>
  <c r="P35" i="2"/>
  <c r="O35" i="2"/>
  <c r="R34" i="2"/>
  <c r="Q33" i="2"/>
  <c r="P33" i="2"/>
  <c r="O33" i="2"/>
  <c r="M33" i="2"/>
  <c r="L33" i="2"/>
  <c r="Q32" i="2"/>
  <c r="P32" i="2"/>
  <c r="O32" i="2"/>
  <c r="M32" i="2"/>
  <c r="L32" i="2"/>
  <c r="R31" i="2"/>
  <c r="P31" i="2"/>
  <c r="R69" i="2"/>
  <c r="P69" i="2"/>
  <c r="O69" i="2"/>
  <c r="M69" i="2"/>
  <c r="L69" i="2"/>
  <c r="R68" i="2"/>
  <c r="P68" i="2"/>
  <c r="O68" i="2"/>
  <c r="R67" i="2"/>
  <c r="Q66" i="2"/>
  <c r="P66" i="2"/>
  <c r="O66" i="2"/>
  <c r="M66" i="2"/>
  <c r="L66" i="2"/>
  <c r="Q65" i="2"/>
  <c r="P65" i="2"/>
  <c r="O65" i="2"/>
  <c r="M65" i="2"/>
  <c r="L65" i="2"/>
  <c r="R64" i="2"/>
  <c r="P64" i="2"/>
  <c r="F20" i="2"/>
  <c r="F19" i="2"/>
  <c r="F18" i="2"/>
  <c r="F16" i="2"/>
  <c r="F15" i="2"/>
  <c r="F14" i="2"/>
  <c r="F13" i="2"/>
  <c r="F9" i="2"/>
  <c r="F8" i="2"/>
  <c r="F7" i="2"/>
  <c r="F6" i="2"/>
  <c r="F5" i="2"/>
  <c r="F4" i="2"/>
  <c r="F3" i="2"/>
  <c r="AE22" i="2"/>
  <c r="AN21" i="2" l="1"/>
  <c r="U15" i="2"/>
  <c r="AQ19" i="2"/>
  <c r="G20" i="2"/>
  <c r="W16" i="2" s="1"/>
  <c r="AM20" i="2"/>
  <c r="AN20" i="2"/>
  <c r="AN19" i="2"/>
  <c r="AN16" i="2"/>
  <c r="I6" i="2"/>
  <c r="AJ15" i="2"/>
  <c r="AN18" i="2"/>
  <c r="I8" i="2"/>
  <c r="AN15" i="2"/>
  <c r="I7" i="2"/>
  <c r="I9" i="2"/>
  <c r="AN17" i="2"/>
  <c r="I5" i="2"/>
  <c r="I3" i="2"/>
  <c r="I4" i="2"/>
  <c r="V19" i="2"/>
  <c r="F17" i="2"/>
  <c r="V18" i="2"/>
  <c r="U17" i="2"/>
  <c r="V17" i="2"/>
  <c r="AJ16" i="2"/>
  <c r="V16" i="2"/>
  <c r="AJ17" i="2"/>
  <c r="V15" i="2"/>
  <c r="AJ18" i="2"/>
  <c r="AJ19" i="2"/>
  <c r="V21" i="2"/>
  <c r="AJ20" i="2"/>
  <c r="T17" i="2"/>
  <c r="V20" i="2"/>
  <c r="AJ21" i="2"/>
  <c r="G18" i="2" l="1"/>
  <c r="Z20" i="2" s="1"/>
  <c r="G19" i="2"/>
  <c r="X16" i="2" s="1"/>
  <c r="I10" i="2"/>
  <c r="U21" i="2"/>
  <c r="Y19" i="2"/>
  <c r="U19" i="2"/>
  <c r="U16" i="2"/>
  <c r="U18" i="2"/>
  <c r="U20" i="2"/>
  <c r="AQ17" i="2"/>
  <c r="AM21" i="2"/>
  <c r="AM17" i="2"/>
  <c r="AM16" i="2"/>
  <c r="Y20" i="2"/>
  <c r="Y16" i="2"/>
  <c r="AQ15" i="2"/>
  <c r="AM19" i="2"/>
  <c r="AQ21" i="2"/>
  <c r="AQ18" i="2"/>
  <c r="Y17" i="2"/>
  <c r="AM18" i="2"/>
  <c r="W15" i="2"/>
  <c r="AQ20" i="2"/>
  <c r="AM15" i="2"/>
  <c r="Y15" i="2"/>
  <c r="AQ16" i="2"/>
  <c r="T15" i="2"/>
  <c r="Y18" i="2"/>
  <c r="W21" i="2"/>
  <c r="W17" i="2"/>
  <c r="AH22" i="2"/>
  <c r="W18" i="2"/>
  <c r="Y21" i="2"/>
  <c r="W20" i="2"/>
  <c r="W19" i="2"/>
  <c r="AN22" i="2"/>
  <c r="T19" i="2"/>
  <c r="T20" i="2"/>
  <c r="T16" i="2"/>
  <c r="T18" i="2"/>
  <c r="T21" i="2"/>
  <c r="AD22" i="2"/>
  <c r="Z16" i="2" l="1"/>
  <c r="Z15" i="2"/>
  <c r="X19" i="2"/>
  <c r="X18" i="2"/>
  <c r="X15" i="2"/>
  <c r="X21" i="2"/>
  <c r="Z17" i="2"/>
  <c r="Z19" i="2"/>
  <c r="X17" i="2"/>
  <c r="X20" i="2"/>
  <c r="Z21" i="2"/>
  <c r="H20" i="2"/>
  <c r="H19" i="2"/>
  <c r="H18" i="2"/>
  <c r="Z18" i="2"/>
  <c r="AL20" i="2"/>
  <c r="AL17" i="2"/>
  <c r="AL16" i="2"/>
  <c r="AL18" i="2"/>
  <c r="AL19" i="2"/>
  <c r="AL15" i="2"/>
  <c r="AL21" i="2"/>
  <c r="AQ22" i="2"/>
  <c r="AM22" i="2"/>
  <c r="AC22" i="2"/>
  <c r="Q16" i="2" l="1"/>
  <c r="P15" i="2"/>
  <c r="M19" i="2"/>
  <c r="M68" i="2" s="1"/>
  <c r="O16" i="2"/>
  <c r="P20" i="2"/>
  <c r="L21" i="2"/>
  <c r="L70" i="2" s="1"/>
  <c r="L19" i="2"/>
  <c r="L35" i="2" s="1"/>
  <c r="O18" i="2"/>
  <c r="O67" i="2" s="1"/>
  <c r="R17" i="2"/>
  <c r="R66" i="2" s="1"/>
  <c r="L20" i="2"/>
  <c r="AR18" i="2"/>
  <c r="AR16" i="2"/>
  <c r="AI22" i="2"/>
  <c r="AR21" i="2"/>
  <c r="AR19" i="2"/>
  <c r="AR15" i="2"/>
  <c r="AR20" i="2"/>
  <c r="AR17" i="2"/>
  <c r="M17" i="2"/>
  <c r="O15" i="2"/>
  <c r="O31" i="2" s="1"/>
  <c r="O20" i="2"/>
  <c r="P16" i="2"/>
  <c r="Q17" i="2"/>
  <c r="M20" i="2"/>
  <c r="P19" i="2"/>
  <c r="R21" i="2"/>
  <c r="R70" i="2" s="1"/>
  <c r="N16" i="2"/>
  <c r="N65" i="2" s="1"/>
  <c r="Q18" i="2"/>
  <c r="Q34" i="2" s="1"/>
  <c r="AO19" i="2"/>
  <c r="AO15" i="2"/>
  <c r="AO17" i="2"/>
  <c r="AF22" i="2"/>
  <c r="AO16" i="2"/>
  <c r="AO18" i="2"/>
  <c r="AO20" i="2"/>
  <c r="AO21" i="2"/>
  <c r="R18" i="2"/>
  <c r="P17" i="2"/>
  <c r="O21" i="2"/>
  <c r="O70" i="2" s="1"/>
  <c r="P18" i="2"/>
  <c r="P67" i="2" s="1"/>
  <c r="L17" i="2"/>
  <c r="R19" i="2"/>
  <c r="N21" i="2"/>
  <c r="N70" i="2" s="1"/>
  <c r="O17" i="2"/>
  <c r="N20" i="2"/>
  <c r="N69" i="2" s="1"/>
  <c r="N18" i="2"/>
  <c r="N67" i="2" s="1"/>
  <c r="O19" i="2"/>
  <c r="L15" i="2"/>
  <c r="M18" i="2"/>
  <c r="M34" i="2" s="1"/>
  <c r="Q21" i="2"/>
  <c r="Q70" i="2" s="1"/>
  <c r="N17" i="2"/>
  <c r="N66" i="2" s="1"/>
  <c r="R15" i="2"/>
  <c r="Q15" i="2"/>
  <c r="N19" i="2"/>
  <c r="N68" i="2" s="1"/>
  <c r="L16" i="2"/>
  <c r="L18" i="2"/>
  <c r="AP19" i="2"/>
  <c r="AP18" i="2"/>
  <c r="AP15" i="2"/>
  <c r="AP20" i="2"/>
  <c r="AG22" i="2"/>
  <c r="AP21" i="2"/>
  <c r="AP16" i="2"/>
  <c r="AP17" i="2"/>
  <c r="Q20" i="2"/>
  <c r="Q36" i="2" s="1"/>
  <c r="N15" i="2"/>
  <c r="R16" i="2"/>
  <c r="R65" i="2" s="1"/>
  <c r="R20" i="2"/>
  <c r="M21" i="2"/>
  <c r="M70" i="2" s="1"/>
  <c r="P21" i="2"/>
  <c r="P70" i="2" s="1"/>
  <c r="Q19" i="2"/>
  <c r="Q68" i="2" s="1"/>
  <c r="M15" i="2"/>
  <c r="M16" i="2"/>
  <c r="AL22" i="2"/>
  <c r="L37" i="2" l="1"/>
  <c r="N35" i="2"/>
  <c r="N32" i="2"/>
  <c r="O34" i="2"/>
  <c r="O64" i="2"/>
  <c r="N37" i="2"/>
  <c r="Q67" i="2"/>
  <c r="M22" i="2"/>
  <c r="L22" i="2"/>
  <c r="L68" i="2"/>
  <c r="P34" i="2"/>
  <c r="O37" i="2"/>
  <c r="M35" i="2"/>
  <c r="R32" i="2"/>
  <c r="N33" i="2"/>
  <c r="AS18" i="2"/>
  <c r="S19" i="2"/>
  <c r="N22" i="2"/>
  <c r="R22" i="2"/>
  <c r="M67" i="2"/>
  <c r="AE17" i="2"/>
  <c r="AE30" i="2" s="1"/>
  <c r="AF20" i="2"/>
  <c r="AF33" i="2" s="1"/>
  <c r="N31" i="2"/>
  <c r="N64" i="2"/>
  <c r="AF16" i="2"/>
  <c r="AF29" i="2" s="1"/>
  <c r="AF21" i="2"/>
  <c r="AF34" i="2" s="1"/>
  <c r="AH16" i="2"/>
  <c r="AH29" i="2" s="1"/>
  <c r="S18" i="2"/>
  <c r="P37" i="2"/>
  <c r="AI18" i="2"/>
  <c r="AI31" i="2" s="1"/>
  <c r="S16" i="2"/>
  <c r="AS17" i="2"/>
  <c r="AI16" i="2"/>
  <c r="AI29" i="2" s="1"/>
  <c r="N36" i="2"/>
  <c r="L31" i="2"/>
  <c r="AH18" i="2"/>
  <c r="AH31" i="2" s="1"/>
  <c r="AS21" i="2"/>
  <c r="S15" i="2"/>
  <c r="S17" i="2"/>
  <c r="AF19" i="2"/>
  <c r="AF32" i="2" s="1"/>
  <c r="AI20" i="2"/>
  <c r="AI33" i="2" s="1"/>
  <c r="N34" i="2"/>
  <c r="AG17" i="2"/>
  <c r="AG30" i="2" s="1"/>
  <c r="AI15" i="2"/>
  <c r="AI28" i="2" s="1"/>
  <c r="O22" i="2"/>
  <c r="AD21" i="2"/>
  <c r="AD34" i="2" s="1"/>
  <c r="M37" i="2"/>
  <c r="M64" i="2"/>
  <c r="AF17" i="2"/>
  <c r="AF30" i="2" s="1"/>
  <c r="AS15" i="2"/>
  <c r="AL28" i="2" s="1"/>
  <c r="S21" i="2"/>
  <c r="Q35" i="2"/>
  <c r="AC21" i="2"/>
  <c r="L47" i="2" s="1"/>
  <c r="P22" i="2"/>
  <c r="AI21" i="2"/>
  <c r="R47" i="2" s="1"/>
  <c r="S20" i="2"/>
  <c r="L64" i="2"/>
  <c r="M31" i="2"/>
  <c r="AE21" i="2"/>
  <c r="AE34" i="2" s="1"/>
  <c r="R33" i="2"/>
  <c r="L34" i="2"/>
  <c r="AC18" i="2"/>
  <c r="L44" i="2" s="1"/>
  <c r="AS16" i="2"/>
  <c r="L67" i="2"/>
  <c r="AG20" i="2"/>
  <c r="AG33" i="2" s="1"/>
  <c r="AH20" i="2"/>
  <c r="AH33" i="2" s="1"/>
  <c r="AH21" i="2"/>
  <c r="AH34" i="2" s="1"/>
  <c r="AG15" i="2"/>
  <c r="AG28" i="2" s="1"/>
  <c r="Q69" i="2"/>
  <c r="AG21" i="2"/>
  <c r="P47" i="2" s="1"/>
  <c r="AH17" i="2"/>
  <c r="AH30" i="2" s="1"/>
  <c r="Q37" i="2"/>
  <c r="AD19" i="2"/>
  <c r="AD32" i="2" s="1"/>
  <c r="AP22" i="2"/>
  <c r="AI17" i="2"/>
  <c r="AI30" i="2" s="1"/>
  <c r="AD20" i="2"/>
  <c r="AD33" i="2" s="1"/>
  <c r="AD18" i="2"/>
  <c r="AD31" i="2" s="1"/>
  <c r="AE19" i="2"/>
  <c r="AE32" i="2" s="1"/>
  <c r="AH15" i="2"/>
  <c r="Q41" i="2" s="1"/>
  <c r="AG19" i="2"/>
  <c r="AG32" i="2" s="1"/>
  <c r="AG18" i="2"/>
  <c r="P44" i="2" s="1"/>
  <c r="AF18" i="2"/>
  <c r="AE15" i="2"/>
  <c r="N41" i="2" s="1"/>
  <c r="AC20" i="2"/>
  <c r="AC33" i="2" s="1"/>
  <c r="AS19" i="2"/>
  <c r="Q22" i="2"/>
  <c r="AD17" i="2"/>
  <c r="AD30" i="2" s="1"/>
  <c r="AE18" i="2"/>
  <c r="N44" i="2" s="1"/>
  <c r="AI19" i="2"/>
  <c r="AI32" i="2" s="1"/>
  <c r="AC19" i="2"/>
  <c r="L45" i="2" s="1"/>
  <c r="AS20" i="2"/>
  <c r="Q31" i="2"/>
  <c r="AE20" i="2"/>
  <c r="AE33" i="2" s="1"/>
  <c r="AF15" i="2"/>
  <c r="O41" i="2" s="1"/>
  <c r="AC17" i="2"/>
  <c r="AC30" i="2" s="1"/>
  <c r="AL25" i="2"/>
  <c r="Q64" i="2"/>
  <c r="AG16" i="2"/>
  <c r="AG29" i="2" s="1"/>
  <c r="AC16" i="2"/>
  <c r="AC29" i="2" s="1"/>
  <c r="AO22" i="2"/>
  <c r="AH19" i="2"/>
  <c r="AH32" i="2" s="1"/>
  <c r="AR22" i="2"/>
  <c r="R37" i="2"/>
  <c r="AE16" i="2"/>
  <c r="N42" i="2" s="1"/>
  <c r="AC15" i="2"/>
  <c r="L41" i="2" s="1"/>
  <c r="AD16" i="2"/>
  <c r="AD29" i="2" s="1"/>
  <c r="AD15" i="2"/>
  <c r="M41" i="2" s="1"/>
  <c r="AC31" i="2" l="1"/>
  <c r="AF24" i="2"/>
  <c r="AF28" i="2"/>
  <c r="P79" i="2"/>
  <c r="N43" i="2"/>
  <c r="Q76" i="2"/>
  <c r="AC34" i="2"/>
  <c r="AI34" i="2"/>
  <c r="AE31" i="2"/>
  <c r="R43" i="2"/>
  <c r="M76" i="2"/>
  <c r="AE29" i="2"/>
  <c r="O47" i="2"/>
  <c r="AK18" i="2"/>
  <c r="Q78" i="2"/>
  <c r="O78" i="2"/>
  <c r="AK15" i="2"/>
  <c r="Q44" i="2"/>
  <c r="P80" i="2"/>
  <c r="L77" i="2"/>
  <c r="AC28" i="2"/>
  <c r="L75" i="2"/>
  <c r="Q80" i="2"/>
  <c r="AF31" i="2"/>
  <c r="O74" i="2"/>
  <c r="O76" i="2"/>
  <c r="AG31" i="2"/>
  <c r="M74" i="2"/>
  <c r="AG34" i="2"/>
  <c r="N46" i="2"/>
  <c r="N79" i="2"/>
  <c r="O44" i="2"/>
  <c r="M78" i="2"/>
  <c r="AK16" i="2"/>
  <c r="Q74" i="2"/>
  <c r="M47" i="2"/>
  <c r="AI24" i="2"/>
  <c r="AD28" i="2"/>
  <c r="L74" i="2"/>
  <c r="R77" i="2"/>
  <c r="Q45" i="2"/>
  <c r="R42" i="2"/>
  <c r="AK17" i="2"/>
  <c r="R80" i="2"/>
  <c r="P75" i="2"/>
  <c r="N47" i="2"/>
  <c r="R74" i="2"/>
  <c r="AE28" i="2"/>
  <c r="R79" i="2"/>
  <c r="Q77" i="2"/>
  <c r="AK20" i="2"/>
  <c r="Q47" i="2"/>
  <c r="AC32" i="2"/>
  <c r="P76" i="2"/>
  <c r="R76" i="2"/>
  <c r="P74" i="2"/>
  <c r="L78" i="2"/>
  <c r="N45" i="2"/>
  <c r="M45" i="2"/>
  <c r="AD24" i="2"/>
  <c r="AK19" i="2"/>
  <c r="O79" i="2"/>
  <c r="M75" i="2"/>
  <c r="M80" i="2"/>
  <c r="R78" i="2"/>
  <c r="AE24" i="2"/>
  <c r="N74" i="2"/>
  <c r="N78" i="2"/>
  <c r="R75" i="2"/>
  <c r="N80" i="2"/>
  <c r="O77" i="2"/>
  <c r="M44" i="2"/>
  <c r="AH24" i="2"/>
  <c r="Q75" i="2"/>
  <c r="Q79" i="2"/>
  <c r="M77" i="2"/>
  <c r="P77" i="2"/>
  <c r="AK21" i="2"/>
  <c r="AC24" i="2"/>
  <c r="AH28" i="2"/>
  <c r="L80" i="2"/>
  <c r="O80" i="2"/>
  <c r="O75" i="2"/>
  <c r="P78" i="2"/>
  <c r="N75" i="2"/>
  <c r="L76" i="2"/>
  <c r="Q46" i="2"/>
  <c r="L79" i="2"/>
  <c r="AG24" i="2"/>
  <c r="M79" i="2"/>
  <c r="N77" i="2"/>
  <c r="N7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Tanishk Deoghare</author>
  </authors>
  <commentList>
    <comment ref="G17" authorId="0" shapeId="0" xr:uid="{11EFC2FD-6D3F-4CBF-A027-6D13790A7295}">
      <text>
        <r>
          <rPr>
            <b/>
            <sz val="9"/>
            <color indexed="81"/>
            <rFont val="Tahoma"/>
            <family val="2"/>
          </rPr>
          <t>Tanishk Deoghare:</t>
        </r>
        <r>
          <rPr>
            <sz val="9"/>
            <color indexed="81"/>
            <rFont val="Tahoma"/>
            <family val="2"/>
          </rPr>
          <t xml:space="preserve">
hardcoded</t>
        </r>
      </text>
    </comment>
  </commentList>
</comments>
</file>

<file path=xl/sharedStrings.xml><?xml version="1.0" encoding="utf-8"?>
<sst xmlns="http://schemas.openxmlformats.org/spreadsheetml/2006/main" count="497" uniqueCount="130">
  <si>
    <t>Instrument</t>
  </si>
  <si>
    <t>Sector</t>
  </si>
  <si>
    <t>Ratings</t>
  </si>
  <si>
    <t>AAA 1Y Fixed Rate Prime Auto vs Treasury</t>
  </si>
  <si>
    <t>ABS</t>
  </si>
  <si>
    <t>AAA</t>
  </si>
  <si>
    <t>AAA 2Y Fixed Rate Prime Auto vs Treasury</t>
  </si>
  <si>
    <t>AAA 3Y Fixed Rate Prime Auto vs Treasury</t>
  </si>
  <si>
    <t>AA 4Y Fixed Rate Prime Auto vs Treasury</t>
  </si>
  <si>
    <t>AA</t>
  </si>
  <si>
    <t>A 4Y Fixed Rate Prime Auto vs Treasury</t>
  </si>
  <si>
    <t>A</t>
  </si>
  <si>
    <t>BBB 4Y Fixed Rate Prime Auto vs Treasury</t>
  </si>
  <si>
    <t>BBB</t>
  </si>
  <si>
    <t>AAA 1Y Fixed Rate Subprime Auto vs Treasury</t>
  </si>
  <si>
    <t>AAA 2Y Fixed Rate Subprime Auto vs Treasury</t>
  </si>
  <si>
    <t>AAA 3Y Fixed Rate Subprime Auto vs Treasury</t>
  </si>
  <si>
    <t>AA 4Y Fixed Rate Subprime Auto vs Treasury</t>
  </si>
  <si>
    <t>A 4Y Fixed Rate Subprime Auto vs Treasury</t>
  </si>
  <si>
    <t>BBB 4Y Fixed Rate Subprime Auto vs Treasury</t>
  </si>
  <si>
    <t>AAA 1Y Fixed Rate Credit Card vs Treasury</t>
  </si>
  <si>
    <t>AAA 2Y Fixed Rate Credit Card vs Treasury</t>
  </si>
  <si>
    <t>AAA 3Y Fixed Rate Credit Card vs Treasury</t>
  </si>
  <si>
    <t>AAA 5Y Fixed Rate Credit Card vs Treasury</t>
  </si>
  <si>
    <t>AAA 10Y Fixed Rate Credit Card vs Treasury</t>
  </si>
  <si>
    <t>A 5Y Fixed Rate Credit Card vs Treasury</t>
  </si>
  <si>
    <t>AAA 1Y Floating Rate FFELP Student Loan vs SOFR</t>
  </si>
  <si>
    <t>AAA 2Y Floating Rate FFELP Student Loan vs SOFR</t>
  </si>
  <si>
    <t>AAA 3Y Floating Rate FFELP Student Loan vs SOFR</t>
  </si>
  <si>
    <t>AAA 5Y Floating Rate FFELP Student Loan vs SOFR</t>
  </si>
  <si>
    <t>AAA 7Y Floating Rate FFELP Student Loan vs SOFR</t>
  </si>
  <si>
    <t>AAA 10Y Floating Rate FFELP Student Loan vs SOFR</t>
  </si>
  <si>
    <t>Class B 5Y Floating Rate FFELP Student Loan vs SOFR30A</t>
  </si>
  <si>
    <t>B</t>
  </si>
  <si>
    <t>10/9.5 TBA AAA 10Y Fixed Rate DUS Agency vs Treasury</t>
  </si>
  <si>
    <t>Agency CMBS</t>
  </si>
  <si>
    <t>A1 5Y Fixed Rate Freddie Agency vs Treasury</t>
  </si>
  <si>
    <t>A2 10Y Fixed Rate Freddie Agency vs Treasury</t>
  </si>
  <si>
    <t>B 10Y Fixed Rate Freddie Agency vs Treasury</t>
  </si>
  <si>
    <t>NR</t>
  </si>
  <si>
    <t>C 10Y Fixed Rate Freddie Agency vs Treasury</t>
  </si>
  <si>
    <t>FNCL current coupon ZVOAS vs Treasury</t>
  </si>
  <si>
    <t>Agency RMBS</t>
  </si>
  <si>
    <t>FNCI current coupon ZVOAS vs Treasury</t>
  </si>
  <si>
    <t>G2SF current coupon ZVOAS vs Treasury</t>
  </si>
  <si>
    <t>4Y Fixed Rate PAC Agency CMO vs Treasury</t>
  </si>
  <si>
    <t>7Y Fixed Rate PAC Agency CMO vs Treasury</t>
  </si>
  <si>
    <t>LCF Fixed Rate PAC Agency CMO vs Treasury</t>
  </si>
  <si>
    <t>1Y Fixed Rate SEQ Agency CMO vs Treasury</t>
  </si>
  <si>
    <t>3Y Fixed Rate SEQ Agency CMO vs Treasury</t>
  </si>
  <si>
    <t>LCF Fixed Rate SEQ Agency CMO vs Treasury</t>
  </si>
  <si>
    <t>FN Floating Rate Floater Agency CMO vs SOFR</t>
  </si>
  <si>
    <t>GN Floating Rate Floater Agency CMO vs SOFR</t>
  </si>
  <si>
    <t>Agency CMO IO OAS vs Treasury</t>
  </si>
  <si>
    <t>AAA 5Y Floating Rate US CLO vs SOFR</t>
  </si>
  <si>
    <t>CLO</t>
  </si>
  <si>
    <t>AA 5Y Floating Rate US CLO vs SOFR</t>
  </si>
  <si>
    <t>A 5Y Floating Rate US CLO vs SOFR</t>
  </si>
  <si>
    <t>BBB 5Y Floating Rate US CLO vs SOFR</t>
  </si>
  <si>
    <t>BB 5Y Floating Rate US CLO vs SOFR</t>
  </si>
  <si>
    <t>BB</t>
  </si>
  <si>
    <t>B 5Y Floating Rate US CLO vs SOFR</t>
  </si>
  <si>
    <t>OTR LCF AAA 10Y Fixed Rate Conduit vs Treasury</t>
  </si>
  <si>
    <t>CMBS</t>
  </si>
  <si>
    <t>OTR A-S AAA 10Y Fixed Rate Conduit vs Treasury</t>
  </si>
  <si>
    <t>OTR AA 10Y Fixed Rate Conduit vs Treasury</t>
  </si>
  <si>
    <t>OTR A 10Y Fixed Rate Conduit vs Treasury</t>
  </si>
  <si>
    <t>OTR BBB- 10Y Fixed Rate Conduit vs Treasury</t>
  </si>
  <si>
    <t>Legacy LCF AAA 10Y Fixed Rate Conduit vs Treasury</t>
  </si>
  <si>
    <t>Legacy A-S AAA 10Y Fixed Rate Conduit vs Treasury</t>
  </si>
  <si>
    <t>Legacy AA 10Y Fixed Rate Conduit vs Treasury</t>
  </si>
  <si>
    <t>Legacy A 10Y Fixed Rate Conduit vs Treasury</t>
  </si>
  <si>
    <t>Legacy BBB- 10Y Fixed Rate Conduit vs Treasury</t>
  </si>
  <si>
    <t>CDX HY (CDX HY CDSI)</t>
  </si>
  <si>
    <t>Credit</t>
  </si>
  <si>
    <t>CDX IG (CDX IG CDSI)</t>
  </si>
  <si>
    <t>NR 1Y Fixed Rate NPL A1 Nonagency vs Treasury</t>
  </si>
  <si>
    <t>Non-agency RMBS</t>
  </si>
  <si>
    <t>NR 3Y Fixed Rate NPL A2 Nonagency vs Treasury</t>
  </si>
  <si>
    <t>AAA 4Y Fixed Rate RPL A1 Nonagency vs Treasury</t>
  </si>
  <si>
    <t>AAA 5Y Fixed Rate SFR A Nonagency vs Treasury</t>
  </si>
  <si>
    <t>AA 5Y Fixed Rate SFR B Nonagency vs Treasury</t>
  </si>
  <si>
    <t>A 5Y Fixed Rate SFR C Nonagency vs Treasury</t>
  </si>
  <si>
    <t>BBB 5Y Fixed Rate SFR D Nonagency vs Treasury</t>
  </si>
  <si>
    <t>BBB- 5Y Fixed Rate SFR E Nonagency vs Treasury</t>
  </si>
  <si>
    <t>BB 5Y Fixed Rate SFR F Nonagency vs Treasury</t>
  </si>
  <si>
    <t>CCC- 7Y Floating Rate ALT-A Nonagency vs SOFR</t>
  </si>
  <si>
    <t>CCC- 7Y Floating Rate Option Nonagency vs SOFR</t>
  </si>
  <si>
    <t>BCCC 7Y Floating Rate Current Subprime Nonagency vs SOFR</t>
  </si>
  <si>
    <t>BCCC 7Y Floating Rate LCF Subprime Nonagency vs SOFR</t>
  </si>
  <si>
    <t>OTR BB 5Y Floating Rate STACR M2 CRT vs SOFR</t>
  </si>
  <si>
    <t>OTR NR 5Y Floating Rate STACR B1 CRT vs SOFR</t>
  </si>
  <si>
    <t>OTR NR 5Y Floating Rate STACR B2 CRT vs SOFR</t>
  </si>
  <si>
    <t>Prime 2.0 FSEQ I-Curve Spread</t>
  </si>
  <si>
    <t>Prime 2.0 Sn. Mezz. I-Curve Spread</t>
  </si>
  <si>
    <t>Prime 2.0 LCF I-Curve Spread</t>
  </si>
  <si>
    <t>Prime 2.0 AA Sub I-Curve Spread</t>
  </si>
  <si>
    <t>Prime 2.0 A Sub I-Curve Spread</t>
  </si>
  <si>
    <t>Prime 2.0 BBB Sub I-Curve Spread</t>
  </si>
  <si>
    <t>Prime 2.0 BB Sub I-Curve Spread</t>
  </si>
  <si>
    <t>Prime 2.0 B Sub I-Curve Spread</t>
  </si>
  <si>
    <t>Prime 2.0 NR Sub I-Curve Spread</t>
  </si>
  <si>
    <t>Non-QM Class A1 AAA (2yr)</t>
  </si>
  <si>
    <t>Non-QM Class A2 AA (2yr)</t>
  </si>
  <si>
    <t>Non-QM Class A3 A (2yr)</t>
  </si>
  <si>
    <t>Non-QM Class M1 BBB (4yr)</t>
  </si>
  <si>
    <t>Non-QM ERISA B1 BB/BBB- (4yr)</t>
  </si>
  <si>
    <t>Non-QM Class B1 BB (4yr)</t>
  </si>
  <si>
    <t>Non-QM Class B2 B (4yr)</t>
  </si>
  <si>
    <t>Row Labels</t>
  </si>
  <si>
    <t>Grand Total</t>
  </si>
  <si>
    <t>Column Labels</t>
  </si>
  <si>
    <t>Count of Instrument</t>
  </si>
  <si>
    <t>Min</t>
  </si>
  <si>
    <t>Max</t>
  </si>
  <si>
    <t>ALLOC</t>
  </si>
  <si>
    <t>Below IG</t>
  </si>
  <si>
    <t>Mean</t>
  </si>
  <si>
    <t>SD</t>
  </si>
  <si>
    <t>Securities</t>
  </si>
  <si>
    <t>Matrix</t>
  </si>
  <si>
    <t>Distrib - with zeros</t>
  </si>
  <si>
    <t>Distrib - with zeros, scaled</t>
  </si>
  <si>
    <t>Distrib mean - raw</t>
  </si>
  <si>
    <t>Distrib variance - raw</t>
  </si>
  <si>
    <t>Std dev - raw</t>
  </si>
  <si>
    <t>Per security - mean</t>
  </si>
  <si>
    <t>Per security - std dev</t>
  </si>
  <si>
    <t>Stdev</t>
  </si>
  <si>
    <t>ASCIX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</si>
</sst>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00000000000000%"/>
    <numFmt numFmtId="166" formatCode="0.000%"/>
    <numFmt numFmtId="167" formatCode="0.0000%"/>
    <numFmt numFmtId="168" formatCode="0.000000000000000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b/>
      <strike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9" fontId="0" fillId="0" borderId="0" xfId="0" applyNumberFormat="1" applyAlignment="1">
      <alignment vertical="center" wrapText="1"/>
    </xf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166" fontId="0" fillId="0" borderId="0" xfId="1" applyNumberFormat="1" applyFont="1"/>
    <xf numFmtId="167" fontId="0" fillId="0" borderId="0" xfId="1" applyNumberFormat="1" applyFont="1"/>
    <xf numFmtId="168" fontId="0" fillId="0" borderId="0" xfId="0" applyNumberFormat="1"/>
    <xf numFmtId="167" fontId="0" fillId="3" borderId="0" xfId="0" applyNumberFormat="1" applyFill="1"/>
    <xf numFmtId="166" fontId="0" fillId="0" borderId="0" xfId="0" applyNumberFormat="1"/>
    <xf numFmtId="0" fontId="3" fillId="0" borderId="0" xfId="0" applyFont="1" applyAlignment="1">
      <alignment horizontal="left"/>
    </xf>
    <xf numFmtId="0" fontId="3" fillId="0" borderId="0" xfId="0" applyFont="1"/>
    <xf numFmtId="0" fontId="4" fillId="2" borderId="2" xfId="0" applyFont="1" applyFill="1" applyBorder="1"/>
    <xf numFmtId="0" fontId="3" fillId="0" borderId="0" xfId="1" applyNumberFormat="1" applyFont="1"/>
    <xf numFmtId="10" fontId="0" fillId="4" borderId="0" xfId="1" applyNumberFormat="1" applyFont="1" applyFill="1"/>
    <xf numFmtId="164" fontId="0" fillId="5" borderId="0" xfId="0" applyNumberFormat="1" applyFill="1"/>
    <xf numFmtId="0" fontId="0" fillId="0" borderId="1" xfId="0" applyBorder="1"/>
  </cellXfs>
  <cellStyles count="2">
    <cellStyle name="Normal" xfId="0" builtinId="0"/>
    <cellStyle name="Percent" xfId="1" builtinId="5"/>
  </cellStyles>
  <dxfs count="14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darth Ramkumar" refreshedDate="45503.0361849537" createdVersion="8" refreshedVersion="8" minRefreshableVersion="3" recordCount="92" xr:uid="{B2D3AC8F-883E-404E-A618-5577840DE995}">
  <cacheSource type="worksheet">
    <worksheetSource ref="A1:C93" sheet="Data"/>
  </cacheSource>
  <cacheFields count="3">
    <cacheField name="Instrument" numFmtId="0">
      <sharedItems/>
    </cacheField>
    <cacheField name="Sector" numFmtId="0">
      <sharedItems count="7">
        <s v="ABS"/>
        <s v="Agency CMBS"/>
        <s v="Agency RMBS"/>
        <s v="CLO"/>
        <s v="CMBS"/>
        <s v="Credit"/>
        <s v="Non-agency RMBS"/>
      </sharedItems>
    </cacheField>
    <cacheField name="Ratings" numFmtId="0">
      <sharedItems count="8">
        <s v="AAA"/>
        <s v="AA"/>
        <s v="A"/>
        <s v="BBB"/>
        <s v="B"/>
        <s v="NR"/>
        <s v="BB"/>
        <s v="BBB-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s v="AAA 1Y Fixed Rate Prime Auto vs Treasury"/>
    <x v="0"/>
    <x v="0"/>
  </r>
  <r>
    <s v="AAA 2Y Fixed Rate Prime Auto vs Treasury"/>
    <x v="0"/>
    <x v="0"/>
  </r>
  <r>
    <s v="AAA 3Y Fixed Rate Prime Auto vs Treasury"/>
    <x v="0"/>
    <x v="0"/>
  </r>
  <r>
    <s v="AA 4Y Fixed Rate Prime Auto vs Treasury"/>
    <x v="0"/>
    <x v="1"/>
  </r>
  <r>
    <s v="A 4Y Fixed Rate Prime Auto vs Treasury"/>
    <x v="0"/>
    <x v="2"/>
  </r>
  <r>
    <s v="BBB 4Y Fixed Rate Prime Auto vs Treasury"/>
    <x v="0"/>
    <x v="3"/>
  </r>
  <r>
    <s v="AAA 1Y Fixed Rate Subprime Auto vs Treasury"/>
    <x v="0"/>
    <x v="0"/>
  </r>
  <r>
    <s v="AAA 2Y Fixed Rate Subprime Auto vs Treasury"/>
    <x v="0"/>
    <x v="0"/>
  </r>
  <r>
    <s v="AAA 3Y Fixed Rate Subprime Auto vs Treasury"/>
    <x v="0"/>
    <x v="0"/>
  </r>
  <r>
    <s v="AA 4Y Fixed Rate Subprime Auto vs Treasury"/>
    <x v="0"/>
    <x v="1"/>
  </r>
  <r>
    <s v="A 4Y Fixed Rate Subprime Auto vs Treasury"/>
    <x v="0"/>
    <x v="2"/>
  </r>
  <r>
    <s v="BBB 4Y Fixed Rate Subprime Auto vs Treasury"/>
    <x v="0"/>
    <x v="3"/>
  </r>
  <r>
    <s v="AAA 1Y Fixed Rate Credit Card vs Treasury"/>
    <x v="0"/>
    <x v="0"/>
  </r>
  <r>
    <s v="AAA 2Y Fixed Rate Credit Card vs Treasury"/>
    <x v="0"/>
    <x v="0"/>
  </r>
  <r>
    <s v="AAA 3Y Fixed Rate Credit Card vs Treasury"/>
    <x v="0"/>
    <x v="0"/>
  </r>
  <r>
    <s v="AAA 5Y Fixed Rate Credit Card vs Treasury"/>
    <x v="0"/>
    <x v="0"/>
  </r>
  <r>
    <s v="AAA 10Y Fixed Rate Credit Card vs Treasury"/>
    <x v="0"/>
    <x v="0"/>
  </r>
  <r>
    <s v="A 5Y Fixed Rate Credit Card vs Treasury"/>
    <x v="0"/>
    <x v="2"/>
  </r>
  <r>
    <s v="AAA 1Y Floating Rate FFELP Student Loan vs SOFR"/>
    <x v="0"/>
    <x v="0"/>
  </r>
  <r>
    <s v="AAA 2Y Floating Rate FFELP Student Loan vs SOFR"/>
    <x v="0"/>
    <x v="0"/>
  </r>
  <r>
    <s v="AAA 3Y Floating Rate FFELP Student Loan vs SOFR"/>
    <x v="0"/>
    <x v="0"/>
  </r>
  <r>
    <s v="AAA 5Y Floating Rate FFELP Student Loan vs SOFR"/>
    <x v="0"/>
    <x v="0"/>
  </r>
  <r>
    <s v="AAA 7Y Floating Rate FFELP Student Loan vs SOFR"/>
    <x v="0"/>
    <x v="0"/>
  </r>
  <r>
    <s v="AAA 10Y Floating Rate FFELP Student Loan vs SOFR"/>
    <x v="0"/>
    <x v="0"/>
  </r>
  <r>
    <s v="Class B 5Y Floating Rate FFELP Student Loan vs SOFR30A"/>
    <x v="0"/>
    <x v="4"/>
  </r>
  <r>
    <s v="10/9.5 TBA AAA 10Y Fixed Rate DUS Agency vs Treasury"/>
    <x v="1"/>
    <x v="0"/>
  </r>
  <r>
    <s v="A1 5Y Fixed Rate Freddie Agency vs Treasury"/>
    <x v="1"/>
    <x v="0"/>
  </r>
  <r>
    <s v="A2 10Y Fixed Rate Freddie Agency vs Treasury"/>
    <x v="1"/>
    <x v="0"/>
  </r>
  <r>
    <s v="B 10Y Fixed Rate Freddie Agency vs Treasury"/>
    <x v="1"/>
    <x v="5"/>
  </r>
  <r>
    <s v="C 10Y Fixed Rate Freddie Agency vs Treasury"/>
    <x v="1"/>
    <x v="5"/>
  </r>
  <r>
    <s v="FNCL current coupon ZVOAS vs Treasury"/>
    <x v="2"/>
    <x v="0"/>
  </r>
  <r>
    <s v="FNCI current coupon ZVOAS vs Treasury"/>
    <x v="2"/>
    <x v="0"/>
  </r>
  <r>
    <s v="G2SF current coupon ZVOAS vs Treasury"/>
    <x v="2"/>
    <x v="0"/>
  </r>
  <r>
    <s v="4Y Fixed Rate PAC Agency CMO vs Treasury"/>
    <x v="2"/>
    <x v="0"/>
  </r>
  <r>
    <s v="7Y Fixed Rate PAC Agency CMO vs Treasury"/>
    <x v="2"/>
    <x v="0"/>
  </r>
  <r>
    <s v="LCF Fixed Rate PAC Agency CMO vs Treasury"/>
    <x v="2"/>
    <x v="0"/>
  </r>
  <r>
    <s v="1Y Fixed Rate SEQ Agency CMO vs Treasury"/>
    <x v="2"/>
    <x v="0"/>
  </r>
  <r>
    <s v="3Y Fixed Rate SEQ Agency CMO vs Treasury"/>
    <x v="2"/>
    <x v="0"/>
  </r>
  <r>
    <s v="LCF Fixed Rate SEQ Agency CMO vs Treasury"/>
    <x v="2"/>
    <x v="0"/>
  </r>
  <r>
    <s v="FN Floating Rate Floater Agency CMO vs SOFR"/>
    <x v="2"/>
    <x v="0"/>
  </r>
  <r>
    <s v="GN Floating Rate Floater Agency CMO vs SOFR"/>
    <x v="2"/>
    <x v="0"/>
  </r>
  <r>
    <s v="Agency CMO IO OAS vs Treasury"/>
    <x v="2"/>
    <x v="5"/>
  </r>
  <r>
    <s v="AAA 5Y Floating Rate US CLO vs SOFR"/>
    <x v="3"/>
    <x v="0"/>
  </r>
  <r>
    <s v="AA 5Y Floating Rate US CLO vs SOFR"/>
    <x v="3"/>
    <x v="1"/>
  </r>
  <r>
    <s v="A 5Y Floating Rate US CLO vs SOFR"/>
    <x v="3"/>
    <x v="2"/>
  </r>
  <r>
    <s v="BBB 5Y Floating Rate US CLO vs SOFR"/>
    <x v="3"/>
    <x v="3"/>
  </r>
  <r>
    <s v="BB 5Y Floating Rate US CLO vs SOFR"/>
    <x v="3"/>
    <x v="6"/>
  </r>
  <r>
    <s v="B 5Y Floating Rate US CLO vs SOFR"/>
    <x v="3"/>
    <x v="4"/>
  </r>
  <r>
    <s v="OTR LCF AAA 10Y Fixed Rate Conduit vs Treasury"/>
    <x v="4"/>
    <x v="0"/>
  </r>
  <r>
    <s v="OTR A-S AAA 10Y Fixed Rate Conduit vs Treasury"/>
    <x v="4"/>
    <x v="0"/>
  </r>
  <r>
    <s v="OTR AA 10Y Fixed Rate Conduit vs Treasury"/>
    <x v="4"/>
    <x v="1"/>
  </r>
  <r>
    <s v="OTR A 10Y Fixed Rate Conduit vs Treasury"/>
    <x v="4"/>
    <x v="2"/>
  </r>
  <r>
    <s v="OTR BBB- 10Y Fixed Rate Conduit vs Treasury"/>
    <x v="4"/>
    <x v="3"/>
  </r>
  <r>
    <s v="Legacy LCF AAA 10Y Fixed Rate Conduit vs Treasury"/>
    <x v="4"/>
    <x v="0"/>
  </r>
  <r>
    <s v="Legacy A-S AAA 10Y Fixed Rate Conduit vs Treasury"/>
    <x v="4"/>
    <x v="0"/>
  </r>
  <r>
    <s v="Legacy AA 10Y Fixed Rate Conduit vs Treasury"/>
    <x v="4"/>
    <x v="1"/>
  </r>
  <r>
    <s v="Legacy A 10Y Fixed Rate Conduit vs Treasury"/>
    <x v="4"/>
    <x v="2"/>
  </r>
  <r>
    <s v="Legacy BBB- 10Y Fixed Rate Conduit vs Treasury"/>
    <x v="4"/>
    <x v="3"/>
  </r>
  <r>
    <s v="CDX HY (CDX HY CDSI)"/>
    <x v="5"/>
    <x v="0"/>
  </r>
  <r>
    <s v="CDX IG (CDX IG CDSI)"/>
    <x v="5"/>
    <x v="3"/>
  </r>
  <r>
    <s v="NR 1Y Fixed Rate NPL A1 Nonagency vs Treasury"/>
    <x v="6"/>
    <x v="2"/>
  </r>
  <r>
    <s v="NR 3Y Fixed Rate NPL A2 Nonagency vs Treasury"/>
    <x v="6"/>
    <x v="5"/>
  </r>
  <r>
    <s v="AAA 4Y Fixed Rate RPL A1 Nonagency vs Treasury"/>
    <x v="6"/>
    <x v="0"/>
  </r>
  <r>
    <s v="AAA 5Y Fixed Rate SFR A Nonagency vs Treasury"/>
    <x v="6"/>
    <x v="0"/>
  </r>
  <r>
    <s v="AA 5Y Fixed Rate SFR B Nonagency vs Treasury"/>
    <x v="6"/>
    <x v="1"/>
  </r>
  <r>
    <s v="A 5Y Fixed Rate SFR C Nonagency vs Treasury"/>
    <x v="6"/>
    <x v="2"/>
  </r>
  <r>
    <s v="BBB 5Y Fixed Rate SFR D Nonagency vs Treasury"/>
    <x v="6"/>
    <x v="3"/>
  </r>
  <r>
    <s v="BBB- 5Y Fixed Rate SFR E Nonagency vs Treasury"/>
    <x v="6"/>
    <x v="3"/>
  </r>
  <r>
    <s v="BB 5Y Fixed Rate SFR F Nonagency vs Treasury"/>
    <x v="6"/>
    <x v="6"/>
  </r>
  <r>
    <s v="CCC- 7Y Floating Rate ALT-A Nonagency vs SOFR"/>
    <x v="6"/>
    <x v="5"/>
  </r>
  <r>
    <s v="CCC- 7Y Floating Rate Option Nonagency vs SOFR"/>
    <x v="6"/>
    <x v="5"/>
  </r>
  <r>
    <s v="BCCC 7Y Floating Rate Current Subprime Nonagency vs SOFR"/>
    <x v="6"/>
    <x v="5"/>
  </r>
  <r>
    <s v="BCCC 7Y Floating Rate LCF Subprime Nonagency vs SOFR"/>
    <x v="6"/>
    <x v="5"/>
  </r>
  <r>
    <s v="OTR BB 5Y Floating Rate STACR M2 CRT vs SOFR"/>
    <x v="6"/>
    <x v="6"/>
  </r>
  <r>
    <s v="OTR NR 5Y Floating Rate STACR B1 CRT vs SOFR"/>
    <x v="6"/>
    <x v="5"/>
  </r>
  <r>
    <s v="OTR NR 5Y Floating Rate STACR B2 CRT vs SOFR"/>
    <x v="6"/>
    <x v="5"/>
  </r>
  <r>
    <s v="Prime 2.0 FSEQ I-Curve Spread"/>
    <x v="6"/>
    <x v="0"/>
  </r>
  <r>
    <s v="Prime 2.0 Sn. Mezz. I-Curve Spread"/>
    <x v="6"/>
    <x v="1"/>
  </r>
  <r>
    <s v="Prime 2.0 LCF I-Curve Spread"/>
    <x v="6"/>
    <x v="0"/>
  </r>
  <r>
    <s v="Prime 2.0 AA Sub I-Curve Spread"/>
    <x v="6"/>
    <x v="1"/>
  </r>
  <r>
    <s v="Prime 2.0 A Sub I-Curve Spread"/>
    <x v="6"/>
    <x v="2"/>
  </r>
  <r>
    <s v="Prime 2.0 BBB Sub I-Curve Spread"/>
    <x v="6"/>
    <x v="3"/>
  </r>
  <r>
    <s v="Prime 2.0 BB Sub I-Curve Spread"/>
    <x v="6"/>
    <x v="6"/>
  </r>
  <r>
    <s v="Prime 2.0 B Sub I-Curve Spread"/>
    <x v="6"/>
    <x v="4"/>
  </r>
  <r>
    <s v="Prime 2.0 NR Sub I-Curve Spread"/>
    <x v="6"/>
    <x v="5"/>
  </r>
  <r>
    <s v="Non-QM Class A1 AAA (2yr)"/>
    <x v="6"/>
    <x v="0"/>
  </r>
  <r>
    <s v="Non-QM Class A2 AA (2yr)"/>
    <x v="6"/>
    <x v="1"/>
  </r>
  <r>
    <s v="Non-QM Class A3 A (2yr)"/>
    <x v="6"/>
    <x v="2"/>
  </r>
  <r>
    <s v="Non-QM Class M1 BBB (4yr)"/>
    <x v="6"/>
    <x v="3"/>
  </r>
  <r>
    <s v="Non-QM ERISA B1 BB/BBB- (4yr)"/>
    <x v="6"/>
    <x v="3"/>
  </r>
  <r>
    <s v="Non-QM Class B1 BB (4yr)"/>
    <x v="6"/>
    <x v="6"/>
  </r>
  <r>
    <s v="Non-QM Class B2 B (4yr)"/>
    <x v="6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99D7A3-56C5-444F-9B6C-0979CE91827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:N11" firstHeaderRow="1" firstDataRow="2" firstDataCol="1"/>
  <pivotFields count="3">
    <pivotField dataFiel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9">
        <item x="2"/>
        <item x="1"/>
        <item x="0"/>
        <item x="4"/>
        <item x="6"/>
        <item x="3"/>
        <item m="1" x="7"/>
        <item x="5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colItems>
  <dataFields count="1">
    <dataField name="Count of Instrume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486FE-0313-49E6-8F8F-E020DF220B9A}">
  <dimension ref="A1:N93"/>
  <sheetViews>
    <sheetView workbookViewId="0">
      <selection activeCell="G17" sqref="G17"/>
    </sheetView>
  </sheetViews>
  <sheetFormatPr defaultRowHeight="15" x14ac:dyDescent="0.25"/>
  <cols>
    <col min="6" max="6" width="17.7109375" bestFit="1" customWidth="1"/>
    <col min="7" max="7" width="15.5703125" bestFit="1" customWidth="1"/>
    <col min="8" max="8" width="3" bestFit="1" customWidth="1"/>
    <col min="9" max="9" width="4.140625" bestFit="1" customWidth="1"/>
    <col min="10" max="10" width="1.85546875" bestFit="1" customWidth="1"/>
    <col min="11" max="11" width="3" bestFit="1" customWidth="1"/>
    <col min="12" max="12" width="4.140625" bestFit="1" customWidth="1"/>
    <col min="13" max="13" width="3.28515625" bestFit="1" customWidth="1"/>
    <col min="14" max="15" width="10.42578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</row>
    <row r="2" spans="1:14" x14ac:dyDescent="0.25">
      <c r="A2" t="s">
        <v>3</v>
      </c>
      <c r="B2" t="s">
        <v>4</v>
      </c>
      <c r="C2" t="s">
        <v>5</v>
      </c>
      <c r="F2" s="2" t="s">
        <v>112</v>
      </c>
      <c r="G2" s="2" t="s">
        <v>111</v>
      </c>
    </row>
    <row r="3" spans="1:14" x14ac:dyDescent="0.25">
      <c r="A3" t="s">
        <v>6</v>
      </c>
      <c r="B3" t="s">
        <v>4</v>
      </c>
      <c r="C3" t="s">
        <v>5</v>
      </c>
      <c r="F3" s="2" t="s">
        <v>109</v>
      </c>
      <c r="G3" t="s">
        <v>11</v>
      </c>
      <c r="H3" t="s">
        <v>9</v>
      </c>
      <c r="I3" t="s">
        <v>5</v>
      </c>
      <c r="J3" t="s">
        <v>33</v>
      </c>
      <c r="K3" t="s">
        <v>60</v>
      </c>
      <c r="L3" t="s">
        <v>13</v>
      </c>
      <c r="M3" t="s">
        <v>39</v>
      </c>
      <c r="N3" t="s">
        <v>110</v>
      </c>
    </row>
    <row r="4" spans="1:14" x14ac:dyDescent="0.25">
      <c r="A4" t="s">
        <v>7</v>
      </c>
      <c r="B4" t="s">
        <v>4</v>
      </c>
      <c r="C4" t="s">
        <v>5</v>
      </c>
      <c r="F4" s="3" t="s">
        <v>4</v>
      </c>
      <c r="G4">
        <v>3</v>
      </c>
      <c r="H4">
        <v>2</v>
      </c>
      <c r="I4">
        <v>17</v>
      </c>
      <c r="J4">
        <v>1</v>
      </c>
      <c r="L4">
        <v>2</v>
      </c>
      <c r="N4">
        <v>25</v>
      </c>
    </row>
    <row r="5" spans="1:14" x14ac:dyDescent="0.25">
      <c r="A5" t="s">
        <v>8</v>
      </c>
      <c r="B5" t="s">
        <v>4</v>
      </c>
      <c r="C5" t="s">
        <v>9</v>
      </c>
      <c r="F5" s="3" t="s">
        <v>35</v>
      </c>
      <c r="I5">
        <v>3</v>
      </c>
      <c r="M5">
        <v>2</v>
      </c>
      <c r="N5">
        <v>5</v>
      </c>
    </row>
    <row r="6" spans="1:14" x14ac:dyDescent="0.25">
      <c r="A6" t="s">
        <v>10</v>
      </c>
      <c r="B6" t="s">
        <v>4</v>
      </c>
      <c r="C6" t="s">
        <v>11</v>
      </c>
      <c r="F6" s="3" t="s">
        <v>42</v>
      </c>
      <c r="I6">
        <v>11</v>
      </c>
      <c r="M6">
        <v>1</v>
      </c>
      <c r="N6">
        <v>12</v>
      </c>
    </row>
    <row r="7" spans="1:14" x14ac:dyDescent="0.25">
      <c r="A7" t="s">
        <v>12</v>
      </c>
      <c r="B7" t="s">
        <v>4</v>
      </c>
      <c r="C7" t="s">
        <v>13</v>
      </c>
      <c r="F7" s="3" t="s">
        <v>55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N7">
        <v>6</v>
      </c>
    </row>
    <row r="8" spans="1:14" x14ac:dyDescent="0.25">
      <c r="A8" t="s">
        <v>14</v>
      </c>
      <c r="B8" t="s">
        <v>4</v>
      </c>
      <c r="C8" t="s">
        <v>5</v>
      </c>
      <c r="F8" s="3" t="s">
        <v>63</v>
      </c>
      <c r="G8">
        <v>2</v>
      </c>
      <c r="H8">
        <v>2</v>
      </c>
      <c r="I8">
        <v>4</v>
      </c>
      <c r="L8">
        <v>2</v>
      </c>
      <c r="N8">
        <v>10</v>
      </c>
    </row>
    <row r="9" spans="1:14" x14ac:dyDescent="0.25">
      <c r="A9" t="s">
        <v>15</v>
      </c>
      <c r="B9" t="s">
        <v>4</v>
      </c>
      <c r="C9" t="s">
        <v>5</v>
      </c>
      <c r="F9" s="3" t="s">
        <v>74</v>
      </c>
      <c r="I9">
        <v>1</v>
      </c>
      <c r="L9">
        <v>1</v>
      </c>
      <c r="N9">
        <v>2</v>
      </c>
    </row>
    <row r="10" spans="1:14" x14ac:dyDescent="0.25">
      <c r="A10" t="s">
        <v>16</v>
      </c>
      <c r="B10" t="s">
        <v>4</v>
      </c>
      <c r="C10" t="s">
        <v>5</v>
      </c>
      <c r="F10" s="3" t="s">
        <v>77</v>
      </c>
      <c r="G10">
        <v>4</v>
      </c>
      <c r="H10">
        <v>4</v>
      </c>
      <c r="I10">
        <v>5</v>
      </c>
      <c r="J10">
        <v>2</v>
      </c>
      <c r="K10">
        <v>4</v>
      </c>
      <c r="L10">
        <v>5</v>
      </c>
      <c r="M10">
        <v>8</v>
      </c>
      <c r="N10">
        <v>32</v>
      </c>
    </row>
    <row r="11" spans="1:14" x14ac:dyDescent="0.25">
      <c r="A11" t="s">
        <v>17</v>
      </c>
      <c r="B11" t="s">
        <v>4</v>
      </c>
      <c r="C11" t="s">
        <v>9</v>
      </c>
      <c r="F11" s="3" t="s">
        <v>110</v>
      </c>
      <c r="G11">
        <v>10</v>
      </c>
      <c r="H11">
        <v>9</v>
      </c>
      <c r="I11">
        <v>42</v>
      </c>
      <c r="J11">
        <v>4</v>
      </c>
      <c r="K11">
        <v>5</v>
      </c>
      <c r="L11">
        <v>11</v>
      </c>
      <c r="M11">
        <v>11</v>
      </c>
      <c r="N11">
        <v>92</v>
      </c>
    </row>
    <row r="12" spans="1:14" x14ac:dyDescent="0.25">
      <c r="A12" t="s">
        <v>18</v>
      </c>
      <c r="B12" t="s">
        <v>4</v>
      </c>
      <c r="C12" t="s">
        <v>11</v>
      </c>
    </row>
    <row r="13" spans="1:14" x14ac:dyDescent="0.25">
      <c r="A13" t="s">
        <v>19</v>
      </c>
      <c r="B13" t="s">
        <v>4</v>
      </c>
      <c r="C13" t="s">
        <v>13</v>
      </c>
    </row>
    <row r="14" spans="1:14" x14ac:dyDescent="0.25">
      <c r="A14" t="s">
        <v>20</v>
      </c>
      <c r="B14" t="s">
        <v>4</v>
      </c>
      <c r="C14" t="s">
        <v>5</v>
      </c>
    </row>
    <row r="15" spans="1:14" x14ac:dyDescent="0.25">
      <c r="A15" t="s">
        <v>21</v>
      </c>
      <c r="B15" t="s">
        <v>4</v>
      </c>
      <c r="C15" t="s">
        <v>5</v>
      </c>
    </row>
    <row r="16" spans="1:14" x14ac:dyDescent="0.25">
      <c r="A16" t="s">
        <v>22</v>
      </c>
      <c r="B16" t="s">
        <v>4</v>
      </c>
      <c r="C16" t="s">
        <v>5</v>
      </c>
    </row>
    <row r="17" spans="1:3" x14ac:dyDescent="0.25">
      <c r="A17" t="s">
        <v>23</v>
      </c>
      <c r="B17" t="s">
        <v>4</v>
      </c>
      <c r="C17" t="s">
        <v>5</v>
      </c>
    </row>
    <row r="18" spans="1:3" x14ac:dyDescent="0.25">
      <c r="A18" t="s">
        <v>24</v>
      </c>
      <c r="B18" t="s">
        <v>4</v>
      </c>
      <c r="C18" t="s">
        <v>5</v>
      </c>
    </row>
    <row r="19" spans="1:3" x14ac:dyDescent="0.25">
      <c r="A19" t="s">
        <v>25</v>
      </c>
      <c r="B19" t="s">
        <v>4</v>
      </c>
      <c r="C19" t="s">
        <v>11</v>
      </c>
    </row>
    <row r="20" spans="1:3" x14ac:dyDescent="0.25">
      <c r="A20" t="s">
        <v>26</v>
      </c>
      <c r="B20" t="s">
        <v>4</v>
      </c>
      <c r="C20" t="s">
        <v>5</v>
      </c>
    </row>
    <row r="21" spans="1:3" x14ac:dyDescent="0.25">
      <c r="A21" t="s">
        <v>27</v>
      </c>
      <c r="B21" t="s">
        <v>4</v>
      </c>
      <c r="C21" t="s">
        <v>5</v>
      </c>
    </row>
    <row r="22" spans="1:3" x14ac:dyDescent="0.25">
      <c r="A22" t="s">
        <v>28</v>
      </c>
      <c r="B22" t="s">
        <v>4</v>
      </c>
      <c r="C22" t="s">
        <v>5</v>
      </c>
    </row>
    <row r="23" spans="1:3" x14ac:dyDescent="0.25">
      <c r="A23" t="s">
        <v>29</v>
      </c>
      <c r="B23" t="s">
        <v>4</v>
      </c>
      <c r="C23" t="s">
        <v>5</v>
      </c>
    </row>
    <row r="24" spans="1:3" x14ac:dyDescent="0.25">
      <c r="A24" t="s">
        <v>30</v>
      </c>
      <c r="B24" t="s">
        <v>4</v>
      </c>
      <c r="C24" t="s">
        <v>5</v>
      </c>
    </row>
    <row r="25" spans="1:3" x14ac:dyDescent="0.25">
      <c r="A25" t="s">
        <v>31</v>
      </c>
      <c r="B25" t="s">
        <v>4</v>
      </c>
      <c r="C25" t="s">
        <v>5</v>
      </c>
    </row>
    <row r="26" spans="1:3" x14ac:dyDescent="0.25">
      <c r="A26" t="s">
        <v>32</v>
      </c>
      <c r="B26" t="s">
        <v>4</v>
      </c>
      <c r="C26" t="s">
        <v>33</v>
      </c>
    </row>
    <row r="27" spans="1:3" x14ac:dyDescent="0.25">
      <c r="A27" t="s">
        <v>34</v>
      </c>
      <c r="B27" t="s">
        <v>35</v>
      </c>
      <c r="C27" t="s">
        <v>5</v>
      </c>
    </row>
    <row r="28" spans="1:3" x14ac:dyDescent="0.25">
      <c r="A28" t="s">
        <v>36</v>
      </c>
      <c r="B28" t="s">
        <v>35</v>
      </c>
      <c r="C28" t="s">
        <v>5</v>
      </c>
    </row>
    <row r="29" spans="1:3" x14ac:dyDescent="0.25">
      <c r="A29" t="s">
        <v>37</v>
      </c>
      <c r="B29" t="s">
        <v>35</v>
      </c>
      <c r="C29" t="s">
        <v>5</v>
      </c>
    </row>
    <row r="30" spans="1:3" x14ac:dyDescent="0.25">
      <c r="A30" t="s">
        <v>38</v>
      </c>
      <c r="B30" t="s">
        <v>35</v>
      </c>
      <c r="C30" t="s">
        <v>39</v>
      </c>
    </row>
    <row r="31" spans="1:3" x14ac:dyDescent="0.25">
      <c r="A31" t="s">
        <v>40</v>
      </c>
      <c r="B31" t="s">
        <v>35</v>
      </c>
      <c r="C31" t="s">
        <v>39</v>
      </c>
    </row>
    <row r="32" spans="1:3" x14ac:dyDescent="0.25">
      <c r="A32" t="s">
        <v>41</v>
      </c>
      <c r="B32" t="s">
        <v>42</v>
      </c>
      <c r="C32" t="s">
        <v>5</v>
      </c>
    </row>
    <row r="33" spans="1:3" x14ac:dyDescent="0.25">
      <c r="A33" t="s">
        <v>43</v>
      </c>
      <c r="B33" t="s">
        <v>42</v>
      </c>
      <c r="C33" t="s">
        <v>5</v>
      </c>
    </row>
    <row r="34" spans="1:3" x14ac:dyDescent="0.25">
      <c r="A34" t="s">
        <v>44</v>
      </c>
      <c r="B34" t="s">
        <v>42</v>
      </c>
      <c r="C34" t="s">
        <v>5</v>
      </c>
    </row>
    <row r="35" spans="1:3" x14ac:dyDescent="0.25">
      <c r="A35" t="s">
        <v>45</v>
      </c>
      <c r="B35" t="s">
        <v>42</v>
      </c>
      <c r="C35" t="s">
        <v>5</v>
      </c>
    </row>
    <row r="36" spans="1:3" x14ac:dyDescent="0.25">
      <c r="A36" t="s">
        <v>46</v>
      </c>
      <c r="B36" t="s">
        <v>42</v>
      </c>
      <c r="C36" t="s">
        <v>5</v>
      </c>
    </row>
    <row r="37" spans="1:3" x14ac:dyDescent="0.25">
      <c r="A37" t="s">
        <v>47</v>
      </c>
      <c r="B37" t="s">
        <v>42</v>
      </c>
      <c r="C37" t="s">
        <v>5</v>
      </c>
    </row>
    <row r="38" spans="1:3" x14ac:dyDescent="0.25">
      <c r="A38" t="s">
        <v>48</v>
      </c>
      <c r="B38" t="s">
        <v>42</v>
      </c>
      <c r="C38" t="s">
        <v>5</v>
      </c>
    </row>
    <row r="39" spans="1:3" x14ac:dyDescent="0.25">
      <c r="A39" t="s">
        <v>49</v>
      </c>
      <c r="B39" t="s">
        <v>42</v>
      </c>
      <c r="C39" t="s">
        <v>5</v>
      </c>
    </row>
    <row r="40" spans="1:3" x14ac:dyDescent="0.25">
      <c r="A40" t="s">
        <v>50</v>
      </c>
      <c r="B40" t="s">
        <v>42</v>
      </c>
      <c r="C40" t="s">
        <v>5</v>
      </c>
    </row>
    <row r="41" spans="1:3" x14ac:dyDescent="0.25">
      <c r="A41" t="s">
        <v>51</v>
      </c>
      <c r="B41" t="s">
        <v>42</v>
      </c>
      <c r="C41" t="s">
        <v>5</v>
      </c>
    </row>
    <row r="42" spans="1:3" x14ac:dyDescent="0.25">
      <c r="A42" t="s">
        <v>52</v>
      </c>
      <c r="B42" t="s">
        <v>42</v>
      </c>
      <c r="C42" t="s">
        <v>5</v>
      </c>
    </row>
    <row r="43" spans="1:3" x14ac:dyDescent="0.25">
      <c r="A43" t="s">
        <v>53</v>
      </c>
      <c r="B43" t="s">
        <v>42</v>
      </c>
      <c r="C43" t="s">
        <v>39</v>
      </c>
    </row>
    <row r="44" spans="1:3" x14ac:dyDescent="0.25">
      <c r="A44" t="s">
        <v>54</v>
      </c>
      <c r="B44" t="s">
        <v>55</v>
      </c>
      <c r="C44" t="s">
        <v>5</v>
      </c>
    </row>
    <row r="45" spans="1:3" x14ac:dyDescent="0.25">
      <c r="A45" t="s">
        <v>56</v>
      </c>
      <c r="B45" t="s">
        <v>55</v>
      </c>
      <c r="C45" t="s">
        <v>9</v>
      </c>
    </row>
    <row r="46" spans="1:3" x14ac:dyDescent="0.25">
      <c r="A46" t="s">
        <v>57</v>
      </c>
      <c r="B46" t="s">
        <v>55</v>
      </c>
      <c r="C46" t="s">
        <v>11</v>
      </c>
    </row>
    <row r="47" spans="1:3" x14ac:dyDescent="0.25">
      <c r="A47" t="s">
        <v>58</v>
      </c>
      <c r="B47" t="s">
        <v>55</v>
      </c>
      <c r="C47" t="s">
        <v>13</v>
      </c>
    </row>
    <row r="48" spans="1:3" x14ac:dyDescent="0.25">
      <c r="A48" t="s">
        <v>59</v>
      </c>
      <c r="B48" t="s">
        <v>55</v>
      </c>
      <c r="C48" t="s">
        <v>60</v>
      </c>
    </row>
    <row r="49" spans="1:3" x14ac:dyDescent="0.25">
      <c r="A49" t="s">
        <v>61</v>
      </c>
      <c r="B49" t="s">
        <v>55</v>
      </c>
      <c r="C49" t="s">
        <v>33</v>
      </c>
    </row>
    <row r="50" spans="1:3" x14ac:dyDescent="0.25">
      <c r="A50" t="s">
        <v>62</v>
      </c>
      <c r="B50" t="s">
        <v>63</v>
      </c>
      <c r="C50" t="s">
        <v>5</v>
      </c>
    </row>
    <row r="51" spans="1:3" x14ac:dyDescent="0.25">
      <c r="A51" t="s">
        <v>64</v>
      </c>
      <c r="B51" t="s">
        <v>63</v>
      </c>
      <c r="C51" t="s">
        <v>5</v>
      </c>
    </row>
    <row r="52" spans="1:3" x14ac:dyDescent="0.25">
      <c r="A52" t="s">
        <v>65</v>
      </c>
      <c r="B52" t="s">
        <v>63</v>
      </c>
      <c r="C52" t="s">
        <v>9</v>
      </c>
    </row>
    <row r="53" spans="1:3" x14ac:dyDescent="0.25">
      <c r="A53" t="s">
        <v>66</v>
      </c>
      <c r="B53" t="s">
        <v>63</v>
      </c>
      <c r="C53" t="s">
        <v>11</v>
      </c>
    </row>
    <row r="54" spans="1:3" x14ac:dyDescent="0.25">
      <c r="A54" t="s">
        <v>67</v>
      </c>
      <c r="B54" t="s">
        <v>63</v>
      </c>
      <c r="C54" t="s">
        <v>13</v>
      </c>
    </row>
    <row r="55" spans="1:3" x14ac:dyDescent="0.25">
      <c r="A55" t="s">
        <v>68</v>
      </c>
      <c r="B55" t="s">
        <v>63</v>
      </c>
      <c r="C55" t="s">
        <v>5</v>
      </c>
    </row>
    <row r="56" spans="1:3" x14ac:dyDescent="0.25">
      <c r="A56" t="s">
        <v>69</v>
      </c>
      <c r="B56" t="s">
        <v>63</v>
      </c>
      <c r="C56" t="s">
        <v>5</v>
      </c>
    </row>
    <row r="57" spans="1:3" x14ac:dyDescent="0.25">
      <c r="A57" t="s">
        <v>70</v>
      </c>
      <c r="B57" t="s">
        <v>63</v>
      </c>
      <c r="C57" t="s">
        <v>9</v>
      </c>
    </row>
    <row r="58" spans="1:3" x14ac:dyDescent="0.25">
      <c r="A58" t="s">
        <v>71</v>
      </c>
      <c r="B58" t="s">
        <v>63</v>
      </c>
      <c r="C58" t="s">
        <v>11</v>
      </c>
    </row>
    <row r="59" spans="1:3" x14ac:dyDescent="0.25">
      <c r="A59" t="s">
        <v>72</v>
      </c>
      <c r="B59" t="s">
        <v>63</v>
      </c>
      <c r="C59" t="s">
        <v>13</v>
      </c>
    </row>
    <row r="60" spans="1:3" x14ac:dyDescent="0.25">
      <c r="A60" t="s">
        <v>73</v>
      </c>
      <c r="B60" t="s">
        <v>74</v>
      </c>
      <c r="C60" t="s">
        <v>5</v>
      </c>
    </row>
    <row r="61" spans="1:3" x14ac:dyDescent="0.25">
      <c r="A61" t="s">
        <v>75</v>
      </c>
      <c r="B61" t="s">
        <v>74</v>
      </c>
      <c r="C61" t="s">
        <v>13</v>
      </c>
    </row>
    <row r="62" spans="1:3" x14ac:dyDescent="0.25">
      <c r="A62" t="s">
        <v>76</v>
      </c>
      <c r="B62" t="s">
        <v>77</v>
      </c>
      <c r="C62" t="s">
        <v>11</v>
      </c>
    </row>
    <row r="63" spans="1:3" x14ac:dyDescent="0.25">
      <c r="A63" t="s">
        <v>78</v>
      </c>
      <c r="B63" t="s">
        <v>77</v>
      </c>
      <c r="C63" t="s">
        <v>39</v>
      </c>
    </row>
    <row r="64" spans="1:3" x14ac:dyDescent="0.25">
      <c r="A64" t="s">
        <v>79</v>
      </c>
      <c r="B64" t="s">
        <v>77</v>
      </c>
      <c r="C64" t="s">
        <v>5</v>
      </c>
    </row>
    <row r="65" spans="1:3" x14ac:dyDescent="0.25">
      <c r="A65" t="s">
        <v>80</v>
      </c>
      <c r="B65" t="s">
        <v>77</v>
      </c>
      <c r="C65" t="s">
        <v>5</v>
      </c>
    </row>
    <row r="66" spans="1:3" x14ac:dyDescent="0.25">
      <c r="A66" t="s">
        <v>81</v>
      </c>
      <c r="B66" t="s">
        <v>77</v>
      </c>
      <c r="C66" t="s">
        <v>9</v>
      </c>
    </row>
    <row r="67" spans="1:3" x14ac:dyDescent="0.25">
      <c r="A67" t="s">
        <v>82</v>
      </c>
      <c r="B67" t="s">
        <v>77</v>
      </c>
      <c r="C67" t="s">
        <v>11</v>
      </c>
    </row>
    <row r="68" spans="1:3" x14ac:dyDescent="0.25">
      <c r="A68" t="s">
        <v>83</v>
      </c>
      <c r="B68" t="s">
        <v>77</v>
      </c>
      <c r="C68" t="s">
        <v>13</v>
      </c>
    </row>
    <row r="69" spans="1:3" x14ac:dyDescent="0.25">
      <c r="A69" t="s">
        <v>84</v>
      </c>
      <c r="B69" t="s">
        <v>77</v>
      </c>
      <c r="C69" t="s">
        <v>13</v>
      </c>
    </row>
    <row r="70" spans="1:3" x14ac:dyDescent="0.25">
      <c r="A70" t="s">
        <v>85</v>
      </c>
      <c r="B70" t="s">
        <v>77</v>
      </c>
      <c r="C70" t="s">
        <v>60</v>
      </c>
    </row>
    <row r="71" spans="1:3" x14ac:dyDescent="0.25">
      <c r="A71" t="s">
        <v>86</v>
      </c>
      <c r="B71" t="s">
        <v>77</v>
      </c>
      <c r="C71" t="s">
        <v>39</v>
      </c>
    </row>
    <row r="72" spans="1:3" x14ac:dyDescent="0.25">
      <c r="A72" t="s">
        <v>87</v>
      </c>
      <c r="B72" t="s">
        <v>77</v>
      </c>
      <c r="C72" t="s">
        <v>39</v>
      </c>
    </row>
    <row r="73" spans="1:3" x14ac:dyDescent="0.25">
      <c r="A73" t="s">
        <v>88</v>
      </c>
      <c r="B73" t="s">
        <v>77</v>
      </c>
      <c r="C73" t="s">
        <v>39</v>
      </c>
    </row>
    <row r="74" spans="1:3" x14ac:dyDescent="0.25">
      <c r="A74" t="s">
        <v>89</v>
      </c>
      <c r="B74" t="s">
        <v>77</v>
      </c>
      <c r="C74" t="s">
        <v>39</v>
      </c>
    </row>
    <row r="75" spans="1:3" x14ac:dyDescent="0.25">
      <c r="A75" t="s">
        <v>90</v>
      </c>
      <c r="B75" t="s">
        <v>77</v>
      </c>
      <c r="C75" t="s">
        <v>60</v>
      </c>
    </row>
    <row r="76" spans="1:3" x14ac:dyDescent="0.25">
      <c r="A76" t="s">
        <v>91</v>
      </c>
      <c r="B76" t="s">
        <v>77</v>
      </c>
      <c r="C76" t="s">
        <v>39</v>
      </c>
    </row>
    <row r="77" spans="1:3" x14ac:dyDescent="0.25">
      <c r="A77" t="s">
        <v>92</v>
      </c>
      <c r="B77" t="s">
        <v>77</v>
      </c>
      <c r="C77" t="s">
        <v>39</v>
      </c>
    </row>
    <row r="78" spans="1:3" x14ac:dyDescent="0.25">
      <c r="A78" t="s">
        <v>93</v>
      </c>
      <c r="B78" t="s">
        <v>77</v>
      </c>
      <c r="C78" t="s">
        <v>5</v>
      </c>
    </row>
    <row r="79" spans="1:3" x14ac:dyDescent="0.25">
      <c r="A79" t="s">
        <v>94</v>
      </c>
      <c r="B79" t="s">
        <v>77</v>
      </c>
      <c r="C79" t="s">
        <v>9</v>
      </c>
    </row>
    <row r="80" spans="1:3" x14ac:dyDescent="0.25">
      <c r="A80" t="s">
        <v>95</v>
      </c>
      <c r="B80" t="s">
        <v>77</v>
      </c>
      <c r="C80" t="s">
        <v>5</v>
      </c>
    </row>
    <row r="81" spans="1:3" x14ac:dyDescent="0.25">
      <c r="A81" t="s">
        <v>96</v>
      </c>
      <c r="B81" t="s">
        <v>77</v>
      </c>
      <c r="C81" t="s">
        <v>9</v>
      </c>
    </row>
    <row r="82" spans="1:3" x14ac:dyDescent="0.25">
      <c r="A82" t="s">
        <v>97</v>
      </c>
      <c r="B82" t="s">
        <v>77</v>
      </c>
      <c r="C82" t="s">
        <v>11</v>
      </c>
    </row>
    <row r="83" spans="1:3" x14ac:dyDescent="0.25">
      <c r="A83" t="s">
        <v>98</v>
      </c>
      <c r="B83" t="s">
        <v>77</v>
      </c>
      <c r="C83" t="s">
        <v>13</v>
      </c>
    </row>
    <row r="84" spans="1:3" x14ac:dyDescent="0.25">
      <c r="A84" t="s">
        <v>99</v>
      </c>
      <c r="B84" t="s">
        <v>77</v>
      </c>
      <c r="C84" t="s">
        <v>60</v>
      </c>
    </row>
    <row r="85" spans="1:3" x14ac:dyDescent="0.25">
      <c r="A85" t="s">
        <v>100</v>
      </c>
      <c r="B85" t="s">
        <v>77</v>
      </c>
      <c r="C85" t="s">
        <v>33</v>
      </c>
    </row>
    <row r="86" spans="1:3" x14ac:dyDescent="0.25">
      <c r="A86" t="s">
        <v>101</v>
      </c>
      <c r="B86" t="s">
        <v>77</v>
      </c>
      <c r="C86" t="s">
        <v>39</v>
      </c>
    </row>
    <row r="87" spans="1:3" x14ac:dyDescent="0.25">
      <c r="A87" t="s">
        <v>102</v>
      </c>
      <c r="B87" t="s">
        <v>77</v>
      </c>
      <c r="C87" t="s">
        <v>5</v>
      </c>
    </row>
    <row r="88" spans="1:3" x14ac:dyDescent="0.25">
      <c r="A88" t="s">
        <v>103</v>
      </c>
      <c r="B88" t="s">
        <v>77</v>
      </c>
      <c r="C88" t="s">
        <v>9</v>
      </c>
    </row>
    <row r="89" spans="1:3" x14ac:dyDescent="0.25">
      <c r="A89" t="s">
        <v>104</v>
      </c>
      <c r="B89" t="s">
        <v>77</v>
      </c>
      <c r="C89" t="s">
        <v>11</v>
      </c>
    </row>
    <row r="90" spans="1:3" x14ac:dyDescent="0.25">
      <c r="A90" t="s">
        <v>105</v>
      </c>
      <c r="B90" t="s">
        <v>77</v>
      </c>
      <c r="C90" t="s">
        <v>13</v>
      </c>
    </row>
    <row r="91" spans="1:3" x14ac:dyDescent="0.25">
      <c r="A91" t="s">
        <v>106</v>
      </c>
      <c r="B91" t="s">
        <v>77</v>
      </c>
      <c r="C91" t="s">
        <v>13</v>
      </c>
    </row>
    <row r="92" spans="1:3" x14ac:dyDescent="0.25">
      <c r="A92" t="s">
        <v>107</v>
      </c>
      <c r="B92" t="s">
        <v>77</v>
      </c>
      <c r="C92" t="s">
        <v>60</v>
      </c>
    </row>
    <row r="93" spans="1:3" x14ac:dyDescent="0.25">
      <c r="A93" t="s">
        <v>108</v>
      </c>
      <c r="B93" t="s">
        <v>77</v>
      </c>
      <c r="C9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8ABC7-2075-47BF-A950-6F3337D0F586}">
  <dimension ref="B1:AS80"/>
  <sheetViews>
    <sheetView tabSelected="1" topLeftCell="A2" workbookViewId="0">
      <selection activeCell="H3" sqref="H3:H9"/>
    </sheetView>
  </sheetViews>
  <sheetFormatPr defaultRowHeight="15" x14ac:dyDescent="0.25"/>
  <cols>
    <col min="2" max="2" width="16" bestFit="1" customWidth="1"/>
    <col min="3" max="3" width="9.85546875" customWidth="1"/>
    <col min="4" max="4" width="4.42578125" bestFit="1" customWidth="1"/>
    <col min="5" max="5" width="5.42578125" bestFit="1" customWidth="1"/>
    <col min="6" max="6" width="10.5703125" customWidth="1"/>
    <col min="7" max="8" width="7.140625" bestFit="1" customWidth="1"/>
    <col min="9" max="9" width="12.7109375" customWidth="1"/>
    <col min="11" max="11" width="15.5703125" bestFit="1" customWidth="1"/>
    <col min="29" max="29" width="22.140625" bestFit="1" customWidth="1"/>
    <col min="36" max="36" width="21.140625" bestFit="1" customWidth="1"/>
    <col min="37" max="37" width="21.140625" customWidth="1"/>
    <col min="38" max="38" width="21.140625" bestFit="1" customWidth="1"/>
    <col min="39" max="45" width="20.140625" bestFit="1" customWidth="1"/>
  </cols>
  <sheetData>
    <row r="1" spans="2:45" x14ac:dyDescent="0.25">
      <c r="T1" t="s">
        <v>128</v>
      </c>
    </row>
    <row r="2" spans="2:45" ht="30" x14ac:dyDescent="0.25">
      <c r="D2" t="s">
        <v>113</v>
      </c>
      <c r="E2" t="s">
        <v>114</v>
      </c>
      <c r="F2" s="6" t="s">
        <v>119</v>
      </c>
      <c r="G2" s="6" t="s">
        <v>117</v>
      </c>
      <c r="H2" s="6" t="s">
        <v>118</v>
      </c>
      <c r="K2" s="6" t="s">
        <v>120</v>
      </c>
      <c r="S2" t="s">
        <v>117</v>
      </c>
    </row>
    <row r="3" spans="2:45" x14ac:dyDescent="0.25">
      <c r="B3" s="6" t="s">
        <v>4</v>
      </c>
      <c r="C3" s="6" t="s">
        <v>129</v>
      </c>
      <c r="D3" s="7">
        <v>0</v>
      </c>
      <c r="E3" s="7">
        <v>0.5</v>
      </c>
      <c r="F3">
        <f>COUNTIFS(Data!$B$2:$B$93,B3)</f>
        <v>25</v>
      </c>
      <c r="G3" s="9">
        <f>AVERAGE(D3:E3)</f>
        <v>0.25</v>
      </c>
      <c r="H3" s="8">
        <f>(E3-D3)/3</f>
        <v>0.16666666666666666</v>
      </c>
      <c r="I3" s="9">
        <f>G3/SUM($G$3:$G$9)</f>
        <v>0.16666666666666666</v>
      </c>
      <c r="K3" s="4" t="s">
        <v>109</v>
      </c>
      <c r="L3" s="4" t="s">
        <v>11</v>
      </c>
      <c r="M3" s="4" t="s">
        <v>9</v>
      </c>
      <c r="N3" s="4" t="s">
        <v>5</v>
      </c>
      <c r="O3" s="4" t="s">
        <v>33</v>
      </c>
      <c r="P3" s="4" t="s">
        <v>60</v>
      </c>
      <c r="Q3" s="4" t="s">
        <v>13</v>
      </c>
      <c r="R3" s="4" t="s">
        <v>39</v>
      </c>
    </row>
    <row r="4" spans="2:45" x14ac:dyDescent="0.25">
      <c r="B4" s="6" t="s">
        <v>35</v>
      </c>
      <c r="C4" s="6" t="s">
        <v>129</v>
      </c>
      <c r="D4" s="7">
        <v>0</v>
      </c>
      <c r="E4" s="7">
        <v>0.3</v>
      </c>
      <c r="F4">
        <f>COUNTIFS(Data!$B$2:$B$93,B4)</f>
        <v>5</v>
      </c>
      <c r="G4" s="9">
        <f t="shared" ref="G4:G9" si="0">AVERAGE(D4:E4)</f>
        <v>0.15</v>
      </c>
      <c r="H4" s="8">
        <f t="shared" ref="H4:H9" si="1">(E4-D4)/3</f>
        <v>9.9999999999999992E-2</v>
      </c>
      <c r="I4" s="9">
        <f t="shared" ref="I4:I9" si="2">G4/SUM($G$3:$G$9)</f>
        <v>9.9999999999999992E-2</v>
      </c>
      <c r="K4" s="3" t="s">
        <v>4</v>
      </c>
      <c r="L4">
        <v>3</v>
      </c>
      <c r="M4">
        <v>2</v>
      </c>
      <c r="N4">
        <v>17</v>
      </c>
      <c r="O4">
        <v>1</v>
      </c>
      <c r="P4">
        <v>0</v>
      </c>
      <c r="Q4">
        <v>2</v>
      </c>
      <c r="R4">
        <v>0</v>
      </c>
    </row>
    <row r="5" spans="2:45" x14ac:dyDescent="0.25">
      <c r="B5" s="6" t="s">
        <v>42</v>
      </c>
      <c r="C5" s="6" t="s">
        <v>129</v>
      </c>
      <c r="D5" s="7">
        <v>0</v>
      </c>
      <c r="E5" s="7">
        <v>0.3</v>
      </c>
      <c r="F5">
        <f>COUNTIFS(Data!$B$2:$B$93,B5)</f>
        <v>12</v>
      </c>
      <c r="G5" s="9">
        <f t="shared" si="0"/>
        <v>0.15</v>
      </c>
      <c r="H5" s="8">
        <f t="shared" si="1"/>
        <v>9.9999999999999992E-2</v>
      </c>
      <c r="I5" s="9">
        <f t="shared" si="2"/>
        <v>9.9999999999999992E-2</v>
      </c>
      <c r="K5" s="3" t="s">
        <v>35</v>
      </c>
      <c r="L5">
        <v>0</v>
      </c>
      <c r="M5">
        <v>0</v>
      </c>
      <c r="N5">
        <v>3</v>
      </c>
      <c r="O5">
        <v>0</v>
      </c>
      <c r="P5">
        <v>0</v>
      </c>
      <c r="Q5">
        <v>0</v>
      </c>
      <c r="R5">
        <v>2</v>
      </c>
    </row>
    <row r="6" spans="2:45" x14ac:dyDescent="0.25">
      <c r="B6" s="6" t="s">
        <v>55</v>
      </c>
      <c r="C6" s="6" t="s">
        <v>129</v>
      </c>
      <c r="D6" s="7">
        <v>0</v>
      </c>
      <c r="E6" s="7">
        <v>0.3</v>
      </c>
      <c r="F6">
        <f>COUNTIFS(Data!$B$2:$B$93,B6)</f>
        <v>6</v>
      </c>
      <c r="G6" s="9">
        <f t="shared" si="0"/>
        <v>0.15</v>
      </c>
      <c r="H6" s="8">
        <f t="shared" si="1"/>
        <v>9.9999999999999992E-2</v>
      </c>
      <c r="I6" s="9">
        <f t="shared" si="2"/>
        <v>9.9999999999999992E-2</v>
      </c>
      <c r="K6" s="3" t="s">
        <v>42</v>
      </c>
      <c r="L6">
        <v>0</v>
      </c>
      <c r="M6">
        <v>0</v>
      </c>
      <c r="N6">
        <v>11</v>
      </c>
      <c r="O6">
        <v>0</v>
      </c>
      <c r="P6">
        <v>0</v>
      </c>
      <c r="Q6">
        <v>0</v>
      </c>
      <c r="R6">
        <v>1</v>
      </c>
    </row>
    <row r="7" spans="2:45" x14ac:dyDescent="0.25">
      <c r="B7" s="6" t="s">
        <v>63</v>
      </c>
      <c r="C7" s="6" t="s">
        <v>129</v>
      </c>
      <c r="D7" s="7">
        <v>0</v>
      </c>
      <c r="E7" s="7">
        <v>0.3</v>
      </c>
      <c r="F7">
        <f>COUNTIFS(Data!$B$2:$B$93,B7)</f>
        <v>10</v>
      </c>
      <c r="G7" s="9">
        <f t="shared" si="0"/>
        <v>0.15</v>
      </c>
      <c r="H7" s="8">
        <f t="shared" si="1"/>
        <v>9.9999999999999992E-2</v>
      </c>
      <c r="I7" s="9">
        <f t="shared" si="2"/>
        <v>9.9999999999999992E-2</v>
      </c>
      <c r="K7" s="3" t="s">
        <v>55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0</v>
      </c>
    </row>
    <row r="8" spans="2:45" x14ac:dyDescent="0.25">
      <c r="B8" s="6" t="s">
        <v>74</v>
      </c>
      <c r="C8" s="6" t="s">
        <v>129</v>
      </c>
      <c r="D8" s="7">
        <v>0</v>
      </c>
      <c r="E8" s="7">
        <v>0.3</v>
      </c>
      <c r="F8">
        <f>COUNTIFS(Data!$B$2:$B$93,B8)</f>
        <v>2</v>
      </c>
      <c r="G8" s="9">
        <f t="shared" si="0"/>
        <v>0.15</v>
      </c>
      <c r="H8" s="8">
        <f t="shared" si="1"/>
        <v>9.9999999999999992E-2</v>
      </c>
      <c r="I8" s="9">
        <f t="shared" si="2"/>
        <v>9.9999999999999992E-2</v>
      </c>
      <c r="K8" s="3" t="s">
        <v>63</v>
      </c>
      <c r="L8">
        <v>2</v>
      </c>
      <c r="M8">
        <v>2</v>
      </c>
      <c r="N8">
        <v>4</v>
      </c>
      <c r="O8">
        <v>0</v>
      </c>
      <c r="P8">
        <v>0</v>
      </c>
      <c r="Q8">
        <v>2</v>
      </c>
      <c r="R8">
        <v>0</v>
      </c>
    </row>
    <row r="9" spans="2:45" ht="30" x14ac:dyDescent="0.25">
      <c r="B9" s="6" t="s">
        <v>77</v>
      </c>
      <c r="C9" s="6" t="s">
        <v>129</v>
      </c>
      <c r="D9" s="7">
        <v>0</v>
      </c>
      <c r="E9" s="7">
        <v>1</v>
      </c>
      <c r="F9">
        <f>COUNTIFS(Data!$B$2:$B$93,B9)</f>
        <v>32</v>
      </c>
      <c r="G9" s="9">
        <f t="shared" si="0"/>
        <v>0.5</v>
      </c>
      <c r="H9" s="8">
        <f t="shared" si="1"/>
        <v>0.33333333333333331</v>
      </c>
      <c r="I9" s="9">
        <f t="shared" si="2"/>
        <v>0.33333333333333331</v>
      </c>
      <c r="K9" s="3" t="s">
        <v>74</v>
      </c>
      <c r="L9">
        <v>0</v>
      </c>
      <c r="M9">
        <v>0</v>
      </c>
      <c r="N9">
        <v>1</v>
      </c>
      <c r="O9">
        <v>0</v>
      </c>
      <c r="P9">
        <v>0</v>
      </c>
      <c r="Q9">
        <v>1</v>
      </c>
      <c r="R9">
        <v>0</v>
      </c>
    </row>
    <row r="10" spans="2:45" x14ac:dyDescent="0.25">
      <c r="I10" s="9">
        <f>SUM(I3:I9)</f>
        <v>1</v>
      </c>
      <c r="K10" s="3" t="s">
        <v>77</v>
      </c>
      <c r="L10">
        <v>4</v>
      </c>
      <c r="M10">
        <v>4</v>
      </c>
      <c r="N10">
        <v>5</v>
      </c>
      <c r="O10">
        <v>2</v>
      </c>
      <c r="P10">
        <v>4</v>
      </c>
      <c r="Q10">
        <v>5</v>
      </c>
      <c r="R10">
        <v>8</v>
      </c>
    </row>
    <row r="12" spans="2:45" ht="30" x14ac:dyDescent="0.25">
      <c r="B12" s="5"/>
      <c r="C12" s="6" t="s">
        <v>115</v>
      </c>
      <c r="D12" s="6" t="s">
        <v>113</v>
      </c>
      <c r="E12" s="6" t="s">
        <v>114</v>
      </c>
      <c r="F12" s="6" t="s">
        <v>119</v>
      </c>
      <c r="G12" s="6" t="s">
        <v>117</v>
      </c>
      <c r="H12" s="6" t="s">
        <v>118</v>
      </c>
    </row>
    <row r="13" spans="2:45" x14ac:dyDescent="0.25">
      <c r="B13" s="6" t="s">
        <v>11</v>
      </c>
      <c r="C13" s="6" t="s">
        <v>129</v>
      </c>
      <c r="D13" s="7">
        <v>0</v>
      </c>
      <c r="E13" s="7">
        <v>1</v>
      </c>
      <c r="F13">
        <f>COUNTIFS(Data!$C$2:$C$93,B13)</f>
        <v>10</v>
      </c>
      <c r="G13" s="9">
        <v>0.05</v>
      </c>
      <c r="H13" s="8">
        <f>G13</f>
        <v>0.05</v>
      </c>
      <c r="I13" s="9">
        <f>G13/SUM($G$13:$G$17)</f>
        <v>0.05</v>
      </c>
      <c r="K13" s="3" t="s">
        <v>123</v>
      </c>
      <c r="AB13" s="3" t="s">
        <v>124</v>
      </c>
    </row>
    <row r="14" spans="2:45" x14ac:dyDescent="0.25">
      <c r="B14" s="6" t="s">
        <v>9</v>
      </c>
      <c r="C14" s="6" t="s">
        <v>129</v>
      </c>
      <c r="D14" s="7">
        <v>0</v>
      </c>
      <c r="E14" s="7">
        <v>1</v>
      </c>
      <c r="F14">
        <f>COUNTIFS(Data!$C$2:$C$93,B14)</f>
        <v>9</v>
      </c>
      <c r="G14" s="9">
        <v>0.05</v>
      </c>
      <c r="H14" s="8">
        <f>G14</f>
        <v>0.05</v>
      </c>
      <c r="I14" s="9">
        <f t="shared" ref="I14:I17" si="3">G14/SUM($G$13:$G$17)</f>
        <v>0.05</v>
      </c>
      <c r="K14" s="4" t="s">
        <v>109</v>
      </c>
      <c r="L14" s="4" t="s">
        <v>11</v>
      </c>
      <c r="M14" s="4" t="s">
        <v>9</v>
      </c>
      <c r="N14" s="4" t="s">
        <v>5</v>
      </c>
      <c r="O14" s="4" t="s">
        <v>33</v>
      </c>
      <c r="P14" s="4" t="s">
        <v>60</v>
      </c>
      <c r="Q14" s="4" t="s">
        <v>13</v>
      </c>
      <c r="R14" s="4" t="s">
        <v>39</v>
      </c>
      <c r="AB14" s="4" t="s">
        <v>109</v>
      </c>
      <c r="AC14" s="4" t="s">
        <v>11</v>
      </c>
      <c r="AD14" s="4" t="s">
        <v>9</v>
      </c>
      <c r="AE14" s="4" t="s">
        <v>5</v>
      </c>
      <c r="AF14" s="4" t="s">
        <v>33</v>
      </c>
      <c r="AG14" s="4" t="s">
        <v>60</v>
      </c>
      <c r="AH14" s="4" t="s">
        <v>13</v>
      </c>
      <c r="AI14" s="4" t="s">
        <v>39</v>
      </c>
    </row>
    <row r="15" spans="2:45" x14ac:dyDescent="0.25">
      <c r="B15" s="6" t="s">
        <v>5</v>
      </c>
      <c r="C15" s="6" t="s">
        <v>129</v>
      </c>
      <c r="D15" s="7">
        <v>0</v>
      </c>
      <c r="E15" s="7">
        <v>1</v>
      </c>
      <c r="F15">
        <f>COUNTIFS(Data!$C$2:$C$93,B15)</f>
        <v>42</v>
      </c>
      <c r="G15" s="9">
        <v>0.05</v>
      </c>
      <c r="H15" s="8">
        <f>G15</f>
        <v>0.05</v>
      </c>
      <c r="I15" s="9">
        <f t="shared" si="3"/>
        <v>0.05</v>
      </c>
      <c r="K15" s="3" t="s">
        <v>4</v>
      </c>
      <c r="L15" s="8">
        <f t="shared" ref="L15:R21" si="4">T15/SUM($T$15:$Z$21)</f>
        <v>8.3333333333333367E-3</v>
      </c>
      <c r="M15" s="8">
        <f t="shared" si="4"/>
        <v>8.3333333333333367E-3</v>
      </c>
      <c r="N15" s="8">
        <f t="shared" si="4"/>
        <v>8.3333333333333367E-3</v>
      </c>
      <c r="O15" s="8">
        <f t="shared" si="4"/>
        <v>2.5000000000000012E-2</v>
      </c>
      <c r="P15" s="8">
        <f t="shared" si="4"/>
        <v>3.1250000000000014E-2</v>
      </c>
      <c r="Q15" s="8">
        <f t="shared" si="4"/>
        <v>1.6666666666666673E-2</v>
      </c>
      <c r="R15" s="8">
        <f t="shared" si="4"/>
        <v>6.8750000000000033E-2</v>
      </c>
      <c r="S15" s="9">
        <f>SUM(L15:R15)</f>
        <v>0.16666666666666674</v>
      </c>
      <c r="T15">
        <f>VLOOKUP($K15,$B$2:$H$9,6,FALSE)*VLOOKUP(L$14,$B$12:$H$20,6,FALSE)</f>
        <v>1.2500000000000001E-2</v>
      </c>
      <c r="U15">
        <f t="shared" ref="U15:U21" si="5">VLOOKUP($K15,$B$2:$H$9,6,FALSE)*VLOOKUP(M$14,$B$12:$H$20,6,FALSE)</f>
        <v>1.2500000000000001E-2</v>
      </c>
      <c r="V15">
        <f t="shared" ref="V15:V21" si="6">VLOOKUP($K15,$B$2:$H$9,6,FALSE)*VLOOKUP(N$14,$B$12:$H$20,6,FALSE)</f>
        <v>1.2500000000000001E-2</v>
      </c>
      <c r="W15">
        <f t="shared" ref="W15:W21" si="7">VLOOKUP($K15,$B$2:$H$9,6,FALSE)*VLOOKUP(O$14,$B$12:$H$20,6,FALSE)</f>
        <v>3.7499999999999999E-2</v>
      </c>
      <c r="X15">
        <f t="shared" ref="X15:X21" si="8">VLOOKUP($K15,$B$2:$H$9,6,FALSE)*VLOOKUP(P$14,$B$12:$H$20,6,FALSE)</f>
        <v>4.6875E-2</v>
      </c>
      <c r="Y15">
        <f t="shared" ref="Y15:Y21" si="9">VLOOKUP($K15,$B$2:$H$9,6,FALSE)*VLOOKUP(Q$14,$B$12:$H$20,6,FALSE)</f>
        <v>2.5000000000000001E-2</v>
      </c>
      <c r="Z15">
        <f t="shared" ref="Z15:Z21" si="10">VLOOKUP($K15,$B$2:$H$9,6,FALSE)*VLOOKUP(R$14,$B$12:$H$20,6,FALSE)</f>
        <v>0.10312499999999999</v>
      </c>
      <c r="AB15" s="3" t="s">
        <v>4</v>
      </c>
      <c r="AC15" s="12">
        <f>AL15/SQRT(SUM($AL$15:$AR$21))</f>
        <v>2.0980716002884402E-4</v>
      </c>
      <c r="AD15" s="12">
        <f t="shared" ref="AD15:AD21" si="11">AM15/SQRT(SUM($AL$15:$AR$21))</f>
        <v>2.0980716002884402E-4</v>
      </c>
      <c r="AE15" s="12">
        <f t="shared" ref="AE15:AE21" si="12">AN15/SQRT(SUM($AL$15:$AR$21))</f>
        <v>2.0980716002884402E-4</v>
      </c>
      <c r="AF15" s="12">
        <f t="shared" ref="AF15:AF21" si="13">AO15/SQRT(SUM($AL$15:$AR$21))</f>
        <v>9.4413222012979785E-3</v>
      </c>
      <c r="AG15" s="12">
        <f t="shared" ref="AG15:AG21" si="14">AP15/SQRT(SUM($AL$15:$AR$21))</f>
        <v>1.1801652751622474E-2</v>
      </c>
      <c r="AH15" s="12">
        <f t="shared" ref="AH15:AH21" si="15">AQ15/SQRT(SUM($AL$15:$AR$21))</f>
        <v>8.3922864011537609E-4</v>
      </c>
      <c r="AI15" s="12">
        <f t="shared" ref="AI15:AI21" si="16">AR15/SQRT(SUM($AL$15:$AR$21))</f>
        <v>2.5963636053569446E-2</v>
      </c>
      <c r="AJ15" s="15">
        <f>H3*H3</f>
        <v>2.7777777777777776E-2</v>
      </c>
      <c r="AK15" s="16">
        <f>SUM(AC15:AI15)</f>
        <v>4.8675261126691807E-2</v>
      </c>
      <c r="AL15" s="13">
        <f>(VLOOKUP($K15,$B$2:$H$9,7,FALSE)^2)*(VLOOKUP(AC$14,$B$12:$H$20,7,FALSE)^2)</f>
        <v>6.9444444444444458E-5</v>
      </c>
      <c r="AM15" s="13">
        <f t="shared" ref="AM15:AM21" si="17">(VLOOKUP($K15,$B$2:$H$9,7,FALSE)^2)*(VLOOKUP(AD$14,$B$12:$H$20,7,FALSE)^2)</f>
        <v>6.9444444444444458E-5</v>
      </c>
      <c r="AN15" s="13">
        <f t="shared" ref="AN15:AN21" si="18">(VLOOKUP($K15,$B$2:$H$9,7,FALSE)^2)*(VLOOKUP(AE$14,$B$12:$H$20,7,FALSE)^2)</f>
        <v>6.9444444444444458E-5</v>
      </c>
      <c r="AO15" s="13">
        <f t="shared" ref="AO15:AO21" si="19">(VLOOKUP($K15,$B$2:$H$9,7,FALSE)^2)*(VLOOKUP(AF$14,$B$12:$H$20,7,FALSE)^2)</f>
        <v>3.1249999999999997E-3</v>
      </c>
      <c r="AP15" s="13">
        <f t="shared" ref="AP15:AP21" si="20">(VLOOKUP($K15,$B$2:$H$9,7,FALSE)^2)*(VLOOKUP(AG$14,$B$12:$H$20,7,FALSE)^2)</f>
        <v>3.90625E-3</v>
      </c>
      <c r="AQ15" s="13">
        <f t="shared" ref="AQ15:AQ21" si="21">(VLOOKUP($K15,$B$2:$H$9,7,FALSE)^2)*(VLOOKUP(AH$14,$B$12:$H$20,7,FALSE)^2)</f>
        <v>2.7777777777777783E-4</v>
      </c>
      <c r="AR15" s="13">
        <f t="shared" ref="AR15:AR21" si="22">(VLOOKUP($K15,$B$2:$H$9,7,FALSE)^2)*(VLOOKUP(AI$14,$B$12:$H$20,7,FALSE)^2)</f>
        <v>8.5937500000000007E-3</v>
      </c>
      <c r="AS15" s="14">
        <f>SUM(AL15:AR15)/AJ15</f>
        <v>0.58000000000000007</v>
      </c>
    </row>
    <row r="16" spans="2:45" x14ac:dyDescent="0.25">
      <c r="B16" s="6" t="s">
        <v>13</v>
      </c>
      <c r="C16" s="6" t="s">
        <v>129</v>
      </c>
      <c r="D16" s="7">
        <v>0</v>
      </c>
      <c r="E16" s="7">
        <v>1</v>
      </c>
      <c r="F16">
        <f>COUNTIFS(Data!$C$2:$C$93,B16)</f>
        <v>11</v>
      </c>
      <c r="G16" s="9">
        <v>0.1</v>
      </c>
      <c r="H16" s="8">
        <f>G16</f>
        <v>0.1</v>
      </c>
      <c r="I16" s="9">
        <f t="shared" si="3"/>
        <v>0.1</v>
      </c>
      <c r="K16" s="3" t="s">
        <v>35</v>
      </c>
      <c r="L16" s="8">
        <f t="shared" si="4"/>
        <v>5.0000000000000018E-3</v>
      </c>
      <c r="M16" s="8">
        <f t="shared" si="4"/>
        <v>5.0000000000000018E-3</v>
      </c>
      <c r="N16" s="8">
        <f t="shared" si="4"/>
        <v>5.0000000000000018E-3</v>
      </c>
      <c r="O16" s="8">
        <f t="shared" si="4"/>
        <v>1.5000000000000006E-2</v>
      </c>
      <c r="P16" s="8">
        <f t="shared" si="4"/>
        <v>1.8750000000000006E-2</v>
      </c>
      <c r="Q16" s="8">
        <f t="shared" si="4"/>
        <v>1.0000000000000004E-2</v>
      </c>
      <c r="R16" s="8">
        <f t="shared" si="4"/>
        <v>4.1250000000000016E-2</v>
      </c>
      <c r="S16" s="9">
        <f t="shared" ref="S16:S21" si="23">SUM(L16:R16)</f>
        <v>0.10000000000000003</v>
      </c>
      <c r="T16">
        <f t="shared" ref="T16:T21" si="24">VLOOKUP($K16,$B$2:$H$9,6,FALSE)*VLOOKUP(L$14,$B$12:$H$20,6,FALSE)</f>
        <v>7.4999999999999997E-3</v>
      </c>
      <c r="U16">
        <f t="shared" si="5"/>
        <v>7.4999999999999997E-3</v>
      </c>
      <c r="V16">
        <f t="shared" si="6"/>
        <v>7.4999999999999997E-3</v>
      </c>
      <c r="W16">
        <f t="shared" si="7"/>
        <v>2.2499999999999999E-2</v>
      </c>
      <c r="X16">
        <f t="shared" si="8"/>
        <v>2.8124999999999997E-2</v>
      </c>
      <c r="Y16">
        <f t="shared" si="9"/>
        <v>1.4999999999999999E-2</v>
      </c>
      <c r="Z16">
        <f t="shared" si="10"/>
        <v>6.1874999999999993E-2</v>
      </c>
      <c r="AB16" s="3" t="s">
        <v>35</v>
      </c>
      <c r="AC16" s="12">
        <f t="shared" ref="AC16:AC21" si="25">AL16/SQRT(SUM($AL$15:$AR$21))</f>
        <v>7.5530577610383843E-5</v>
      </c>
      <c r="AD16" s="12">
        <f t="shared" si="11"/>
        <v>7.5530577610383843E-5</v>
      </c>
      <c r="AE16" s="12">
        <f t="shared" si="12"/>
        <v>7.5530577610383843E-5</v>
      </c>
      <c r="AF16" s="12">
        <f t="shared" si="13"/>
        <v>3.3988759924672724E-3</v>
      </c>
      <c r="AG16" s="12">
        <f t="shared" si="14"/>
        <v>4.2485949905840901E-3</v>
      </c>
      <c r="AH16" s="12">
        <f t="shared" si="15"/>
        <v>3.0212231044153537E-4</v>
      </c>
      <c r="AI16" s="12">
        <f t="shared" si="16"/>
        <v>9.3469089792849996E-3</v>
      </c>
      <c r="AJ16" s="15">
        <f t="shared" ref="AJ16:AJ21" si="26">H4*H4</f>
        <v>9.9999999999999985E-3</v>
      </c>
      <c r="AK16" s="16">
        <f t="shared" ref="AK16:AK21" si="27">SUM(AC16:AI16)</f>
        <v>1.7523094005609051E-2</v>
      </c>
      <c r="AL16" s="13">
        <f t="shared" ref="AL16:AL21" si="28">(VLOOKUP($K16,$B$2:$H$9,7,FALSE)^2)*(VLOOKUP(AC$14,$B$12:$H$20,7,FALSE)^2)</f>
        <v>2.5000000000000001E-5</v>
      </c>
      <c r="AM16" s="13">
        <f t="shared" si="17"/>
        <v>2.5000000000000001E-5</v>
      </c>
      <c r="AN16" s="13">
        <f t="shared" si="18"/>
        <v>2.5000000000000001E-5</v>
      </c>
      <c r="AO16" s="13">
        <f t="shared" si="19"/>
        <v>1.1249999999999999E-3</v>
      </c>
      <c r="AP16" s="13">
        <f t="shared" si="20"/>
        <v>1.4062499999999997E-3</v>
      </c>
      <c r="AQ16" s="13">
        <f t="shared" si="21"/>
        <v>1E-4</v>
      </c>
      <c r="AR16" s="13">
        <f t="shared" si="22"/>
        <v>3.0937500000000001E-3</v>
      </c>
      <c r="AS16" s="14">
        <f t="shared" ref="AS16:AS21" si="29">SUM(AL16:AR16)/AJ16</f>
        <v>0.58000000000000007</v>
      </c>
    </row>
    <row r="17" spans="2:45" x14ac:dyDescent="0.25">
      <c r="B17" s="6" t="s">
        <v>116</v>
      </c>
      <c r="C17" s="6" t="s">
        <v>129</v>
      </c>
      <c r="D17" s="7">
        <v>0</v>
      </c>
      <c r="E17" s="7">
        <v>1</v>
      </c>
      <c r="F17">
        <f>SUM(F18:F20)</f>
        <v>20</v>
      </c>
      <c r="G17" s="22">
        <v>0.75</v>
      </c>
      <c r="H17" s="8">
        <f>G17</f>
        <v>0.75</v>
      </c>
      <c r="I17" s="9">
        <f t="shared" si="3"/>
        <v>0.75</v>
      </c>
      <c r="K17" s="3" t="s">
        <v>42</v>
      </c>
      <c r="L17" s="8">
        <f t="shared" si="4"/>
        <v>5.0000000000000018E-3</v>
      </c>
      <c r="M17" s="8">
        <f t="shared" si="4"/>
        <v>5.0000000000000018E-3</v>
      </c>
      <c r="N17" s="8">
        <f t="shared" si="4"/>
        <v>5.0000000000000018E-3</v>
      </c>
      <c r="O17" s="8">
        <f t="shared" si="4"/>
        <v>1.5000000000000006E-2</v>
      </c>
      <c r="P17" s="8">
        <f t="shared" si="4"/>
        <v>1.8750000000000006E-2</v>
      </c>
      <c r="Q17" s="8">
        <f t="shared" si="4"/>
        <v>1.0000000000000004E-2</v>
      </c>
      <c r="R17" s="8">
        <f t="shared" si="4"/>
        <v>4.1250000000000016E-2</v>
      </c>
      <c r="S17" s="9">
        <f t="shared" si="23"/>
        <v>0.10000000000000003</v>
      </c>
      <c r="T17">
        <f t="shared" si="24"/>
        <v>7.4999999999999997E-3</v>
      </c>
      <c r="U17">
        <f t="shared" si="5"/>
        <v>7.4999999999999997E-3</v>
      </c>
      <c r="V17">
        <f t="shared" si="6"/>
        <v>7.4999999999999997E-3</v>
      </c>
      <c r="W17">
        <f t="shared" si="7"/>
        <v>2.2499999999999999E-2</v>
      </c>
      <c r="X17">
        <f t="shared" si="8"/>
        <v>2.8124999999999997E-2</v>
      </c>
      <c r="Y17">
        <f t="shared" si="9"/>
        <v>1.4999999999999999E-2</v>
      </c>
      <c r="Z17">
        <f t="shared" si="10"/>
        <v>6.1874999999999993E-2</v>
      </c>
      <c r="AB17" s="3" t="s">
        <v>42</v>
      </c>
      <c r="AC17" s="12">
        <f t="shared" si="25"/>
        <v>7.5530577610383843E-5</v>
      </c>
      <c r="AD17" s="12">
        <f t="shared" si="11"/>
        <v>7.5530577610383843E-5</v>
      </c>
      <c r="AE17" s="12">
        <f t="shared" si="12"/>
        <v>7.5530577610383843E-5</v>
      </c>
      <c r="AF17" s="12">
        <f t="shared" si="13"/>
        <v>3.3988759924672724E-3</v>
      </c>
      <c r="AG17" s="12">
        <f t="shared" si="14"/>
        <v>4.2485949905840901E-3</v>
      </c>
      <c r="AH17" s="12">
        <f t="shared" si="15"/>
        <v>3.0212231044153537E-4</v>
      </c>
      <c r="AI17" s="12">
        <f t="shared" si="16"/>
        <v>9.3469089792849996E-3</v>
      </c>
      <c r="AJ17" s="15">
        <f t="shared" si="26"/>
        <v>9.9999999999999985E-3</v>
      </c>
      <c r="AK17" s="16">
        <f t="shared" si="27"/>
        <v>1.7523094005609051E-2</v>
      </c>
      <c r="AL17" s="13">
        <f t="shared" si="28"/>
        <v>2.5000000000000001E-5</v>
      </c>
      <c r="AM17" s="13">
        <f t="shared" si="17"/>
        <v>2.5000000000000001E-5</v>
      </c>
      <c r="AN17" s="13">
        <f t="shared" si="18"/>
        <v>2.5000000000000001E-5</v>
      </c>
      <c r="AO17" s="13">
        <f t="shared" si="19"/>
        <v>1.1249999999999999E-3</v>
      </c>
      <c r="AP17" s="13">
        <f t="shared" si="20"/>
        <v>1.4062499999999997E-3</v>
      </c>
      <c r="AQ17" s="13">
        <f t="shared" si="21"/>
        <v>1E-4</v>
      </c>
      <c r="AR17" s="13">
        <f t="shared" si="22"/>
        <v>3.0937500000000001E-3</v>
      </c>
      <c r="AS17" s="14">
        <f t="shared" si="29"/>
        <v>0.58000000000000007</v>
      </c>
    </row>
    <row r="18" spans="2:45" x14ac:dyDescent="0.25">
      <c r="B18" s="6" t="s">
        <v>39</v>
      </c>
      <c r="C18" s="6" t="s">
        <v>129</v>
      </c>
      <c r="D18" s="7">
        <v>0</v>
      </c>
      <c r="E18" s="7">
        <v>1</v>
      </c>
      <c r="F18">
        <f>COUNTIFS(Data!$C$2:$C$93,B18)</f>
        <v>11</v>
      </c>
      <c r="G18" s="8">
        <f>$G$17*F18/SUM($F$18:$F$20)</f>
        <v>0.41249999999999998</v>
      </c>
      <c r="H18" s="8">
        <f>$H$17/SQRT($F$17)*SQRT(F18)</f>
        <v>0.55621488653217477</v>
      </c>
      <c r="I18" s="9">
        <f>SUM(I13:I17)</f>
        <v>1</v>
      </c>
      <c r="K18" s="3" t="s">
        <v>55</v>
      </c>
      <c r="L18" s="8">
        <f t="shared" si="4"/>
        <v>5.0000000000000018E-3</v>
      </c>
      <c r="M18" s="8">
        <f t="shared" si="4"/>
        <v>5.0000000000000018E-3</v>
      </c>
      <c r="N18" s="8">
        <f t="shared" si="4"/>
        <v>5.0000000000000018E-3</v>
      </c>
      <c r="O18" s="8">
        <f t="shared" si="4"/>
        <v>1.5000000000000006E-2</v>
      </c>
      <c r="P18" s="8">
        <f t="shared" si="4"/>
        <v>1.8750000000000006E-2</v>
      </c>
      <c r="Q18" s="8">
        <f t="shared" si="4"/>
        <v>1.0000000000000004E-2</v>
      </c>
      <c r="R18" s="8">
        <f t="shared" si="4"/>
        <v>4.1250000000000016E-2</v>
      </c>
      <c r="S18" s="9">
        <f t="shared" si="23"/>
        <v>0.10000000000000003</v>
      </c>
      <c r="T18">
        <f t="shared" si="24"/>
        <v>7.4999999999999997E-3</v>
      </c>
      <c r="U18">
        <f t="shared" si="5"/>
        <v>7.4999999999999997E-3</v>
      </c>
      <c r="V18">
        <f t="shared" si="6"/>
        <v>7.4999999999999997E-3</v>
      </c>
      <c r="W18">
        <f t="shared" si="7"/>
        <v>2.2499999999999999E-2</v>
      </c>
      <c r="X18">
        <f t="shared" si="8"/>
        <v>2.8124999999999997E-2</v>
      </c>
      <c r="Y18">
        <f t="shared" si="9"/>
        <v>1.4999999999999999E-2</v>
      </c>
      <c r="Z18">
        <f t="shared" si="10"/>
        <v>6.1874999999999993E-2</v>
      </c>
      <c r="AB18" s="3" t="s">
        <v>55</v>
      </c>
      <c r="AC18" s="12">
        <f t="shared" si="25"/>
        <v>7.5530577610383843E-5</v>
      </c>
      <c r="AD18" s="12">
        <f t="shared" si="11"/>
        <v>7.5530577610383843E-5</v>
      </c>
      <c r="AE18" s="12">
        <f t="shared" si="12"/>
        <v>7.5530577610383843E-5</v>
      </c>
      <c r="AF18" s="12">
        <f t="shared" si="13"/>
        <v>3.3988759924672724E-3</v>
      </c>
      <c r="AG18" s="12">
        <f t="shared" si="14"/>
        <v>4.2485949905840901E-3</v>
      </c>
      <c r="AH18" s="12">
        <f t="shared" si="15"/>
        <v>3.0212231044153537E-4</v>
      </c>
      <c r="AI18" s="12">
        <f t="shared" si="16"/>
        <v>9.3469089792849996E-3</v>
      </c>
      <c r="AJ18" s="15">
        <f t="shared" si="26"/>
        <v>9.9999999999999985E-3</v>
      </c>
      <c r="AK18" s="16">
        <f t="shared" si="27"/>
        <v>1.7523094005609051E-2</v>
      </c>
      <c r="AL18" s="13">
        <f t="shared" si="28"/>
        <v>2.5000000000000001E-5</v>
      </c>
      <c r="AM18" s="13">
        <f t="shared" si="17"/>
        <v>2.5000000000000001E-5</v>
      </c>
      <c r="AN18" s="13">
        <f t="shared" si="18"/>
        <v>2.5000000000000001E-5</v>
      </c>
      <c r="AO18" s="13">
        <f t="shared" si="19"/>
        <v>1.1249999999999999E-3</v>
      </c>
      <c r="AP18" s="13">
        <f t="shared" si="20"/>
        <v>1.4062499999999997E-3</v>
      </c>
      <c r="AQ18" s="13">
        <f t="shared" si="21"/>
        <v>1E-4</v>
      </c>
      <c r="AR18" s="13">
        <f t="shared" si="22"/>
        <v>3.0937500000000001E-3</v>
      </c>
      <c r="AS18" s="14">
        <f t="shared" si="29"/>
        <v>0.58000000000000007</v>
      </c>
    </row>
    <row r="19" spans="2:45" x14ac:dyDescent="0.25">
      <c r="B19" s="6" t="s">
        <v>60</v>
      </c>
      <c r="F19">
        <f>COUNTIFS(Data!$C$2:$C$93,B19)</f>
        <v>5</v>
      </c>
      <c r="G19" s="8">
        <f t="shared" ref="G19:G20" si="30">$G$17*F19/SUM($F$18:$F$20)</f>
        <v>0.1875</v>
      </c>
      <c r="H19" s="8">
        <f t="shared" ref="H19:H20" si="31">$H$17/SQRT($F$17)*SQRT(F19)</f>
        <v>0.375</v>
      </c>
      <c r="K19" s="3" t="s">
        <v>63</v>
      </c>
      <c r="L19" s="8">
        <f t="shared" si="4"/>
        <v>5.0000000000000018E-3</v>
      </c>
      <c r="M19" s="8">
        <f t="shared" si="4"/>
        <v>5.0000000000000018E-3</v>
      </c>
      <c r="N19" s="8">
        <f t="shared" si="4"/>
        <v>5.0000000000000018E-3</v>
      </c>
      <c r="O19" s="8">
        <f t="shared" si="4"/>
        <v>1.5000000000000006E-2</v>
      </c>
      <c r="P19" s="8">
        <f t="shared" si="4"/>
        <v>1.8750000000000006E-2</v>
      </c>
      <c r="Q19" s="8">
        <f t="shared" si="4"/>
        <v>1.0000000000000004E-2</v>
      </c>
      <c r="R19" s="8">
        <f t="shared" si="4"/>
        <v>4.1250000000000016E-2</v>
      </c>
      <c r="S19" s="9">
        <f t="shared" si="23"/>
        <v>0.10000000000000003</v>
      </c>
      <c r="T19">
        <f t="shared" si="24"/>
        <v>7.4999999999999997E-3</v>
      </c>
      <c r="U19">
        <f t="shared" si="5"/>
        <v>7.4999999999999997E-3</v>
      </c>
      <c r="V19">
        <f t="shared" si="6"/>
        <v>7.4999999999999997E-3</v>
      </c>
      <c r="W19">
        <f t="shared" si="7"/>
        <v>2.2499999999999999E-2</v>
      </c>
      <c r="X19">
        <f t="shared" si="8"/>
        <v>2.8124999999999997E-2</v>
      </c>
      <c r="Y19">
        <f t="shared" si="9"/>
        <v>1.4999999999999999E-2</v>
      </c>
      <c r="Z19">
        <f t="shared" si="10"/>
        <v>6.1874999999999993E-2</v>
      </c>
      <c r="AB19" s="3" t="s">
        <v>63</v>
      </c>
      <c r="AC19" s="12">
        <f t="shared" si="25"/>
        <v>7.5530577610383843E-5</v>
      </c>
      <c r="AD19" s="12">
        <f t="shared" si="11"/>
        <v>7.5530577610383843E-5</v>
      </c>
      <c r="AE19" s="12">
        <f t="shared" si="12"/>
        <v>7.5530577610383843E-5</v>
      </c>
      <c r="AF19" s="12">
        <f t="shared" si="13"/>
        <v>3.3988759924672724E-3</v>
      </c>
      <c r="AG19" s="12">
        <f t="shared" si="14"/>
        <v>4.2485949905840901E-3</v>
      </c>
      <c r="AH19" s="12">
        <f t="shared" si="15"/>
        <v>3.0212231044153537E-4</v>
      </c>
      <c r="AI19" s="12">
        <f t="shared" si="16"/>
        <v>9.3469089792849996E-3</v>
      </c>
      <c r="AJ19" s="15">
        <f t="shared" si="26"/>
        <v>9.9999999999999985E-3</v>
      </c>
      <c r="AK19" s="16">
        <f t="shared" si="27"/>
        <v>1.7523094005609051E-2</v>
      </c>
      <c r="AL19" s="13">
        <f t="shared" si="28"/>
        <v>2.5000000000000001E-5</v>
      </c>
      <c r="AM19" s="13">
        <f t="shared" si="17"/>
        <v>2.5000000000000001E-5</v>
      </c>
      <c r="AN19" s="13">
        <f t="shared" si="18"/>
        <v>2.5000000000000001E-5</v>
      </c>
      <c r="AO19" s="13">
        <f t="shared" si="19"/>
        <v>1.1249999999999999E-3</v>
      </c>
      <c r="AP19" s="13">
        <f t="shared" si="20"/>
        <v>1.4062499999999997E-3</v>
      </c>
      <c r="AQ19" s="13">
        <f t="shared" si="21"/>
        <v>1E-4</v>
      </c>
      <c r="AR19" s="13">
        <f t="shared" si="22"/>
        <v>3.0937500000000001E-3</v>
      </c>
      <c r="AS19" s="14">
        <f t="shared" si="29"/>
        <v>0.58000000000000007</v>
      </c>
    </row>
    <row r="20" spans="2:45" x14ac:dyDescent="0.25">
      <c r="B20" s="6" t="s">
        <v>33</v>
      </c>
      <c r="F20">
        <f>COUNTIFS(Data!$C$2:$C$93,B20)</f>
        <v>4</v>
      </c>
      <c r="G20" s="8">
        <f t="shared" si="30"/>
        <v>0.15</v>
      </c>
      <c r="H20" s="8">
        <f t="shared" si="31"/>
        <v>0.33541019662496846</v>
      </c>
      <c r="K20" s="3" t="s">
        <v>74</v>
      </c>
      <c r="L20" s="8">
        <f t="shared" si="4"/>
        <v>5.0000000000000018E-3</v>
      </c>
      <c r="M20" s="8">
        <f t="shared" si="4"/>
        <v>5.0000000000000018E-3</v>
      </c>
      <c r="N20" s="8">
        <f t="shared" si="4"/>
        <v>5.0000000000000018E-3</v>
      </c>
      <c r="O20" s="8">
        <f t="shared" si="4"/>
        <v>1.5000000000000006E-2</v>
      </c>
      <c r="P20" s="8">
        <f t="shared" si="4"/>
        <v>1.8750000000000006E-2</v>
      </c>
      <c r="Q20" s="8">
        <f t="shared" si="4"/>
        <v>1.0000000000000004E-2</v>
      </c>
      <c r="R20" s="8">
        <f t="shared" si="4"/>
        <v>4.1250000000000016E-2</v>
      </c>
      <c r="S20" s="9">
        <f t="shared" si="23"/>
        <v>0.10000000000000003</v>
      </c>
      <c r="T20">
        <f t="shared" si="24"/>
        <v>7.4999999999999997E-3</v>
      </c>
      <c r="U20">
        <f t="shared" si="5"/>
        <v>7.4999999999999997E-3</v>
      </c>
      <c r="V20">
        <f t="shared" si="6"/>
        <v>7.4999999999999997E-3</v>
      </c>
      <c r="W20">
        <f t="shared" si="7"/>
        <v>2.2499999999999999E-2</v>
      </c>
      <c r="X20">
        <f t="shared" si="8"/>
        <v>2.8124999999999997E-2</v>
      </c>
      <c r="Y20">
        <f t="shared" si="9"/>
        <v>1.4999999999999999E-2</v>
      </c>
      <c r="Z20">
        <f t="shared" si="10"/>
        <v>6.1874999999999993E-2</v>
      </c>
      <c r="AB20" s="3" t="s">
        <v>74</v>
      </c>
      <c r="AC20" s="12">
        <f t="shared" si="25"/>
        <v>7.5530577610383843E-5</v>
      </c>
      <c r="AD20" s="12">
        <f t="shared" si="11"/>
        <v>7.5530577610383843E-5</v>
      </c>
      <c r="AE20" s="12">
        <f t="shared" si="12"/>
        <v>7.5530577610383843E-5</v>
      </c>
      <c r="AF20" s="12">
        <f t="shared" si="13"/>
        <v>3.3988759924672724E-3</v>
      </c>
      <c r="AG20" s="12">
        <f t="shared" si="14"/>
        <v>4.2485949905840901E-3</v>
      </c>
      <c r="AH20" s="12">
        <f t="shared" si="15"/>
        <v>3.0212231044153537E-4</v>
      </c>
      <c r="AI20" s="12">
        <f t="shared" si="16"/>
        <v>9.3469089792849996E-3</v>
      </c>
      <c r="AJ20" s="15">
        <f t="shared" si="26"/>
        <v>9.9999999999999985E-3</v>
      </c>
      <c r="AK20" s="16">
        <f t="shared" si="27"/>
        <v>1.7523094005609051E-2</v>
      </c>
      <c r="AL20" s="13">
        <f t="shared" si="28"/>
        <v>2.5000000000000001E-5</v>
      </c>
      <c r="AM20" s="13">
        <f t="shared" si="17"/>
        <v>2.5000000000000001E-5</v>
      </c>
      <c r="AN20" s="13">
        <f t="shared" si="18"/>
        <v>2.5000000000000001E-5</v>
      </c>
      <c r="AO20" s="13">
        <f t="shared" si="19"/>
        <v>1.1249999999999999E-3</v>
      </c>
      <c r="AP20" s="13">
        <f t="shared" si="20"/>
        <v>1.4062499999999997E-3</v>
      </c>
      <c r="AQ20" s="13">
        <f t="shared" si="21"/>
        <v>1E-4</v>
      </c>
      <c r="AR20" s="13">
        <f t="shared" si="22"/>
        <v>3.0937500000000001E-3</v>
      </c>
      <c r="AS20" s="14">
        <f t="shared" si="29"/>
        <v>0.58000000000000007</v>
      </c>
    </row>
    <row r="21" spans="2:45" x14ac:dyDescent="0.25">
      <c r="K21" s="3" t="s">
        <v>77</v>
      </c>
      <c r="L21" s="8">
        <f t="shared" si="4"/>
        <v>1.6666666666666673E-2</v>
      </c>
      <c r="M21" s="8">
        <f t="shared" si="4"/>
        <v>1.6666666666666673E-2</v>
      </c>
      <c r="N21" s="8">
        <f t="shared" si="4"/>
        <v>1.6666666666666673E-2</v>
      </c>
      <c r="O21" s="8">
        <f t="shared" si="4"/>
        <v>5.0000000000000024E-2</v>
      </c>
      <c r="P21" s="8">
        <f t="shared" si="4"/>
        <v>6.2500000000000028E-2</v>
      </c>
      <c r="Q21" s="8">
        <f t="shared" si="4"/>
        <v>3.3333333333333347E-2</v>
      </c>
      <c r="R21" s="8">
        <f t="shared" si="4"/>
        <v>0.13750000000000007</v>
      </c>
      <c r="S21" s="9">
        <f t="shared" si="23"/>
        <v>0.33333333333333348</v>
      </c>
      <c r="T21">
        <f t="shared" si="24"/>
        <v>2.5000000000000001E-2</v>
      </c>
      <c r="U21">
        <f t="shared" si="5"/>
        <v>2.5000000000000001E-2</v>
      </c>
      <c r="V21">
        <f t="shared" si="6"/>
        <v>2.5000000000000001E-2</v>
      </c>
      <c r="W21">
        <f t="shared" si="7"/>
        <v>7.4999999999999997E-2</v>
      </c>
      <c r="X21">
        <f t="shared" si="8"/>
        <v>9.375E-2</v>
      </c>
      <c r="Y21">
        <f t="shared" si="9"/>
        <v>0.05</v>
      </c>
      <c r="Z21">
        <f t="shared" si="10"/>
        <v>0.20624999999999999</v>
      </c>
      <c r="AB21" s="3" t="s">
        <v>77</v>
      </c>
      <c r="AC21" s="12">
        <f t="shared" si="25"/>
        <v>8.3922864011537609E-4</v>
      </c>
      <c r="AD21" s="12">
        <f t="shared" si="11"/>
        <v>8.3922864011537609E-4</v>
      </c>
      <c r="AE21" s="12">
        <f t="shared" si="12"/>
        <v>8.3922864011537609E-4</v>
      </c>
      <c r="AF21" s="12">
        <f t="shared" si="13"/>
        <v>3.7765288805191914E-2</v>
      </c>
      <c r="AG21" s="12">
        <f t="shared" si="14"/>
        <v>4.7206611006489894E-2</v>
      </c>
      <c r="AH21" s="12">
        <f t="shared" si="15"/>
        <v>3.3569145604615044E-3</v>
      </c>
      <c r="AI21" s="12">
        <f t="shared" si="16"/>
        <v>0.10385454421427778</v>
      </c>
      <c r="AJ21" s="15">
        <f t="shared" si="26"/>
        <v>0.1111111111111111</v>
      </c>
      <c r="AK21" s="16">
        <f t="shared" si="27"/>
        <v>0.19470104450676723</v>
      </c>
      <c r="AL21" s="13">
        <f t="shared" si="28"/>
        <v>2.7777777777777783E-4</v>
      </c>
      <c r="AM21" s="13">
        <f t="shared" si="17"/>
        <v>2.7777777777777783E-4</v>
      </c>
      <c r="AN21" s="13">
        <f t="shared" si="18"/>
        <v>2.7777777777777783E-4</v>
      </c>
      <c r="AO21" s="13">
        <f t="shared" si="19"/>
        <v>1.2499999999999999E-2</v>
      </c>
      <c r="AP21" s="13">
        <f t="shared" si="20"/>
        <v>1.5625E-2</v>
      </c>
      <c r="AQ21" s="13">
        <f t="shared" si="21"/>
        <v>1.1111111111111113E-3</v>
      </c>
      <c r="AR21" s="13">
        <f t="shared" si="22"/>
        <v>3.4375000000000003E-2</v>
      </c>
      <c r="AS21" s="14">
        <f t="shared" si="29"/>
        <v>0.58000000000000007</v>
      </c>
    </row>
    <row r="22" spans="2:45" x14ac:dyDescent="0.25">
      <c r="L22" s="9">
        <f>SUM(L15:L21)</f>
        <v>5.0000000000000017E-2</v>
      </c>
      <c r="M22" s="9">
        <f t="shared" ref="M22:R22" si="32">SUM(M15:M21)</f>
        <v>5.0000000000000017E-2</v>
      </c>
      <c r="N22" s="9">
        <f t="shared" si="32"/>
        <v>5.0000000000000017E-2</v>
      </c>
      <c r="O22" s="9">
        <f t="shared" si="32"/>
        <v>0.15000000000000008</v>
      </c>
      <c r="P22" s="9">
        <f t="shared" si="32"/>
        <v>0.18750000000000006</v>
      </c>
      <c r="Q22" s="9">
        <f t="shared" si="32"/>
        <v>0.10000000000000003</v>
      </c>
      <c r="R22" s="9">
        <f t="shared" si="32"/>
        <v>0.41250000000000014</v>
      </c>
      <c r="AC22" s="15">
        <f>(VLOOKUP(AC$14,$B$12:$H$20,7,FALSE)^2)</f>
        <v>2.5000000000000005E-3</v>
      </c>
      <c r="AD22" s="15">
        <f t="shared" ref="AD22:AI22" si="33">(VLOOKUP(AD$14,$B$12:$H$20,7,FALSE)^2)</f>
        <v>2.5000000000000005E-3</v>
      </c>
      <c r="AE22" s="15">
        <f t="shared" si="33"/>
        <v>2.5000000000000005E-3</v>
      </c>
      <c r="AF22" s="15">
        <f t="shared" si="33"/>
        <v>0.1125</v>
      </c>
      <c r="AG22" s="15">
        <f t="shared" si="33"/>
        <v>0.140625</v>
      </c>
      <c r="AH22" s="15">
        <f t="shared" si="33"/>
        <v>1.0000000000000002E-2</v>
      </c>
      <c r="AI22" s="15">
        <f t="shared" si="33"/>
        <v>0.30937500000000007</v>
      </c>
      <c r="AL22" s="14">
        <f t="shared" ref="AL22:AR22" si="34">SUM(AL15:AL21)/AC22</f>
        <v>0.18888888888888888</v>
      </c>
      <c r="AM22" s="14">
        <f t="shared" si="34"/>
        <v>0.18888888888888888</v>
      </c>
      <c r="AN22" s="14">
        <f t="shared" si="34"/>
        <v>0.18888888888888888</v>
      </c>
      <c r="AO22" s="14">
        <f t="shared" si="34"/>
        <v>0.18888888888888886</v>
      </c>
      <c r="AP22" s="14">
        <f t="shared" si="34"/>
        <v>0.18888888888888886</v>
      </c>
      <c r="AQ22" s="14">
        <f t="shared" si="34"/>
        <v>0.18888888888888888</v>
      </c>
      <c r="AR22" s="14">
        <f t="shared" si="34"/>
        <v>0.18888888888888886</v>
      </c>
    </row>
    <row r="23" spans="2:45" x14ac:dyDescent="0.25">
      <c r="AC23" s="15"/>
      <c r="AD23" s="15"/>
      <c r="AE23" s="15"/>
      <c r="AF23" s="15"/>
      <c r="AG23" s="15"/>
      <c r="AH23" s="15"/>
      <c r="AI23" s="15"/>
      <c r="AL23" s="14"/>
      <c r="AM23" s="14"/>
      <c r="AN23" s="14"/>
      <c r="AO23" s="14"/>
      <c r="AP23" s="14"/>
      <c r="AQ23" s="14"/>
      <c r="AR23" s="14"/>
    </row>
    <row r="24" spans="2:45" x14ac:dyDescent="0.25">
      <c r="AC24" s="16">
        <f t="shared" ref="AC24:AI24" si="35">SUM(AC15:AC21)</f>
        <v>1.4266886881961396E-3</v>
      </c>
      <c r="AD24" s="16">
        <f t="shared" si="35"/>
        <v>1.4266886881961396E-3</v>
      </c>
      <c r="AE24" s="16">
        <f t="shared" si="35"/>
        <v>1.4266886881961396E-3</v>
      </c>
      <c r="AF24" s="16">
        <f t="shared" si="35"/>
        <v>6.4200990968826255E-2</v>
      </c>
      <c r="AG24" s="16">
        <f t="shared" si="35"/>
        <v>8.0251238711032818E-2</v>
      </c>
      <c r="AH24" s="16">
        <f t="shared" si="35"/>
        <v>5.7067547527845583E-3</v>
      </c>
      <c r="AI24" s="16">
        <f t="shared" si="35"/>
        <v>0.17655272516427223</v>
      </c>
      <c r="AM24" s="14"/>
      <c r="AN24" s="14"/>
      <c r="AO24" s="14"/>
      <c r="AP24" s="14"/>
      <c r="AQ24" s="14"/>
      <c r="AR24" s="14"/>
    </row>
    <row r="25" spans="2:45" x14ac:dyDescent="0.25">
      <c r="AL25" s="11">
        <f>SQRT(SUM(AL15:AR21))</f>
        <v>0.33099177566150423</v>
      </c>
      <c r="AM25" s="14"/>
      <c r="AN25" s="14"/>
      <c r="AO25" s="14"/>
      <c r="AP25" s="14"/>
      <c r="AQ25" s="14"/>
      <c r="AR25" s="14"/>
    </row>
    <row r="26" spans="2:45" x14ac:dyDescent="0.25">
      <c r="AM26" s="14"/>
      <c r="AN26" s="14"/>
      <c r="AO26" s="14"/>
      <c r="AP26" s="14"/>
      <c r="AQ26" s="14"/>
      <c r="AR26" s="14"/>
    </row>
    <row r="27" spans="2:45" x14ac:dyDescent="0.25">
      <c r="AB27" t="s">
        <v>125</v>
      </c>
      <c r="AM27" s="14"/>
      <c r="AN27" s="14"/>
      <c r="AO27" s="14"/>
      <c r="AP27" s="14"/>
      <c r="AQ27" s="14"/>
      <c r="AR27" s="14"/>
    </row>
    <row r="28" spans="2:45" x14ac:dyDescent="0.25">
      <c r="AC28" s="8">
        <f t="shared" ref="AC28:AI34" si="36">SQRT(AC15)</f>
        <v>1.4484721606880956E-2</v>
      </c>
      <c r="AD28" s="8">
        <f t="shared" si="36"/>
        <v>1.4484721606880956E-2</v>
      </c>
      <c r="AE28" s="8">
        <f t="shared" si="36"/>
        <v>1.4484721606880956E-2</v>
      </c>
      <c r="AF28" s="8">
        <f t="shared" si="36"/>
        <v>9.7166466444437397E-2</v>
      </c>
      <c r="AG28" s="8">
        <f t="shared" si="36"/>
        <v>0.10863541205160716</v>
      </c>
      <c r="AH28" s="8">
        <f t="shared" si="36"/>
        <v>2.8969443213761912E-2</v>
      </c>
      <c r="AI28" s="8">
        <f t="shared" si="36"/>
        <v>0.16113235570042861</v>
      </c>
      <c r="AL28" s="10">
        <f>AS15*AL22</f>
        <v>0.10955555555555557</v>
      </c>
      <c r="AM28" s="14"/>
      <c r="AN28" s="14"/>
      <c r="AO28" s="14"/>
      <c r="AP28" s="14"/>
      <c r="AQ28" s="14"/>
      <c r="AR28" s="14"/>
    </row>
    <row r="29" spans="2:45" x14ac:dyDescent="0.25">
      <c r="K29" t="s">
        <v>126</v>
      </c>
      <c r="AC29" s="8">
        <f t="shared" si="36"/>
        <v>8.6908329641285729E-3</v>
      </c>
      <c r="AD29" s="8">
        <f t="shared" si="36"/>
        <v>8.6908329641285729E-3</v>
      </c>
      <c r="AE29" s="8">
        <f t="shared" si="36"/>
        <v>8.6908329641285729E-3</v>
      </c>
      <c r="AF29" s="8">
        <f t="shared" si="36"/>
        <v>5.8299879866662442E-2</v>
      </c>
      <c r="AG29" s="8">
        <f t="shared" si="36"/>
        <v>6.5181247230964287E-2</v>
      </c>
      <c r="AH29" s="8">
        <f t="shared" si="36"/>
        <v>1.7381665928257146E-2</v>
      </c>
      <c r="AI29" s="8">
        <f t="shared" si="36"/>
        <v>9.6679413420257154E-2</v>
      </c>
      <c r="AM29" s="14"/>
      <c r="AN29" s="14"/>
      <c r="AO29" s="14"/>
      <c r="AP29" s="14"/>
      <c r="AQ29" s="14"/>
      <c r="AR29" s="14"/>
    </row>
    <row r="30" spans="2:45" x14ac:dyDescent="0.25">
      <c r="K30" s="4" t="s">
        <v>109</v>
      </c>
      <c r="L30" s="4" t="s">
        <v>11</v>
      </c>
      <c r="M30" s="4" t="s">
        <v>9</v>
      </c>
      <c r="N30" s="4" t="s">
        <v>5</v>
      </c>
      <c r="O30" s="4" t="s">
        <v>33</v>
      </c>
      <c r="P30" s="4" t="s">
        <v>60</v>
      </c>
      <c r="Q30" s="4" t="s">
        <v>13</v>
      </c>
      <c r="R30" s="4" t="s">
        <v>39</v>
      </c>
      <c r="AC30" s="8">
        <f t="shared" si="36"/>
        <v>8.6908329641285729E-3</v>
      </c>
      <c r="AD30" s="8">
        <f t="shared" si="36"/>
        <v>8.6908329641285729E-3</v>
      </c>
      <c r="AE30" s="8">
        <f t="shared" si="36"/>
        <v>8.6908329641285729E-3</v>
      </c>
      <c r="AF30" s="8">
        <f t="shared" si="36"/>
        <v>5.8299879866662442E-2</v>
      </c>
      <c r="AG30" s="8">
        <f t="shared" si="36"/>
        <v>6.5181247230964287E-2</v>
      </c>
      <c r="AH30" s="8">
        <f t="shared" si="36"/>
        <v>1.7381665928257146E-2</v>
      </c>
      <c r="AI30" s="8">
        <f t="shared" si="36"/>
        <v>9.6679413420257154E-2</v>
      </c>
      <c r="AM30" s="14"/>
      <c r="AN30" s="14"/>
      <c r="AO30" s="14"/>
      <c r="AP30" s="14"/>
      <c r="AQ30" s="14"/>
      <c r="AR30" s="14"/>
    </row>
    <row r="31" spans="2:45" x14ac:dyDescent="0.25">
      <c r="K31" s="3" t="s">
        <v>4</v>
      </c>
      <c r="L31" s="21">
        <f>IF(L4=0,"",L15/L4)</f>
        <v>2.7777777777777788E-3</v>
      </c>
      <c r="M31" s="21">
        <f t="shared" ref="M31:R31" si="37">IF(M4=0,"",M15/M4)</f>
        <v>4.1666666666666683E-3</v>
      </c>
      <c r="N31" s="21">
        <f t="shared" si="37"/>
        <v>4.9019607843137276E-4</v>
      </c>
      <c r="O31" s="21">
        <f t="shared" si="37"/>
        <v>2.5000000000000012E-2</v>
      </c>
      <c r="P31" s="21" t="str">
        <f t="shared" si="37"/>
        <v/>
      </c>
      <c r="Q31" s="21">
        <f t="shared" si="37"/>
        <v>8.3333333333333367E-3</v>
      </c>
      <c r="R31" s="21" t="str">
        <f t="shared" si="37"/>
        <v/>
      </c>
      <c r="T31" s="21"/>
      <c r="AC31" s="8">
        <f t="shared" si="36"/>
        <v>8.6908329641285729E-3</v>
      </c>
      <c r="AD31" s="8">
        <f t="shared" si="36"/>
        <v>8.6908329641285729E-3</v>
      </c>
      <c r="AE31" s="8">
        <f t="shared" si="36"/>
        <v>8.6908329641285729E-3</v>
      </c>
      <c r="AF31" s="8">
        <f t="shared" si="36"/>
        <v>5.8299879866662442E-2</v>
      </c>
      <c r="AG31" s="8">
        <f t="shared" si="36"/>
        <v>6.5181247230964287E-2</v>
      </c>
      <c r="AH31" s="8">
        <f t="shared" si="36"/>
        <v>1.7381665928257146E-2</v>
      </c>
      <c r="AI31" s="8">
        <f t="shared" si="36"/>
        <v>9.6679413420257154E-2</v>
      </c>
      <c r="AM31" s="14"/>
      <c r="AN31" s="14"/>
      <c r="AO31" s="14"/>
      <c r="AP31" s="14"/>
      <c r="AQ31" s="14"/>
      <c r="AR31" s="14"/>
    </row>
    <row r="32" spans="2:45" x14ac:dyDescent="0.25">
      <c r="K32" s="3" t="s">
        <v>35</v>
      </c>
      <c r="L32" s="21" t="str">
        <f t="shared" ref="L32:R32" si="38">IF(L5=0,"",L16/L5)</f>
        <v/>
      </c>
      <c r="M32" s="21" t="str">
        <f t="shared" si="38"/>
        <v/>
      </c>
      <c r="N32" s="21">
        <f t="shared" si="38"/>
        <v>1.6666666666666672E-3</v>
      </c>
      <c r="O32" s="21" t="str">
        <f t="shared" si="38"/>
        <v/>
      </c>
      <c r="P32" s="21" t="str">
        <f t="shared" si="38"/>
        <v/>
      </c>
      <c r="Q32" s="21" t="str">
        <f t="shared" si="38"/>
        <v/>
      </c>
      <c r="R32" s="21">
        <f t="shared" si="38"/>
        <v>2.0625000000000008E-2</v>
      </c>
      <c r="AC32" s="8">
        <f t="shared" si="36"/>
        <v>8.6908329641285729E-3</v>
      </c>
      <c r="AD32" s="8">
        <f t="shared" si="36"/>
        <v>8.6908329641285729E-3</v>
      </c>
      <c r="AE32" s="8">
        <f t="shared" si="36"/>
        <v>8.6908329641285729E-3</v>
      </c>
      <c r="AF32" s="8">
        <f t="shared" si="36"/>
        <v>5.8299879866662442E-2</v>
      </c>
      <c r="AG32" s="8">
        <f t="shared" si="36"/>
        <v>6.5181247230964287E-2</v>
      </c>
      <c r="AH32" s="8">
        <f t="shared" si="36"/>
        <v>1.7381665928257146E-2</v>
      </c>
      <c r="AI32" s="8">
        <f t="shared" si="36"/>
        <v>9.6679413420257154E-2</v>
      </c>
      <c r="AM32" s="14"/>
      <c r="AN32" s="14"/>
      <c r="AO32" s="14"/>
      <c r="AP32" s="14"/>
      <c r="AQ32" s="14"/>
      <c r="AR32" s="14"/>
    </row>
    <row r="33" spans="11:44" x14ac:dyDescent="0.25">
      <c r="K33" s="3" t="s">
        <v>42</v>
      </c>
      <c r="L33" s="21" t="str">
        <f t="shared" ref="L33:R33" si="39">IF(L6=0,"",L17/L6)</f>
        <v/>
      </c>
      <c r="M33" s="21" t="str">
        <f t="shared" si="39"/>
        <v/>
      </c>
      <c r="N33" s="21">
        <f t="shared" si="39"/>
        <v>4.5454545454545471E-4</v>
      </c>
      <c r="O33" s="21" t="str">
        <f t="shared" si="39"/>
        <v/>
      </c>
      <c r="P33" s="21" t="str">
        <f t="shared" si="39"/>
        <v/>
      </c>
      <c r="Q33" s="21" t="str">
        <f t="shared" si="39"/>
        <v/>
      </c>
      <c r="R33" s="21">
        <f t="shared" si="39"/>
        <v>4.1250000000000016E-2</v>
      </c>
      <c r="AC33" s="8">
        <f t="shared" si="36"/>
        <v>8.6908329641285729E-3</v>
      </c>
      <c r="AD33" s="8">
        <f t="shared" si="36"/>
        <v>8.6908329641285729E-3</v>
      </c>
      <c r="AE33" s="8">
        <f t="shared" si="36"/>
        <v>8.6908329641285729E-3</v>
      </c>
      <c r="AF33" s="8">
        <f t="shared" si="36"/>
        <v>5.8299879866662442E-2</v>
      </c>
      <c r="AG33" s="8">
        <f t="shared" si="36"/>
        <v>6.5181247230964287E-2</v>
      </c>
      <c r="AH33" s="8">
        <f t="shared" si="36"/>
        <v>1.7381665928257146E-2</v>
      </c>
      <c r="AI33" s="8">
        <f t="shared" si="36"/>
        <v>9.6679413420257154E-2</v>
      </c>
      <c r="AM33" s="14"/>
      <c r="AN33" s="14"/>
      <c r="AO33" s="14"/>
      <c r="AP33" s="14"/>
      <c r="AQ33" s="14"/>
      <c r="AR33" s="14"/>
    </row>
    <row r="34" spans="11:44" x14ac:dyDescent="0.25">
      <c r="K34" s="3" t="s">
        <v>55</v>
      </c>
      <c r="L34" s="21">
        <f t="shared" ref="L34:R34" si="40">IF(L7=0,"",L18/L7)</f>
        <v>5.0000000000000018E-3</v>
      </c>
      <c r="M34" s="21">
        <f t="shared" si="40"/>
        <v>5.0000000000000018E-3</v>
      </c>
      <c r="N34" s="21">
        <f t="shared" si="40"/>
        <v>5.0000000000000018E-3</v>
      </c>
      <c r="O34" s="21">
        <f t="shared" si="40"/>
        <v>1.5000000000000006E-2</v>
      </c>
      <c r="P34" s="21">
        <f t="shared" si="40"/>
        <v>1.8750000000000006E-2</v>
      </c>
      <c r="Q34" s="21">
        <f t="shared" si="40"/>
        <v>1.0000000000000004E-2</v>
      </c>
      <c r="R34" s="21" t="str">
        <f t="shared" si="40"/>
        <v/>
      </c>
      <c r="AC34" s="8">
        <f t="shared" si="36"/>
        <v>2.8969443213761912E-2</v>
      </c>
      <c r="AD34" s="8">
        <f t="shared" si="36"/>
        <v>2.8969443213761912E-2</v>
      </c>
      <c r="AE34" s="8">
        <f t="shared" si="36"/>
        <v>2.8969443213761912E-2</v>
      </c>
      <c r="AF34" s="8">
        <f t="shared" si="36"/>
        <v>0.19433293288887479</v>
      </c>
      <c r="AG34" s="8">
        <f t="shared" si="36"/>
        <v>0.21727082410321433</v>
      </c>
      <c r="AH34" s="8">
        <f t="shared" si="36"/>
        <v>5.7938886427523824E-2</v>
      </c>
      <c r="AI34" s="8">
        <f t="shared" si="36"/>
        <v>0.32226471140085722</v>
      </c>
      <c r="AM34" s="14"/>
      <c r="AN34" s="14"/>
      <c r="AO34" s="14"/>
      <c r="AP34" s="14"/>
      <c r="AQ34" s="14"/>
      <c r="AR34" s="14"/>
    </row>
    <row r="35" spans="11:44" x14ac:dyDescent="0.25">
      <c r="K35" s="3" t="s">
        <v>63</v>
      </c>
      <c r="L35" s="21">
        <f t="shared" ref="L35:R35" si="41">IF(L8=0,"",L19/L8)</f>
        <v>2.5000000000000009E-3</v>
      </c>
      <c r="M35" s="21">
        <f t="shared" si="41"/>
        <v>2.5000000000000009E-3</v>
      </c>
      <c r="N35" s="21">
        <f t="shared" si="41"/>
        <v>1.2500000000000005E-3</v>
      </c>
      <c r="O35" s="21" t="str">
        <f t="shared" si="41"/>
        <v/>
      </c>
      <c r="P35" s="21" t="str">
        <f t="shared" si="41"/>
        <v/>
      </c>
      <c r="Q35" s="21">
        <f t="shared" si="41"/>
        <v>5.0000000000000018E-3</v>
      </c>
      <c r="R35" s="21" t="str">
        <f t="shared" si="41"/>
        <v/>
      </c>
      <c r="AM35" s="14"/>
      <c r="AN35" s="14"/>
      <c r="AO35" s="14"/>
      <c r="AP35" s="14"/>
      <c r="AQ35" s="14"/>
      <c r="AR35" s="14"/>
    </row>
    <row r="36" spans="11:44" x14ac:dyDescent="0.25">
      <c r="K36" s="3" t="s">
        <v>74</v>
      </c>
      <c r="L36" s="21" t="str">
        <f t="shared" ref="L36:R36" si="42">IF(L9=0,"",L20/L9)</f>
        <v/>
      </c>
      <c r="M36" s="21" t="str">
        <f t="shared" si="42"/>
        <v/>
      </c>
      <c r="N36" s="21">
        <f t="shared" si="42"/>
        <v>5.0000000000000018E-3</v>
      </c>
      <c r="O36" s="21" t="str">
        <f t="shared" si="42"/>
        <v/>
      </c>
      <c r="P36" s="21" t="str">
        <f t="shared" si="42"/>
        <v/>
      </c>
      <c r="Q36" s="21">
        <f t="shared" si="42"/>
        <v>1.0000000000000004E-2</v>
      </c>
      <c r="R36" s="21" t="str">
        <f t="shared" si="42"/>
        <v/>
      </c>
      <c r="AM36" s="14"/>
      <c r="AN36" s="14"/>
      <c r="AO36" s="14"/>
      <c r="AP36" s="14"/>
      <c r="AQ36" s="14"/>
      <c r="AR36" s="14"/>
    </row>
    <row r="37" spans="11:44" x14ac:dyDescent="0.25">
      <c r="K37" s="3" t="s">
        <v>77</v>
      </c>
      <c r="L37" s="21">
        <f t="shared" ref="L37:R37" si="43">IF(L10=0,"",L21/L10)</f>
        <v>4.1666666666666683E-3</v>
      </c>
      <c r="M37" s="21">
        <f t="shared" si="43"/>
        <v>4.1666666666666683E-3</v>
      </c>
      <c r="N37" s="21">
        <f t="shared" si="43"/>
        <v>3.3333333333333348E-3</v>
      </c>
      <c r="O37" s="21">
        <f t="shared" si="43"/>
        <v>2.5000000000000012E-2</v>
      </c>
      <c r="P37" s="21">
        <f t="shared" si="43"/>
        <v>1.5625000000000007E-2</v>
      </c>
      <c r="Q37" s="21">
        <f t="shared" si="43"/>
        <v>6.6666666666666697E-3</v>
      </c>
      <c r="R37" s="21">
        <f t="shared" si="43"/>
        <v>1.7187500000000008E-2</v>
      </c>
      <c r="AM37" s="14"/>
      <c r="AN37" s="14"/>
      <c r="AO37" s="14"/>
      <c r="AP37" s="14"/>
      <c r="AQ37" s="14"/>
      <c r="AR37" s="14"/>
    </row>
    <row r="38" spans="11:44" x14ac:dyDescent="0.25">
      <c r="AM38" s="14"/>
      <c r="AN38" s="14"/>
      <c r="AO38" s="14"/>
      <c r="AP38" s="14"/>
      <c r="AQ38" s="14"/>
      <c r="AR38" s="14"/>
    </row>
    <row r="39" spans="11:44" x14ac:dyDescent="0.25">
      <c r="K39" t="s">
        <v>127</v>
      </c>
      <c r="AM39" s="14"/>
      <c r="AN39" s="14"/>
      <c r="AO39" s="14"/>
      <c r="AP39" s="14"/>
      <c r="AQ39" s="14"/>
      <c r="AR39" s="14"/>
    </row>
    <row r="40" spans="11:44" x14ac:dyDescent="0.25">
      <c r="K40" s="4" t="s">
        <v>109</v>
      </c>
      <c r="L40" s="4" t="s">
        <v>11</v>
      </c>
      <c r="M40" s="4" t="s">
        <v>9</v>
      </c>
      <c r="N40" s="4" t="s">
        <v>5</v>
      </c>
      <c r="O40" s="4" t="s">
        <v>33</v>
      </c>
      <c r="P40" s="4" t="s">
        <v>60</v>
      </c>
      <c r="Q40" s="4" t="s">
        <v>13</v>
      </c>
      <c r="R40" s="4" t="s">
        <v>39</v>
      </c>
      <c r="AM40" s="14"/>
      <c r="AN40" s="14"/>
      <c r="AO40" s="14"/>
      <c r="AP40" s="14"/>
      <c r="AQ40" s="14"/>
      <c r="AR40" s="14"/>
    </row>
    <row r="41" spans="11:44" x14ac:dyDescent="0.25">
      <c r="K41" s="3" t="s">
        <v>4</v>
      </c>
      <c r="L41" s="21">
        <f>IF(L4=0,"",SQRT(AC15/L4))</f>
        <v>8.3627579188695084E-3</v>
      </c>
      <c r="M41" s="21">
        <f t="shared" ref="M41:R41" si="44">IF(M4=0,"",SQRT(AD15/M4))</f>
        <v>1.0242244871824829E-2</v>
      </c>
      <c r="N41" s="21">
        <f t="shared" si="44"/>
        <v>3.5130610084021497E-3</v>
      </c>
      <c r="O41" s="21">
        <f t="shared" si="44"/>
        <v>9.7166466444437397E-2</v>
      </c>
      <c r="P41" s="21" t="str">
        <f t="shared" si="44"/>
        <v/>
      </c>
      <c r="Q41" s="21">
        <f t="shared" si="44"/>
        <v>2.0484489743649657E-2</v>
      </c>
      <c r="R41" s="21" t="str">
        <f t="shared" si="44"/>
        <v/>
      </c>
      <c r="T41" s="21"/>
      <c r="AM41" s="14"/>
      <c r="AN41" s="14"/>
      <c r="AO41" s="14"/>
      <c r="AP41" s="14"/>
      <c r="AQ41" s="14"/>
      <c r="AR41" s="14"/>
    </row>
    <row r="42" spans="11:44" x14ac:dyDescent="0.25">
      <c r="K42" s="3" t="s">
        <v>35</v>
      </c>
      <c r="L42" s="21" t="str">
        <f t="shared" ref="L42:R42" si="45">IF(L5=0,"",SQRT(AC16/L5))</f>
        <v/>
      </c>
      <c r="M42" s="21" t="str">
        <f t="shared" si="45"/>
        <v/>
      </c>
      <c r="N42" s="21">
        <f t="shared" si="45"/>
        <v>5.0176547513217052E-3</v>
      </c>
      <c r="O42" s="21" t="str">
        <f t="shared" si="45"/>
        <v/>
      </c>
      <c r="P42" s="21" t="str">
        <f t="shared" si="45"/>
        <v/>
      </c>
      <c r="Q42" s="21" t="str">
        <f t="shared" si="45"/>
        <v/>
      </c>
      <c r="R42" s="21">
        <f t="shared" si="45"/>
        <v>6.8362668830601547E-2</v>
      </c>
      <c r="AM42" s="14"/>
      <c r="AN42" s="14"/>
      <c r="AO42" s="14"/>
      <c r="AP42" s="14"/>
      <c r="AQ42" s="14"/>
      <c r="AR42" s="14"/>
    </row>
    <row r="43" spans="11:44" x14ac:dyDescent="0.25">
      <c r="K43" s="3" t="s">
        <v>42</v>
      </c>
      <c r="L43" s="21" t="str">
        <f t="shared" ref="L43:R43" si="46">IF(L6=0,"",SQRT(AC17/L6))</f>
        <v/>
      </c>
      <c r="M43" s="21" t="str">
        <f t="shared" si="46"/>
        <v/>
      </c>
      <c r="N43" s="21">
        <f t="shared" si="46"/>
        <v>2.6203847325151569E-3</v>
      </c>
      <c r="O43" s="21" t="str">
        <f t="shared" si="46"/>
        <v/>
      </c>
      <c r="P43" s="21" t="str">
        <f t="shared" si="46"/>
        <v/>
      </c>
      <c r="Q43" s="21" t="str">
        <f t="shared" si="46"/>
        <v/>
      </c>
      <c r="R43" s="21">
        <f t="shared" si="46"/>
        <v>9.6679413420257154E-2</v>
      </c>
      <c r="AM43" s="14"/>
      <c r="AN43" s="14"/>
      <c r="AO43" s="14"/>
      <c r="AP43" s="14"/>
      <c r="AQ43" s="14"/>
      <c r="AR43" s="14"/>
    </row>
    <row r="44" spans="11:44" x14ac:dyDescent="0.25">
      <c r="K44" s="3" t="s">
        <v>55</v>
      </c>
      <c r="L44" s="21">
        <f t="shared" ref="L44:R44" si="47">IF(L7=0,"",SQRT(AC18/L7))</f>
        <v>8.6908329641285729E-3</v>
      </c>
      <c r="M44" s="21">
        <f t="shared" si="47"/>
        <v>8.6908329641285729E-3</v>
      </c>
      <c r="N44" s="21">
        <f t="shared" si="47"/>
        <v>8.6908329641285729E-3</v>
      </c>
      <c r="O44" s="21">
        <f t="shared" si="47"/>
        <v>5.8299879866662442E-2</v>
      </c>
      <c r="P44" s="21">
        <f t="shared" si="47"/>
        <v>6.5181247230964287E-2</v>
      </c>
      <c r="Q44" s="21">
        <f t="shared" si="47"/>
        <v>1.7381665928257146E-2</v>
      </c>
      <c r="R44" s="21" t="str">
        <f t="shared" si="47"/>
        <v/>
      </c>
      <c r="AM44" s="14"/>
      <c r="AN44" s="14"/>
      <c r="AO44" s="14"/>
      <c r="AP44" s="14"/>
      <c r="AQ44" s="14"/>
      <c r="AR44" s="14"/>
    </row>
    <row r="45" spans="11:44" x14ac:dyDescent="0.25">
      <c r="K45" s="3" t="s">
        <v>63</v>
      </c>
      <c r="L45" s="21">
        <f t="shared" ref="L45:R45" si="48">IF(L8=0,"",SQRT(AC19/L8))</f>
        <v>6.1453469230948977E-3</v>
      </c>
      <c r="M45" s="21">
        <f t="shared" si="48"/>
        <v>6.1453469230948977E-3</v>
      </c>
      <c r="N45" s="21">
        <f t="shared" si="48"/>
        <v>4.3454164820642864E-3</v>
      </c>
      <c r="O45" s="21" t="str">
        <f t="shared" si="48"/>
        <v/>
      </c>
      <c r="P45" s="21" t="str">
        <f t="shared" si="48"/>
        <v/>
      </c>
      <c r="Q45" s="21">
        <f t="shared" si="48"/>
        <v>1.2290693846189795E-2</v>
      </c>
      <c r="R45" s="21" t="str">
        <f t="shared" si="48"/>
        <v/>
      </c>
      <c r="AM45" s="14"/>
      <c r="AN45" s="14"/>
      <c r="AO45" s="14"/>
      <c r="AP45" s="14"/>
      <c r="AQ45" s="14"/>
      <c r="AR45" s="14"/>
    </row>
    <row r="46" spans="11:44" x14ac:dyDescent="0.25">
      <c r="K46" s="3" t="s">
        <v>74</v>
      </c>
      <c r="L46" s="21" t="str">
        <f t="shared" ref="L46:R46" si="49">IF(L9=0,"",SQRT(AC20/L9))</f>
        <v/>
      </c>
      <c r="M46" s="21" t="str">
        <f t="shared" si="49"/>
        <v/>
      </c>
      <c r="N46" s="21">
        <f t="shared" si="49"/>
        <v>8.6908329641285729E-3</v>
      </c>
      <c r="O46" s="21" t="str">
        <f t="shared" si="49"/>
        <v/>
      </c>
      <c r="P46" s="21" t="str">
        <f t="shared" si="49"/>
        <v/>
      </c>
      <c r="Q46" s="21">
        <f t="shared" si="49"/>
        <v>1.7381665928257146E-2</v>
      </c>
      <c r="R46" s="21" t="str">
        <f t="shared" si="49"/>
        <v/>
      </c>
      <c r="AM46" s="14"/>
      <c r="AN46" s="14"/>
      <c r="AO46" s="14"/>
      <c r="AP46" s="14"/>
      <c r="AQ46" s="14"/>
      <c r="AR46" s="14"/>
    </row>
    <row r="47" spans="11:44" x14ac:dyDescent="0.25">
      <c r="K47" s="3" t="s">
        <v>77</v>
      </c>
      <c r="L47" s="21">
        <f t="shared" ref="L47:R47" si="50">IF(L10=0,"",SQRT(AC21/L10))</f>
        <v>1.4484721606880956E-2</v>
      </c>
      <c r="M47" s="21">
        <f t="shared" si="50"/>
        <v>1.4484721606880956E-2</v>
      </c>
      <c r="N47" s="21">
        <f t="shared" si="50"/>
        <v>1.2955528859258322E-2</v>
      </c>
      <c r="O47" s="21">
        <f t="shared" si="50"/>
        <v>0.13741413465359362</v>
      </c>
      <c r="P47" s="21">
        <f t="shared" si="50"/>
        <v>0.10863541205160716</v>
      </c>
      <c r="Q47" s="21">
        <f t="shared" si="50"/>
        <v>2.5911057718516643E-2</v>
      </c>
      <c r="R47" s="21">
        <f t="shared" si="50"/>
        <v>0.11393778138433591</v>
      </c>
      <c r="AM47" s="14"/>
      <c r="AN47" s="14"/>
      <c r="AO47" s="14"/>
      <c r="AP47" s="14"/>
      <c r="AQ47" s="14"/>
      <c r="AR47" s="14"/>
    </row>
    <row r="48" spans="11:44" x14ac:dyDescent="0.25">
      <c r="AM48" s="14"/>
      <c r="AN48" s="14"/>
      <c r="AO48" s="14"/>
      <c r="AP48" s="14"/>
      <c r="AQ48" s="14"/>
      <c r="AR48" s="14"/>
    </row>
    <row r="49" spans="11:44" x14ac:dyDescent="0.25">
      <c r="AM49" s="14"/>
      <c r="AN49" s="14"/>
      <c r="AO49" s="14"/>
      <c r="AP49" s="14"/>
      <c r="AQ49" s="14"/>
      <c r="AR49" s="14"/>
    </row>
    <row r="50" spans="11:44" x14ac:dyDescent="0.25">
      <c r="AM50" s="14"/>
      <c r="AN50" s="14"/>
      <c r="AO50" s="14"/>
      <c r="AP50" s="14"/>
      <c r="AQ50" s="14"/>
      <c r="AR50" s="14"/>
    </row>
    <row r="51" spans="11:44" x14ac:dyDescent="0.25">
      <c r="AM51" s="14"/>
      <c r="AN51" s="14"/>
      <c r="AO51" s="14"/>
      <c r="AP51" s="14"/>
      <c r="AQ51" s="14"/>
      <c r="AR51" s="14"/>
    </row>
    <row r="52" spans="11:44" x14ac:dyDescent="0.25">
      <c r="AM52" s="14"/>
      <c r="AN52" s="14"/>
      <c r="AO52" s="14"/>
      <c r="AP52" s="14"/>
      <c r="AQ52" s="14"/>
      <c r="AR52" s="14"/>
    </row>
    <row r="53" spans="11:44" x14ac:dyDescent="0.25">
      <c r="AM53" s="14"/>
      <c r="AN53" s="14"/>
      <c r="AO53" s="14"/>
      <c r="AP53" s="14"/>
      <c r="AQ53" s="14"/>
      <c r="AR53" s="14"/>
    </row>
    <row r="54" spans="11:44" x14ac:dyDescent="0.25">
      <c r="AM54" s="14"/>
      <c r="AN54" s="14"/>
      <c r="AO54" s="14"/>
      <c r="AP54" s="14"/>
      <c r="AQ54" s="14"/>
      <c r="AR54" s="14"/>
    </row>
    <row r="55" spans="11:44" x14ac:dyDescent="0.25">
      <c r="AM55" s="14"/>
      <c r="AN55" s="14"/>
      <c r="AO55" s="14"/>
      <c r="AP55" s="14"/>
      <c r="AQ55" s="14"/>
      <c r="AR55" s="14"/>
    </row>
    <row r="56" spans="11:44" x14ac:dyDescent="0.25">
      <c r="AM56" s="14"/>
      <c r="AN56" s="14"/>
      <c r="AO56" s="14"/>
      <c r="AP56" s="14"/>
      <c r="AQ56" s="14"/>
      <c r="AR56" s="14"/>
    </row>
    <row r="57" spans="11:44" x14ac:dyDescent="0.25">
      <c r="AM57" s="14"/>
      <c r="AN57" s="14"/>
      <c r="AO57" s="14"/>
      <c r="AP57" s="14"/>
      <c r="AQ57" s="14"/>
      <c r="AR57" s="14"/>
    </row>
    <row r="58" spans="11:44" x14ac:dyDescent="0.25">
      <c r="AM58" s="14"/>
      <c r="AN58" s="14"/>
      <c r="AO58" s="14"/>
      <c r="AP58" s="14"/>
      <c r="AQ58" s="14"/>
      <c r="AR58" s="14"/>
    </row>
    <row r="59" spans="11:44" x14ac:dyDescent="0.25">
      <c r="AM59" s="14"/>
      <c r="AN59" s="14"/>
      <c r="AO59" s="14"/>
      <c r="AP59" s="14"/>
      <c r="AQ59" s="14"/>
      <c r="AR59" s="14"/>
    </row>
    <row r="60" spans="11:44" x14ac:dyDescent="0.25">
      <c r="AM60" s="14"/>
      <c r="AN60" s="14"/>
      <c r="AO60" s="14"/>
      <c r="AP60" s="14"/>
      <c r="AQ60" s="14"/>
      <c r="AR60" s="14"/>
    </row>
    <row r="61" spans="11:44" x14ac:dyDescent="0.25">
      <c r="AM61" s="14"/>
      <c r="AN61" s="14"/>
      <c r="AO61" s="14"/>
      <c r="AP61" s="14"/>
      <c r="AQ61" s="14"/>
      <c r="AR61" s="14"/>
    </row>
    <row r="62" spans="11:44" x14ac:dyDescent="0.25">
      <c r="K62" s="17" t="s">
        <v>121</v>
      </c>
      <c r="L62" s="18"/>
      <c r="M62" s="18"/>
      <c r="N62" s="18"/>
      <c r="O62" s="18"/>
      <c r="P62" s="18"/>
      <c r="Q62" s="18"/>
      <c r="R62" s="18"/>
    </row>
    <row r="63" spans="11:44" x14ac:dyDescent="0.25">
      <c r="K63" s="19" t="s">
        <v>109</v>
      </c>
      <c r="L63" s="19" t="s">
        <v>11</v>
      </c>
      <c r="M63" s="19" t="s">
        <v>9</v>
      </c>
      <c r="N63" s="19" t="s">
        <v>5</v>
      </c>
      <c r="O63" s="19" t="s">
        <v>33</v>
      </c>
      <c r="P63" s="19" t="s">
        <v>60</v>
      </c>
      <c r="Q63" s="19" t="s">
        <v>13</v>
      </c>
      <c r="R63" s="19" t="s">
        <v>39</v>
      </c>
    </row>
    <row r="64" spans="11:44" x14ac:dyDescent="0.25">
      <c r="K64" s="17" t="s">
        <v>4</v>
      </c>
      <c r="L64" s="20">
        <f t="shared" ref="L64:R70" si="51">IF(L4=0,0,L15)</f>
        <v>8.3333333333333367E-3</v>
      </c>
      <c r="M64" s="20">
        <f t="shared" si="51"/>
        <v>8.3333333333333367E-3</v>
      </c>
      <c r="N64" s="20">
        <f t="shared" si="51"/>
        <v>8.3333333333333367E-3</v>
      </c>
      <c r="O64" s="20">
        <f t="shared" si="51"/>
        <v>2.5000000000000012E-2</v>
      </c>
      <c r="P64" s="20">
        <f t="shared" si="51"/>
        <v>0</v>
      </c>
      <c r="Q64" s="20">
        <f t="shared" si="51"/>
        <v>1.6666666666666673E-2</v>
      </c>
      <c r="R64" s="20">
        <f t="shared" si="51"/>
        <v>0</v>
      </c>
    </row>
    <row r="65" spans="11:18" x14ac:dyDescent="0.25">
      <c r="K65" s="17" t="s">
        <v>35</v>
      </c>
      <c r="L65" s="20">
        <f t="shared" si="51"/>
        <v>0</v>
      </c>
      <c r="M65" s="20">
        <f t="shared" si="51"/>
        <v>0</v>
      </c>
      <c r="N65" s="20">
        <f t="shared" si="51"/>
        <v>5.0000000000000018E-3</v>
      </c>
      <c r="O65" s="20">
        <f t="shared" si="51"/>
        <v>0</v>
      </c>
      <c r="P65" s="20">
        <f t="shared" si="51"/>
        <v>0</v>
      </c>
      <c r="Q65" s="20">
        <f t="shared" si="51"/>
        <v>0</v>
      </c>
      <c r="R65" s="20">
        <f t="shared" si="51"/>
        <v>4.1250000000000016E-2</v>
      </c>
    </row>
    <row r="66" spans="11:18" x14ac:dyDescent="0.25">
      <c r="K66" s="17" t="s">
        <v>42</v>
      </c>
      <c r="L66" s="20">
        <f t="shared" si="51"/>
        <v>0</v>
      </c>
      <c r="M66" s="20">
        <f t="shared" si="51"/>
        <v>0</v>
      </c>
      <c r="N66" s="20">
        <f t="shared" si="51"/>
        <v>5.0000000000000018E-3</v>
      </c>
      <c r="O66" s="20">
        <f t="shared" si="51"/>
        <v>0</v>
      </c>
      <c r="P66" s="20">
        <f t="shared" si="51"/>
        <v>0</v>
      </c>
      <c r="Q66" s="20">
        <f t="shared" si="51"/>
        <v>0</v>
      </c>
      <c r="R66" s="20">
        <f t="shared" si="51"/>
        <v>4.1250000000000016E-2</v>
      </c>
    </row>
    <row r="67" spans="11:18" x14ac:dyDescent="0.25">
      <c r="K67" s="17" t="s">
        <v>55</v>
      </c>
      <c r="L67" s="20">
        <f t="shared" si="51"/>
        <v>5.0000000000000018E-3</v>
      </c>
      <c r="M67" s="20">
        <f t="shared" si="51"/>
        <v>5.0000000000000018E-3</v>
      </c>
      <c r="N67" s="20">
        <f t="shared" si="51"/>
        <v>5.0000000000000018E-3</v>
      </c>
      <c r="O67" s="20">
        <f t="shared" si="51"/>
        <v>1.5000000000000006E-2</v>
      </c>
      <c r="P67" s="20">
        <f t="shared" si="51"/>
        <v>1.8750000000000006E-2</v>
      </c>
      <c r="Q67" s="20">
        <f t="shared" si="51"/>
        <v>1.0000000000000004E-2</v>
      </c>
      <c r="R67" s="20">
        <f t="shared" si="51"/>
        <v>0</v>
      </c>
    </row>
    <row r="68" spans="11:18" x14ac:dyDescent="0.25">
      <c r="K68" s="17" t="s">
        <v>63</v>
      </c>
      <c r="L68" s="20">
        <f t="shared" si="51"/>
        <v>5.0000000000000018E-3</v>
      </c>
      <c r="M68" s="20">
        <f t="shared" si="51"/>
        <v>5.0000000000000018E-3</v>
      </c>
      <c r="N68" s="20">
        <f t="shared" si="51"/>
        <v>5.0000000000000018E-3</v>
      </c>
      <c r="O68" s="20">
        <f t="shared" si="51"/>
        <v>0</v>
      </c>
      <c r="P68" s="20">
        <f t="shared" si="51"/>
        <v>0</v>
      </c>
      <c r="Q68" s="20">
        <f t="shared" si="51"/>
        <v>1.0000000000000004E-2</v>
      </c>
      <c r="R68" s="20">
        <f t="shared" si="51"/>
        <v>0</v>
      </c>
    </row>
    <row r="69" spans="11:18" x14ac:dyDescent="0.25">
      <c r="K69" s="17" t="s">
        <v>74</v>
      </c>
      <c r="L69" s="20">
        <f t="shared" si="51"/>
        <v>0</v>
      </c>
      <c r="M69" s="20">
        <f t="shared" si="51"/>
        <v>0</v>
      </c>
      <c r="N69" s="20">
        <f t="shared" si="51"/>
        <v>5.0000000000000018E-3</v>
      </c>
      <c r="O69" s="20">
        <f t="shared" si="51"/>
        <v>0</v>
      </c>
      <c r="P69" s="20">
        <f t="shared" si="51"/>
        <v>0</v>
      </c>
      <c r="Q69" s="20">
        <f t="shared" si="51"/>
        <v>1.0000000000000004E-2</v>
      </c>
      <c r="R69" s="20">
        <f t="shared" si="51"/>
        <v>0</v>
      </c>
    </row>
    <row r="70" spans="11:18" x14ac:dyDescent="0.25">
      <c r="K70" s="17" t="s">
        <v>77</v>
      </c>
      <c r="L70" s="20">
        <f t="shared" si="51"/>
        <v>1.6666666666666673E-2</v>
      </c>
      <c r="M70" s="20">
        <f t="shared" si="51"/>
        <v>1.6666666666666673E-2</v>
      </c>
      <c r="N70" s="20">
        <f t="shared" si="51"/>
        <v>1.6666666666666673E-2</v>
      </c>
      <c r="O70" s="20">
        <f t="shared" si="51"/>
        <v>5.0000000000000024E-2</v>
      </c>
      <c r="P70" s="20">
        <f t="shared" si="51"/>
        <v>6.2500000000000028E-2</v>
      </c>
      <c r="Q70" s="20">
        <f t="shared" si="51"/>
        <v>3.3333333333333347E-2</v>
      </c>
      <c r="R70" s="20">
        <f t="shared" si="51"/>
        <v>0.13750000000000007</v>
      </c>
    </row>
    <row r="71" spans="11:18" x14ac:dyDescent="0.25">
      <c r="K71" s="18"/>
      <c r="L71" s="18"/>
      <c r="M71" s="18"/>
      <c r="N71" s="18"/>
      <c r="O71" s="18"/>
      <c r="P71" s="18"/>
      <c r="Q71" s="18"/>
      <c r="R71" s="18"/>
    </row>
    <row r="72" spans="11:18" x14ac:dyDescent="0.25">
      <c r="K72" s="17" t="s">
        <v>122</v>
      </c>
      <c r="L72" s="18"/>
      <c r="M72" s="18"/>
      <c r="N72" s="18"/>
      <c r="O72" s="18"/>
      <c r="P72" s="18"/>
      <c r="Q72" s="18"/>
      <c r="R72" s="18"/>
    </row>
    <row r="73" spans="11:18" x14ac:dyDescent="0.25">
      <c r="K73" s="19" t="s">
        <v>109</v>
      </c>
      <c r="L73" s="19" t="s">
        <v>11</v>
      </c>
      <c r="M73" s="19" t="s">
        <v>9</v>
      </c>
      <c r="N73" s="19" t="s">
        <v>5</v>
      </c>
      <c r="O73" s="19" t="s">
        <v>33</v>
      </c>
      <c r="P73" s="19" t="s">
        <v>60</v>
      </c>
      <c r="Q73" s="19" t="s">
        <v>13</v>
      </c>
      <c r="R73" s="19" t="s">
        <v>39</v>
      </c>
    </row>
    <row r="74" spans="11:18" x14ac:dyDescent="0.25">
      <c r="K74" s="17" t="s">
        <v>4</v>
      </c>
      <c r="L74" s="20">
        <f>L64/SUM($L$64:$R$70)</f>
        <v>1.4094432699083861E-2</v>
      </c>
      <c r="M74" s="20">
        <f t="shared" ref="M74:R74" si="52">M64/SUM($L$64:$R$70)</f>
        <v>1.4094432699083861E-2</v>
      </c>
      <c r="N74" s="20">
        <f t="shared" si="52"/>
        <v>1.4094432699083861E-2</v>
      </c>
      <c r="O74" s="20">
        <f t="shared" si="52"/>
        <v>4.2283298097251586E-2</v>
      </c>
      <c r="P74" s="20">
        <f t="shared" si="52"/>
        <v>0</v>
      </c>
      <c r="Q74" s="20">
        <f t="shared" si="52"/>
        <v>2.8188865398167721E-2</v>
      </c>
      <c r="R74" s="20">
        <f t="shared" si="52"/>
        <v>0</v>
      </c>
    </row>
    <row r="75" spans="11:18" x14ac:dyDescent="0.25">
      <c r="K75" s="17" t="s">
        <v>35</v>
      </c>
      <c r="L75" s="20">
        <f t="shared" ref="L75:R75" si="53">L65/SUM($L$64:$R$70)</f>
        <v>0</v>
      </c>
      <c r="M75" s="20">
        <f t="shared" si="53"/>
        <v>0</v>
      </c>
      <c r="N75" s="20">
        <f t="shared" si="53"/>
        <v>8.4566596194503157E-3</v>
      </c>
      <c r="O75" s="20">
        <f t="shared" si="53"/>
        <v>0</v>
      </c>
      <c r="P75" s="20">
        <f t="shared" si="53"/>
        <v>0</v>
      </c>
      <c r="Q75" s="20">
        <f t="shared" si="53"/>
        <v>0</v>
      </c>
      <c r="R75" s="20">
        <f t="shared" si="53"/>
        <v>6.9767441860465115E-2</v>
      </c>
    </row>
    <row r="76" spans="11:18" x14ac:dyDescent="0.25">
      <c r="K76" s="17" t="s">
        <v>42</v>
      </c>
      <c r="L76" s="20">
        <f t="shared" ref="L76:R76" si="54">L66/SUM($L$64:$R$70)</f>
        <v>0</v>
      </c>
      <c r="M76" s="20">
        <f t="shared" si="54"/>
        <v>0</v>
      </c>
      <c r="N76" s="20">
        <f t="shared" si="54"/>
        <v>8.4566596194503157E-3</v>
      </c>
      <c r="O76" s="20">
        <f t="shared" si="54"/>
        <v>0</v>
      </c>
      <c r="P76" s="20">
        <f t="shared" si="54"/>
        <v>0</v>
      </c>
      <c r="Q76" s="20">
        <f t="shared" si="54"/>
        <v>0</v>
      </c>
      <c r="R76" s="20">
        <f t="shared" si="54"/>
        <v>6.9767441860465115E-2</v>
      </c>
    </row>
    <row r="77" spans="11:18" x14ac:dyDescent="0.25">
      <c r="K77" s="17" t="s">
        <v>55</v>
      </c>
      <c r="L77" s="20">
        <f t="shared" ref="L77:R77" si="55">L67/SUM($L$64:$R$70)</f>
        <v>8.4566596194503157E-3</v>
      </c>
      <c r="M77" s="20">
        <f t="shared" si="55"/>
        <v>8.4566596194503157E-3</v>
      </c>
      <c r="N77" s="20">
        <f t="shared" si="55"/>
        <v>8.4566596194503157E-3</v>
      </c>
      <c r="O77" s="20">
        <f t="shared" si="55"/>
        <v>2.5369978858350951E-2</v>
      </c>
      <c r="P77" s="20">
        <f t="shared" si="55"/>
        <v>3.1712473572938688E-2</v>
      </c>
      <c r="Q77" s="20">
        <f t="shared" si="55"/>
        <v>1.6913319238900631E-2</v>
      </c>
      <c r="R77" s="20">
        <f t="shared" si="55"/>
        <v>0</v>
      </c>
    </row>
    <row r="78" spans="11:18" x14ac:dyDescent="0.25">
      <c r="K78" s="17" t="s">
        <v>63</v>
      </c>
      <c r="L78" s="20">
        <f t="shared" ref="L78:R78" si="56">L68/SUM($L$64:$R$70)</f>
        <v>8.4566596194503157E-3</v>
      </c>
      <c r="M78" s="20">
        <f t="shared" si="56"/>
        <v>8.4566596194503157E-3</v>
      </c>
      <c r="N78" s="20">
        <f t="shared" si="56"/>
        <v>8.4566596194503157E-3</v>
      </c>
      <c r="O78" s="20">
        <f t="shared" si="56"/>
        <v>0</v>
      </c>
      <c r="P78" s="20">
        <f t="shared" si="56"/>
        <v>0</v>
      </c>
      <c r="Q78" s="20">
        <f t="shared" si="56"/>
        <v>1.6913319238900631E-2</v>
      </c>
      <c r="R78" s="20">
        <f t="shared" si="56"/>
        <v>0</v>
      </c>
    </row>
    <row r="79" spans="11:18" x14ac:dyDescent="0.25">
      <c r="K79" s="17" t="s">
        <v>74</v>
      </c>
      <c r="L79" s="20">
        <f t="shared" ref="L79:R79" si="57">L69/SUM($L$64:$R$70)</f>
        <v>0</v>
      </c>
      <c r="M79" s="20">
        <f t="shared" si="57"/>
        <v>0</v>
      </c>
      <c r="N79" s="20">
        <f t="shared" si="57"/>
        <v>8.4566596194503157E-3</v>
      </c>
      <c r="O79" s="20">
        <f t="shared" si="57"/>
        <v>0</v>
      </c>
      <c r="P79" s="20">
        <f t="shared" si="57"/>
        <v>0</v>
      </c>
      <c r="Q79" s="20">
        <f t="shared" si="57"/>
        <v>1.6913319238900631E-2</v>
      </c>
      <c r="R79" s="20">
        <f t="shared" si="57"/>
        <v>0</v>
      </c>
    </row>
    <row r="80" spans="11:18" x14ac:dyDescent="0.25">
      <c r="K80" s="17" t="s">
        <v>77</v>
      </c>
      <c r="L80" s="20">
        <f t="shared" ref="L80:R80" si="58">L70/SUM($L$64:$R$70)</f>
        <v>2.8188865398167721E-2</v>
      </c>
      <c r="M80" s="20">
        <f t="shared" si="58"/>
        <v>2.8188865398167721E-2</v>
      </c>
      <c r="N80" s="20">
        <f t="shared" si="58"/>
        <v>2.8188865398167721E-2</v>
      </c>
      <c r="O80" s="20">
        <f t="shared" si="58"/>
        <v>8.4566596194503171E-2</v>
      </c>
      <c r="P80" s="20">
        <f t="shared" si="58"/>
        <v>0.10570824524312897</v>
      </c>
      <c r="Q80" s="20">
        <f t="shared" si="58"/>
        <v>5.6377730796335443E-2</v>
      </c>
      <c r="R80" s="20">
        <f t="shared" si="58"/>
        <v>0.23255813953488372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59027-B82C-46E6-8358-06BFF9BE9CE5}">
  <dimension ref="A1:H8"/>
  <sheetViews>
    <sheetView workbookViewId="0">
      <selection activeCell="B7" sqref="B7:C7"/>
    </sheetView>
  </sheetViews>
  <sheetFormatPr defaultRowHeight="15" x14ac:dyDescent="0.25"/>
  <cols>
    <col min="1" max="1" width="17" bestFit="1" customWidth="1"/>
    <col min="2" max="7" width="12" bestFit="1" customWidth="1"/>
    <col min="8" max="8" width="8" bestFit="1" customWidth="1"/>
  </cols>
  <sheetData>
    <row r="1" spans="1:8" x14ac:dyDescent="0.25">
      <c r="A1" s="23" t="s">
        <v>109</v>
      </c>
      <c r="B1" s="23" t="s">
        <v>11</v>
      </c>
      <c r="C1" s="23" t="s">
        <v>9</v>
      </c>
      <c r="D1" s="23" t="s">
        <v>5</v>
      </c>
      <c r="E1" s="23" t="s">
        <v>33</v>
      </c>
      <c r="F1" s="23" t="s">
        <v>60</v>
      </c>
      <c r="G1" s="23" t="s">
        <v>13</v>
      </c>
      <c r="H1" s="23" t="s">
        <v>39</v>
      </c>
    </row>
    <row r="2" spans="1:8" x14ac:dyDescent="0.25">
      <c r="A2" s="23" t="s">
        <v>4</v>
      </c>
      <c r="B2" s="23">
        <v>3.6945812807881776E-3</v>
      </c>
      <c r="C2" s="23">
        <v>5.5418719211822662E-3</v>
      </c>
      <c r="D2" s="23">
        <v>6.5198493190379598E-4</v>
      </c>
      <c r="E2" s="23">
        <v>3.3251231527093597E-2</v>
      </c>
      <c r="F2" s="23">
        <v>0</v>
      </c>
      <c r="G2" s="23">
        <v>1.1083743842364532E-2</v>
      </c>
      <c r="H2" s="23">
        <v>0</v>
      </c>
    </row>
    <row r="3" spans="1:8" x14ac:dyDescent="0.25">
      <c r="A3" s="23" t="s">
        <v>35</v>
      </c>
      <c r="B3" s="23">
        <v>0</v>
      </c>
      <c r="C3" s="23">
        <v>0</v>
      </c>
      <c r="D3" s="23">
        <v>0</v>
      </c>
      <c r="E3" s="23">
        <v>0</v>
      </c>
      <c r="F3" s="23">
        <v>0</v>
      </c>
      <c r="G3" s="23">
        <v>0</v>
      </c>
      <c r="H3" s="23">
        <v>0</v>
      </c>
    </row>
    <row r="4" spans="1:8" x14ac:dyDescent="0.25">
      <c r="A4" s="23" t="s">
        <v>42</v>
      </c>
      <c r="B4" s="23">
        <v>0</v>
      </c>
      <c r="C4" s="23">
        <v>0</v>
      </c>
      <c r="D4" s="23">
        <v>0</v>
      </c>
      <c r="E4" s="23">
        <v>0</v>
      </c>
      <c r="F4" s="23">
        <v>0</v>
      </c>
      <c r="G4" s="23">
        <v>0</v>
      </c>
      <c r="H4" s="23">
        <v>0</v>
      </c>
    </row>
    <row r="5" spans="1:8" x14ac:dyDescent="0.25">
      <c r="A5" s="23" t="s">
        <v>55</v>
      </c>
      <c r="B5" s="23">
        <v>1.1083743842364532E-2</v>
      </c>
      <c r="C5" s="23">
        <v>1.1083743842364532E-2</v>
      </c>
      <c r="D5" s="23">
        <v>1.1083743842364532E-2</v>
      </c>
      <c r="E5" s="23">
        <v>3.3251231527093597E-2</v>
      </c>
      <c r="F5" s="23">
        <v>4.1564039408866993E-2</v>
      </c>
      <c r="G5" s="23">
        <v>2.2167487684729065E-2</v>
      </c>
      <c r="H5" s="23">
        <v>0</v>
      </c>
    </row>
    <row r="6" spans="1:8" x14ac:dyDescent="0.25">
      <c r="A6" s="23" t="s">
        <v>63</v>
      </c>
      <c r="B6" s="23">
        <v>3.6945812807881771E-4</v>
      </c>
      <c r="C6" s="23">
        <v>3.6945812807881771E-4</v>
      </c>
      <c r="D6" s="23">
        <v>1.8472906403940885E-4</v>
      </c>
      <c r="E6" s="23">
        <v>0</v>
      </c>
      <c r="F6" s="23">
        <v>0</v>
      </c>
      <c r="G6" s="23">
        <v>7.3891625615763541E-4</v>
      </c>
      <c r="H6" s="23">
        <v>0</v>
      </c>
    </row>
    <row r="7" spans="1:8" x14ac:dyDescent="0.25">
      <c r="A7" s="23" t="s">
        <v>74</v>
      </c>
      <c r="B7" s="23">
        <v>0</v>
      </c>
      <c r="C7" s="23">
        <v>0</v>
      </c>
      <c r="D7" s="23">
        <v>2.4630541871921183E-3</v>
      </c>
      <c r="E7" s="23">
        <v>0</v>
      </c>
      <c r="F7" s="23">
        <v>0</v>
      </c>
      <c r="G7" s="23">
        <v>4.9261083743842365E-3</v>
      </c>
      <c r="H7" s="23">
        <v>0</v>
      </c>
    </row>
    <row r="8" spans="1:8" x14ac:dyDescent="0.25">
      <c r="A8" s="23" t="s">
        <v>77</v>
      </c>
      <c r="B8" s="23">
        <v>6.157635467980295E-3</v>
      </c>
      <c r="C8" s="23">
        <v>6.157635467980295E-3</v>
      </c>
      <c r="D8" s="23">
        <v>4.9261083743842356E-3</v>
      </c>
      <c r="E8" s="23">
        <v>3.694581280788177E-2</v>
      </c>
      <c r="F8" s="23">
        <v>2.3091133004926104E-2</v>
      </c>
      <c r="G8" s="23">
        <v>9.8522167487684713E-3</v>
      </c>
      <c r="H8" s="23">
        <v>2.5400246305418716E-2</v>
      </c>
    </row>
  </sheetData>
  <conditionalFormatting sqref="B3:C4">
    <cfRule type="cellIs" dxfId="13" priority="13" operator="equal">
      <formula>0</formula>
    </cfRule>
  </conditionalFormatting>
  <conditionalFormatting sqref="B7:C7">
    <cfRule type="cellIs" dxfId="12" priority="1" operator="equal">
      <formula>0</formula>
    </cfRule>
  </conditionalFormatting>
  <conditionalFormatting sqref="E6:F7">
    <cfRule type="cellIs" dxfId="11" priority="2" operator="equal">
      <formula>0</formula>
    </cfRule>
  </conditionalFormatting>
  <conditionalFormatting sqref="E3:G4">
    <cfRule type="cellIs" dxfId="10" priority="6" operator="equal">
      <formula>0</formula>
    </cfRule>
  </conditionalFormatting>
  <conditionalFormatting sqref="F2">
    <cfRule type="cellIs" dxfId="9" priority="5" operator="equal">
      <formula>0</formula>
    </cfRule>
  </conditionalFormatting>
  <conditionalFormatting sqref="H2">
    <cfRule type="cellIs" dxfId="8" priority="4" operator="equal">
      <formula>0</formula>
    </cfRule>
  </conditionalFormatting>
  <conditionalFormatting sqref="H5:H7">
    <cfRule type="cellIs" dxfId="7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723D9-0588-4C96-99BA-388856987497}">
  <dimension ref="A1:H8"/>
  <sheetViews>
    <sheetView workbookViewId="0">
      <selection activeCell="C7" sqref="B7:C7"/>
    </sheetView>
  </sheetViews>
  <sheetFormatPr defaultRowHeight="15" x14ac:dyDescent="0.25"/>
  <cols>
    <col min="1" max="1" width="17" bestFit="1" customWidth="1"/>
    <col min="2" max="8" width="12" bestFit="1" customWidth="1"/>
  </cols>
  <sheetData>
    <row r="1" spans="1:8" x14ac:dyDescent="0.25">
      <c r="A1" s="23" t="s">
        <v>109</v>
      </c>
      <c r="B1" s="23" t="s">
        <v>11</v>
      </c>
      <c r="C1" s="23" t="s">
        <v>9</v>
      </c>
      <c r="D1" s="23" t="s">
        <v>5</v>
      </c>
      <c r="E1" s="23" t="s">
        <v>33</v>
      </c>
      <c r="F1" s="23" t="s">
        <v>60</v>
      </c>
      <c r="G1" s="23" t="s">
        <v>13</v>
      </c>
      <c r="H1" s="23" t="s">
        <v>39</v>
      </c>
    </row>
    <row r="2" spans="1:8" x14ac:dyDescent="0.25">
      <c r="A2" s="23" t="s">
        <v>4</v>
      </c>
      <c r="B2" s="23">
        <v>1.4484721606880956E-2</v>
      </c>
      <c r="C2" s="23">
        <v>1.7740088501562386E-2</v>
      </c>
      <c r="D2" s="23">
        <v>6.0848001566416784E-3</v>
      </c>
      <c r="E2" s="23">
        <v>0.16829725667370202</v>
      </c>
      <c r="F2" s="23">
        <v>0</v>
      </c>
      <c r="G2" s="23">
        <v>3.5480177003124773E-2</v>
      </c>
      <c r="H2" s="23">
        <v>0</v>
      </c>
    </row>
    <row r="3" spans="1:8" x14ac:dyDescent="0.25">
      <c r="A3" s="23" t="s">
        <v>35</v>
      </c>
      <c r="B3" s="23">
        <v>0</v>
      </c>
      <c r="C3" s="23">
        <v>0</v>
      </c>
      <c r="D3" s="23">
        <v>8.6908329641285729E-3</v>
      </c>
      <c r="E3" s="23">
        <v>0</v>
      </c>
      <c r="F3" s="23">
        <v>0</v>
      </c>
      <c r="G3" s="23">
        <v>0</v>
      </c>
      <c r="H3" s="23">
        <v>0.11840761575560713</v>
      </c>
    </row>
    <row r="4" spans="1:8" x14ac:dyDescent="0.25">
      <c r="A4" s="23" t="s">
        <v>42</v>
      </c>
      <c r="B4" s="23">
        <v>0</v>
      </c>
      <c r="C4" s="23">
        <v>0</v>
      </c>
      <c r="D4" s="23">
        <v>4.5386394920940345E-3</v>
      </c>
      <c r="E4" s="23">
        <v>0</v>
      </c>
      <c r="F4" s="23">
        <v>0</v>
      </c>
      <c r="G4" s="23">
        <v>0</v>
      </c>
      <c r="H4" s="23">
        <v>0.16745365608984178</v>
      </c>
    </row>
    <row r="5" spans="1:8" x14ac:dyDescent="0.25">
      <c r="A5" s="23" t="s">
        <v>55</v>
      </c>
      <c r="B5" s="23">
        <v>1.5052964253965115E-2</v>
      </c>
      <c r="C5" s="23">
        <v>1.5052964253965115E-2</v>
      </c>
      <c r="D5" s="23">
        <v>1.5052964253965115E-2</v>
      </c>
      <c r="E5" s="23">
        <v>0.10097835400422121</v>
      </c>
      <c r="F5" s="23">
        <v>0.11289723190473835</v>
      </c>
      <c r="G5" s="23">
        <v>3.010592850793023E-2</v>
      </c>
      <c r="H5" s="23">
        <v>0</v>
      </c>
    </row>
    <row r="6" spans="1:8" x14ac:dyDescent="0.25">
      <c r="A6" s="23" t="s">
        <v>63</v>
      </c>
      <c r="B6" s="23">
        <v>1.0644053100937433E-2</v>
      </c>
      <c r="C6" s="23">
        <v>1.0644053100937433E-2</v>
      </c>
      <c r="D6" s="23">
        <v>7.5264821269825574E-3</v>
      </c>
      <c r="E6" s="23">
        <v>0</v>
      </c>
      <c r="F6" s="23">
        <v>0</v>
      </c>
      <c r="G6" s="23">
        <v>2.1288106201874865E-2</v>
      </c>
      <c r="H6" s="23">
        <v>0</v>
      </c>
    </row>
    <row r="7" spans="1:8" x14ac:dyDescent="0.25">
      <c r="A7" s="23" t="s">
        <v>74</v>
      </c>
      <c r="B7" s="23">
        <v>0</v>
      </c>
      <c r="C7" s="23">
        <v>0</v>
      </c>
      <c r="D7" s="23">
        <v>1.5052964253965115E-2</v>
      </c>
      <c r="E7" s="23">
        <v>0</v>
      </c>
      <c r="F7" s="23">
        <v>0</v>
      </c>
      <c r="G7" s="23">
        <v>3.010592850793023E-2</v>
      </c>
      <c r="H7" s="23">
        <v>0</v>
      </c>
    </row>
    <row r="8" spans="1:8" x14ac:dyDescent="0.25">
      <c r="A8" s="23" t="s">
        <v>77</v>
      </c>
      <c r="B8" s="23">
        <v>2.5088273756608527E-2</v>
      </c>
      <c r="C8" s="23">
        <v>2.5088273756608527E-2</v>
      </c>
      <c r="D8" s="23">
        <v>2.2439634223160271E-2</v>
      </c>
      <c r="E8" s="23">
        <v>0.23800826289813526</v>
      </c>
      <c r="F8" s="23">
        <v>0.18816205317456391</v>
      </c>
      <c r="G8" s="23">
        <v>4.4879268446320543E-2</v>
      </c>
      <c r="H8" s="23">
        <v>0.19734602625934522</v>
      </c>
    </row>
  </sheetData>
  <conditionalFormatting sqref="B3:C4">
    <cfRule type="cellIs" dxfId="6" priority="31" operator="equal">
      <formula>0</formula>
    </cfRule>
  </conditionalFormatting>
  <conditionalFormatting sqref="B7:C7">
    <cfRule type="cellIs" dxfId="5" priority="1" operator="equal">
      <formula>0</formula>
    </cfRule>
  </conditionalFormatting>
  <conditionalFormatting sqref="E6:F7">
    <cfRule type="cellIs" dxfId="4" priority="2" operator="equal">
      <formula>0</formula>
    </cfRule>
  </conditionalFormatting>
  <conditionalFormatting sqref="E3:G4">
    <cfRule type="cellIs" dxfId="3" priority="6" operator="equal">
      <formula>0</formula>
    </cfRule>
  </conditionalFormatting>
  <conditionalFormatting sqref="F2">
    <cfRule type="cellIs" dxfId="2" priority="5" operator="equal">
      <formula>0</formula>
    </cfRule>
  </conditionalFormatting>
  <conditionalFormatting sqref="H2">
    <cfRule type="cellIs" dxfId="1" priority="4" operator="equal">
      <formula>0</formula>
    </cfRule>
  </conditionalFormatting>
  <conditionalFormatting sqref="H5:H7">
    <cfRule type="cellIs" dxfId="0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35052-3B6C-4C98-9DC1-B8D2DC56BD45}">
  <dimension ref="A1:H8"/>
  <sheetViews>
    <sheetView workbookViewId="0">
      <selection activeCell="E11" sqref="E11"/>
    </sheetView>
  </sheetViews>
  <sheetFormatPr defaultRowHeight="15" x14ac:dyDescent="0.25"/>
  <sheetData>
    <row r="1" spans="1:8" x14ac:dyDescent="0.25">
      <c r="A1" s="4" t="s">
        <v>109</v>
      </c>
      <c r="B1" s="4" t="s">
        <v>11</v>
      </c>
      <c r="C1" s="4" t="s">
        <v>9</v>
      </c>
      <c r="D1" s="4" t="s">
        <v>5</v>
      </c>
      <c r="E1" s="4" t="s">
        <v>33</v>
      </c>
      <c r="F1" s="4" t="s">
        <v>60</v>
      </c>
      <c r="G1" s="4" t="s">
        <v>13</v>
      </c>
      <c r="H1" s="4" t="s">
        <v>39</v>
      </c>
    </row>
    <row r="2" spans="1:8" x14ac:dyDescent="0.25">
      <c r="A2" s="3" t="s">
        <v>4</v>
      </c>
      <c r="B2">
        <v>3</v>
      </c>
      <c r="C2">
        <v>2</v>
      </c>
      <c r="D2">
        <v>17</v>
      </c>
      <c r="E2">
        <v>1</v>
      </c>
      <c r="F2">
        <v>0</v>
      </c>
      <c r="G2">
        <v>2</v>
      </c>
      <c r="H2">
        <v>0</v>
      </c>
    </row>
    <row r="3" spans="1:8" x14ac:dyDescent="0.25">
      <c r="A3" s="3" t="s">
        <v>35</v>
      </c>
      <c r="B3">
        <v>0</v>
      </c>
      <c r="C3">
        <v>0</v>
      </c>
      <c r="D3">
        <v>3</v>
      </c>
      <c r="E3">
        <v>0</v>
      </c>
      <c r="F3">
        <v>0</v>
      </c>
      <c r="G3">
        <v>0</v>
      </c>
      <c r="H3">
        <v>2</v>
      </c>
    </row>
    <row r="4" spans="1:8" x14ac:dyDescent="0.25">
      <c r="A4" s="3" t="s">
        <v>42</v>
      </c>
      <c r="B4">
        <v>0</v>
      </c>
      <c r="C4">
        <v>0</v>
      </c>
      <c r="D4">
        <v>11</v>
      </c>
      <c r="E4">
        <v>0</v>
      </c>
      <c r="F4">
        <v>0</v>
      </c>
      <c r="G4">
        <v>0</v>
      </c>
      <c r="H4">
        <v>1</v>
      </c>
    </row>
    <row r="5" spans="1:8" x14ac:dyDescent="0.25">
      <c r="A5" s="3" t="s">
        <v>55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</row>
    <row r="6" spans="1:8" x14ac:dyDescent="0.25">
      <c r="A6" s="3" t="s">
        <v>63</v>
      </c>
      <c r="B6">
        <v>2</v>
      </c>
      <c r="C6">
        <v>2</v>
      </c>
      <c r="D6">
        <v>4</v>
      </c>
      <c r="E6">
        <v>0</v>
      </c>
      <c r="F6">
        <v>0</v>
      </c>
      <c r="G6">
        <v>2</v>
      </c>
      <c r="H6">
        <v>0</v>
      </c>
    </row>
    <row r="7" spans="1:8" x14ac:dyDescent="0.25">
      <c r="A7" s="3" t="s">
        <v>74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0</v>
      </c>
    </row>
    <row r="8" spans="1:8" x14ac:dyDescent="0.25">
      <c r="A8" s="3" t="s">
        <v>77</v>
      </c>
      <c r="B8">
        <v>4</v>
      </c>
      <c r="C8">
        <v>4</v>
      </c>
      <c r="D8">
        <v>5</v>
      </c>
      <c r="E8">
        <v>2</v>
      </c>
      <c r="F8">
        <v>4</v>
      </c>
      <c r="G8">
        <v>5</v>
      </c>
      <c r="H8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ASCIX</vt:lpstr>
      <vt:lpstr>Mean</vt:lpstr>
      <vt:lpstr>Stdev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Siddarth Ramkumar</dc:creator>
  <cp:lastModifiedBy>Tanishk Deoghare</cp:lastModifiedBy>
  <cp:lastPrinted>2024-07-30T18:05:52Z</cp:lastPrinted>
  <dcterms:created xsi:type="dcterms:W3CDTF">2024-07-30T04:51:34Z</dcterms:created>
  <dcterms:modified xsi:type="dcterms:W3CDTF">2024-08-12T18:37:50Z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2024-07-30T04:52:47Z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33f82b04-8063-4f27-b05f-ce131c5780db</vt:lpwstr>
  </property>
  <property fmtid="{D5CDD505-2E9C-101B-9397-08002B2CF9AE}" pid="7" name="MSIP_Label_defa4170-0d19-0005-0004-bc88714345d2_ActionId">
    <vt:lpwstr>e1f193ab-7125-41b3-9e1e-ee912b369347</vt:lpwstr>
  </property>
  <property fmtid="{D5CDD505-2E9C-101B-9397-08002B2CF9AE}" pid="8" name="MSIP_Label_defa4170-0d19-0005-0004-bc88714345d2_ContentBits">
    <vt:lpwstr>0</vt:lpwstr>
  </property>
</Properties>
</file>