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Desktop\ALL\2nd same isi\ISI project\"/>
    </mc:Choice>
  </mc:AlternateContent>
  <xr:revisionPtr revIDLastSave="0" documentId="13_ncr:1_{50D8980D-3129-49E9-9AD8-5CE37ED99138}" xr6:coauthVersionLast="47" xr6:coauthVersionMax="47" xr10:uidLastSave="{00000000-0000-0000-0000-000000000000}"/>
  <bookViews>
    <workbookView xWindow="-108" yWindow="-108" windowWidth="23256" windowHeight="12456" xr2:uid="{7A18C521-378F-49CF-88A8-9349008D2179}"/>
  </bookViews>
  <sheets>
    <sheet name="Sheet1" sheetId="1" r:id="rId1"/>
  </sheets>
  <definedNames>
    <definedName name="solver_adj" localSheetId="0" hidden="1">Sheet1!$E$4:$E$6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Sheet1!$J$13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H25" i="1"/>
  <c r="G30" i="1" s="1" a="1"/>
  <c r="G30" i="1" s="1"/>
  <c r="M30" i="1" s="1"/>
  <c r="I25" i="1"/>
  <c r="I26" i="1"/>
  <c r="I24" i="1"/>
  <c r="H26" i="1"/>
  <c r="H24" i="1"/>
  <c r="G26" i="1"/>
  <c r="G25" i="1"/>
  <c r="G24" i="1"/>
  <c r="W4" i="1"/>
  <c r="W5" i="1"/>
  <c r="W6" i="1"/>
  <c r="W7" i="1"/>
  <c r="W8" i="1"/>
  <c r="W9" i="1"/>
  <c r="W10" i="1"/>
  <c r="W11" i="1"/>
  <c r="W12" i="1"/>
  <c r="W3" i="1"/>
  <c r="C24" i="1"/>
  <c r="C28" i="1"/>
  <c r="AD4" i="1"/>
  <c r="AD5" i="1"/>
  <c r="AD6" i="1"/>
  <c r="AD7" i="1"/>
  <c r="AD8" i="1"/>
  <c r="AD9" i="1"/>
  <c r="AD10" i="1"/>
  <c r="AD11" i="1"/>
  <c r="AD12" i="1"/>
  <c r="AD3" i="1"/>
  <c r="AC4" i="1"/>
  <c r="AC5" i="1"/>
  <c r="AC6" i="1"/>
  <c r="AC7" i="1"/>
  <c r="AC8" i="1"/>
  <c r="AC9" i="1"/>
  <c r="AC10" i="1"/>
  <c r="AC11" i="1"/>
  <c r="AC12" i="1"/>
  <c r="AC3" i="1"/>
  <c r="E13" i="1"/>
  <c r="E14" i="1"/>
  <c r="AA4" i="1"/>
  <c r="AA5" i="1"/>
  <c r="AA6" i="1"/>
  <c r="AA7" i="1"/>
  <c r="AA8" i="1"/>
  <c r="AA9" i="1"/>
  <c r="AA10" i="1"/>
  <c r="AA11" i="1"/>
  <c r="AA12" i="1"/>
  <c r="AA3" i="1"/>
  <c r="Z4" i="1"/>
  <c r="Z5" i="1"/>
  <c r="Z6" i="1"/>
  <c r="Z7" i="1"/>
  <c r="Z8" i="1"/>
  <c r="Z9" i="1"/>
  <c r="Z10" i="1"/>
  <c r="Z11" i="1"/>
  <c r="Z12" i="1"/>
  <c r="Z3" i="1"/>
  <c r="Y4" i="1"/>
  <c r="Y5" i="1"/>
  <c r="Y6" i="1"/>
  <c r="Y7" i="1"/>
  <c r="Y8" i="1"/>
  <c r="Y9" i="1"/>
  <c r="Y10" i="1"/>
  <c r="Y11" i="1"/>
  <c r="Y12" i="1"/>
  <c r="Y3" i="1"/>
  <c r="T4" i="1"/>
  <c r="T5" i="1"/>
  <c r="T6" i="1"/>
  <c r="T7" i="1"/>
  <c r="I19" i="1" s="1"/>
  <c r="T8" i="1"/>
  <c r="T9" i="1"/>
  <c r="T10" i="1"/>
  <c r="T11" i="1"/>
  <c r="T12" i="1"/>
  <c r="T3" i="1"/>
  <c r="I18" i="1"/>
  <c r="S3" i="1"/>
  <c r="S4" i="1"/>
  <c r="S5" i="1"/>
  <c r="S6" i="1"/>
  <c r="S7" i="1"/>
  <c r="S8" i="1"/>
  <c r="S9" i="1"/>
  <c r="S10" i="1"/>
  <c r="S11" i="1"/>
  <c r="S12" i="1"/>
  <c r="R4" i="1"/>
  <c r="R5" i="1"/>
  <c r="R6" i="1"/>
  <c r="R7" i="1"/>
  <c r="R8" i="1"/>
  <c r="R9" i="1"/>
  <c r="R10" i="1"/>
  <c r="R11" i="1"/>
  <c r="R12" i="1"/>
  <c r="R3" i="1"/>
  <c r="N3" i="1"/>
  <c r="N4" i="1"/>
  <c r="N5" i="1"/>
  <c r="N6" i="1"/>
  <c r="N7" i="1"/>
  <c r="N8" i="1"/>
  <c r="N9" i="1"/>
  <c r="N10" i="1"/>
  <c r="N11" i="1"/>
  <c r="N12" i="1"/>
  <c r="E9" i="1"/>
  <c r="E11" i="1" s="1"/>
  <c r="B14" i="1"/>
  <c r="E10" i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3" i="1"/>
  <c r="J3" i="1" s="1"/>
  <c r="I2" i="1"/>
  <c r="J2" i="1" s="1"/>
  <c r="H32" i="1" l="1"/>
  <c r="I30" i="1"/>
  <c r="I31" i="1"/>
  <c r="H30" i="1"/>
  <c r="G31" i="1"/>
  <c r="G32" i="1"/>
  <c r="I32" i="1"/>
  <c r="M32" i="1" s="1"/>
  <c r="H31" i="1"/>
  <c r="M31" i="1" s="1"/>
  <c r="C27" i="1"/>
  <c r="C25" i="1"/>
  <c r="C23" i="1"/>
  <c r="J13" i="1"/>
  <c r="I17" i="1"/>
</calcChain>
</file>

<file path=xl/sharedStrings.xml><?xml version="1.0" encoding="utf-8"?>
<sst xmlns="http://schemas.openxmlformats.org/spreadsheetml/2006/main" count="41" uniqueCount="36">
  <si>
    <t>no. of defects</t>
  </si>
  <si>
    <t>frequency</t>
  </si>
  <si>
    <t>W=</t>
  </si>
  <si>
    <t>theta=</t>
  </si>
  <si>
    <t>phi=</t>
  </si>
  <si>
    <t>pi</t>
  </si>
  <si>
    <t>ni*ln(pi)</t>
  </si>
  <si>
    <t>loglikelihood=</t>
  </si>
  <si>
    <t>1st score equation=</t>
  </si>
  <si>
    <t>2nd score equation=</t>
  </si>
  <si>
    <t>3rd score equation=</t>
  </si>
  <si>
    <t>P0=</t>
  </si>
  <si>
    <t>n0=</t>
  </si>
  <si>
    <t>n</t>
  </si>
  <si>
    <t>n=</t>
  </si>
  <si>
    <t>sum(2nd sc)</t>
  </si>
  <si>
    <t>sum(3rd sc equ.)</t>
  </si>
  <si>
    <t>Z=</t>
  </si>
  <si>
    <t>e^(-theta/(1+phi))=</t>
  </si>
  <si>
    <t>W^2</t>
  </si>
  <si>
    <t>theta*W=</t>
  </si>
  <si>
    <t>phi*w=</t>
  </si>
  <si>
    <t>thete^2</t>
  </si>
  <si>
    <t>theta^2=</t>
  </si>
  <si>
    <t>phi^2</t>
  </si>
  <si>
    <t>phi^2=</t>
  </si>
  <si>
    <t>theta*phi=</t>
  </si>
  <si>
    <t>theta*phi</t>
  </si>
  <si>
    <t>w</t>
  </si>
  <si>
    <t>Fisher's information matrix</t>
  </si>
  <si>
    <t>theta</t>
  </si>
  <si>
    <t>phi</t>
  </si>
  <si>
    <t>j=</t>
  </si>
  <si>
    <t>j^-1</t>
  </si>
  <si>
    <t>w=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</si>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</sst>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3" fillId="3" borderId="0" xfId="2"/>
    <xf numFmtId="0" fontId="5" fillId="5" borderId="0" xfId="4"/>
    <xf numFmtId="0" fontId="2" fillId="2" borderId="0" xfId="1"/>
    <xf numFmtId="0" fontId="4" fillId="4" borderId="0" xfId="3"/>
    <xf numFmtId="0" fontId="1" fillId="7" borderId="0" xfId="6"/>
    <xf numFmtId="0" fontId="1" fillId="6" borderId="0" xfId="5"/>
    <xf numFmtId="0" fontId="3" fillId="3" borderId="0" xfId="2" applyAlignment="1">
      <alignment horizontal="center"/>
    </xf>
    <xf numFmtId="0" fontId="1" fillId="8" borderId="0" xfId="5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 applyAlignment="1">
      <alignment horizontal="justify" vertical="center"/>
    </xf>
    <xf numFmtId="0" fontId="0" fillId="14" borderId="0" xfId="0" applyFill="1"/>
    <xf numFmtId="0" fontId="0" fillId="15" borderId="0" xfId="0" applyFill="1"/>
    <xf numFmtId="0" fontId="0" fillId="13" borderId="0" xfId="0" applyFill="1"/>
  </cellXfs>
  <cellStyles count="7">
    <cellStyle name="60% - Accent1" xfId="5" builtinId="32"/>
    <cellStyle name="60% - Accent5" xfId="6" builtinId="48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8739-B9F6-402D-838A-BBE68D4A1166}">
  <dimension ref="A1:AD32"/>
  <sheetViews>
    <sheetView tabSelected="1" topLeftCell="A10" zoomScale="106" workbookViewId="0">
      <selection activeCell="K23" sqref="K23"/>
    </sheetView>
  </sheetViews>
  <sheetFormatPr defaultRowHeight="14.4" x14ac:dyDescent="0.3"/>
  <cols>
    <col min="9" max="9" width="12" bestFit="1" customWidth="1"/>
  </cols>
  <sheetData>
    <row r="1" spans="1:30" x14ac:dyDescent="0.3">
      <c r="A1" s="1" t="s">
        <v>0</v>
      </c>
      <c r="B1" s="1" t="s">
        <v>1</v>
      </c>
      <c r="I1" s="3" t="s">
        <v>5</v>
      </c>
      <c r="J1" s="4" t="s">
        <v>6</v>
      </c>
      <c r="N1" s="2" t="s">
        <v>15</v>
      </c>
      <c r="R1" s="1"/>
      <c r="S1" s="1" t="s">
        <v>16</v>
      </c>
      <c r="T1" s="1"/>
      <c r="W1" s="11" t="s">
        <v>22</v>
      </c>
      <c r="Y1" s="12"/>
      <c r="Z1" s="12"/>
      <c r="AA1" s="12" t="s">
        <v>24</v>
      </c>
      <c r="AC1" s="13"/>
      <c r="AD1" s="13" t="s">
        <v>27</v>
      </c>
    </row>
    <row r="2" spans="1:30" x14ac:dyDescent="0.3">
      <c r="A2" s="7">
        <v>0</v>
      </c>
      <c r="B2" s="7">
        <v>49</v>
      </c>
      <c r="I2" s="3">
        <f>E4+(1-E4)*EXP(-(E5/(1+E6)))</f>
        <v>0.48999973534698255</v>
      </c>
      <c r="J2" s="4">
        <f>B2*LN(I2)</f>
        <v>-34.954170971304663</v>
      </c>
      <c r="N2" s="2"/>
      <c r="R2" s="1"/>
      <c r="S2" s="1"/>
      <c r="T2" s="1"/>
      <c r="W2" s="11"/>
      <c r="Y2" s="12"/>
      <c r="Z2" s="12"/>
      <c r="AA2" s="12"/>
      <c r="AC2" s="13"/>
      <c r="AD2" s="13"/>
    </row>
    <row r="3" spans="1:30" x14ac:dyDescent="0.3">
      <c r="A3" s="7">
        <v>1</v>
      </c>
      <c r="B3" s="7">
        <v>8</v>
      </c>
      <c r="I3" s="3">
        <f>(1-$E$4)*(($E$5*($E$5+($E$6*A3))^(A3-1))/((1+$E$6)^A3)*FACT(A3))*EXP(-($E$5+($E$6*A3))/(1+$E$6))</f>
        <v>5.2223299242823575E-2</v>
      </c>
      <c r="J3" s="4">
        <f t="shared" ref="J3:J12" si="0">B3*LN(I3)</f>
        <v>-23.617812304225364</v>
      </c>
      <c r="N3" s="2">
        <f>B3*(A3-1)*(1/($E$5+(A3*$E$6)))</f>
        <v>0</v>
      </c>
      <c r="R3" s="1">
        <f>B3*A3*(A3-1)*(1/($E$5+(A3*$E$6)))</f>
        <v>0</v>
      </c>
      <c r="S3" s="1">
        <f>A3*B3*(1/(1+$E$6))</f>
        <v>6.0607073955365767</v>
      </c>
      <c r="T3" s="1">
        <f>(A3-$E$5)*(B3)*(1/(1+$E$6)^2)</f>
        <v>-15.144415750070815</v>
      </c>
      <c r="W3" s="11">
        <f>(B3*(A3-1))/($E$5+(A3*$E$6))^2</f>
        <v>0</v>
      </c>
      <c r="Y3" s="12">
        <f>(B3*A3^2*(A3-1))/($E$5+(A3*$E$6))^2</f>
        <v>0</v>
      </c>
      <c r="Z3" s="12">
        <f>(A3*B3)</f>
        <v>8</v>
      </c>
      <c r="AA3" s="12">
        <f>B3*(A3-$E$5)</f>
        <v>-26.386747608798814</v>
      </c>
      <c r="AC3" s="13">
        <f>(B3*(A3-1)*A3)/($E$5+(A3*$E$6))^2</f>
        <v>0</v>
      </c>
      <c r="AD3" s="13">
        <f>B3/(1+$E$6)^2</f>
        <v>4.5915217667889685</v>
      </c>
    </row>
    <row r="4" spans="1:30" x14ac:dyDescent="0.3">
      <c r="A4" s="7">
        <v>2</v>
      </c>
      <c r="B4" s="7">
        <v>5</v>
      </c>
      <c r="D4" s="6" t="s">
        <v>2</v>
      </c>
      <c r="E4" s="6">
        <v>0.46956317177616858</v>
      </c>
      <c r="I4" s="3">
        <f t="shared" ref="I4:I12" si="1">(1-$E$4)*(($E$5*($E$5+($E$6*A4))^(A4-1))/((1+$E$6)^A4)*FACT(A4))*EXP(-($E$5+($E$6*A4))/(1+$E$6))</f>
        <v>0.30663874620472903</v>
      </c>
      <c r="J4" s="4">
        <f t="shared" si="0"/>
        <v>-5.9104247336829303</v>
      </c>
      <c r="N4" s="2">
        <f t="shared" ref="N4:N12" si="2">B4*(A4-1)*(1/($E$5+(A4*$E$6)))</f>
        <v>1.0124943195582774</v>
      </c>
      <c r="R4" s="1">
        <f t="shared" ref="R4:R12" si="3">B4*A4*(A4-1)*(1/($E$5+(A4*$E$6)))</f>
        <v>2.0249886391165548</v>
      </c>
      <c r="S4" s="1">
        <f t="shared" ref="S4:S12" si="4">A4*B4*(1/(1+$E$6))</f>
        <v>7.5758842444207204</v>
      </c>
      <c r="T4" s="1">
        <f t="shared" ref="T4:T12" si="5">(A4-$E$5)*(B4)*(1/(1+$E$6)^2)</f>
        <v>-6.5955587395511541</v>
      </c>
      <c r="W4" s="11">
        <f t="shared" ref="W4:W12" si="6">(B4*(A4-1))/($E$5+(A4*$E$6))^2</f>
        <v>0.20502894942755581</v>
      </c>
      <c r="Y4" s="12">
        <f t="shared" ref="Y4:Y12" si="7">(B4*A4^2*(A4-1))/($E$5+(A4*$E$6))^2</f>
        <v>0.82011579771022325</v>
      </c>
      <c r="Z4" s="12">
        <f t="shared" ref="Z4:Z12" si="8">(A4*B4)</f>
        <v>10</v>
      </c>
      <c r="AA4" s="12">
        <f t="shared" ref="AA4:AA12" si="9">B4*(A4-$E$5)</f>
        <v>-11.491717255499259</v>
      </c>
      <c r="AC4" s="13">
        <f t="shared" ref="AC4:AC12" si="10">(B4*(A4-1)*A4)/($E$5+(A4*$E$6))^2</f>
        <v>0.41005789885511162</v>
      </c>
      <c r="AD4" s="13">
        <f t="shared" ref="AD4:AD12" si="11">B4/(1+$E$6)^2</f>
        <v>2.8697011042431053</v>
      </c>
    </row>
    <row r="5" spans="1:30" x14ac:dyDescent="0.3">
      <c r="A5" s="7">
        <v>3</v>
      </c>
      <c r="B5" s="7">
        <v>8</v>
      </c>
      <c r="D5" s="6" t="s">
        <v>3</v>
      </c>
      <c r="E5" s="6">
        <v>4.2983434510998517</v>
      </c>
      <c r="I5" s="3">
        <f t="shared" si="1"/>
        <v>3.0620562012791703</v>
      </c>
      <c r="J5" s="4">
        <f t="shared" si="0"/>
        <v>8.9526932120143226</v>
      </c>
      <c r="N5" s="2">
        <f t="shared" si="2"/>
        <v>3.042821682812527</v>
      </c>
      <c r="R5" s="1">
        <f t="shared" si="3"/>
        <v>9.1284650484375813</v>
      </c>
      <c r="S5" s="1">
        <f t="shared" si="4"/>
        <v>18.182122186609732</v>
      </c>
      <c r="T5" s="1">
        <f t="shared" si="5"/>
        <v>-5.9613722164928777</v>
      </c>
      <c r="W5" s="11">
        <f t="shared" si="6"/>
        <v>0.57867273708712874</v>
      </c>
      <c r="Y5" s="12">
        <f t="shared" si="7"/>
        <v>5.2080546337841582</v>
      </c>
      <c r="Z5" s="12">
        <f t="shared" si="8"/>
        <v>24</v>
      </c>
      <c r="AA5" s="12">
        <f t="shared" si="9"/>
        <v>-10.386747608798814</v>
      </c>
      <c r="AC5" s="13">
        <f t="shared" si="10"/>
        <v>1.7360182112613862</v>
      </c>
      <c r="AD5" s="13">
        <f t="shared" si="11"/>
        <v>4.5915217667889685</v>
      </c>
    </row>
    <row r="6" spans="1:30" x14ac:dyDescent="0.3">
      <c r="A6" s="7">
        <v>4</v>
      </c>
      <c r="B6" s="7">
        <v>7</v>
      </c>
      <c r="D6" s="6" t="s">
        <v>4</v>
      </c>
      <c r="E6" s="6">
        <v>0.31997792962115618</v>
      </c>
      <c r="I6" s="3">
        <f t="shared" si="1"/>
        <v>45.712675278584989</v>
      </c>
      <c r="J6" s="4">
        <f t="shared" si="0"/>
        <v>26.756629324858825</v>
      </c>
      <c r="N6" s="2">
        <f t="shared" si="2"/>
        <v>3.764618032266223</v>
      </c>
      <c r="R6" s="1">
        <f t="shared" si="3"/>
        <v>15.058472129064892</v>
      </c>
      <c r="S6" s="1">
        <f t="shared" si="4"/>
        <v>21.212475884378019</v>
      </c>
      <c r="T6" s="1">
        <f t="shared" si="5"/>
        <v>-1.1986191434909208</v>
      </c>
      <c r="W6" s="11">
        <f t="shared" si="6"/>
        <v>0.67487375851733378</v>
      </c>
      <c r="Y6" s="12">
        <f t="shared" si="7"/>
        <v>10.79798013627734</v>
      </c>
      <c r="Z6" s="12">
        <f t="shared" si="8"/>
        <v>28</v>
      </c>
      <c r="AA6" s="12">
        <f t="shared" si="9"/>
        <v>-2.088404157698962</v>
      </c>
      <c r="AC6" s="13">
        <f t="shared" si="10"/>
        <v>2.6994950340693351</v>
      </c>
      <c r="AD6" s="13">
        <f t="shared" si="11"/>
        <v>4.0175815459403479</v>
      </c>
    </row>
    <row r="7" spans="1:30" x14ac:dyDescent="0.3">
      <c r="A7" s="7">
        <v>5</v>
      </c>
      <c r="B7" s="7">
        <v>6</v>
      </c>
      <c r="I7" s="3">
        <f t="shared" si="1"/>
        <v>947.44620727567553</v>
      </c>
      <c r="J7" s="4">
        <f t="shared" si="0"/>
        <v>41.122620972126541</v>
      </c>
      <c r="N7" s="2">
        <f t="shared" si="2"/>
        <v>4.0690151773134051</v>
      </c>
      <c r="R7" s="1">
        <f t="shared" si="3"/>
        <v>20.345075886567024</v>
      </c>
      <c r="S7" s="1">
        <f t="shared" si="4"/>
        <v>22.727652733262161</v>
      </c>
      <c r="T7" s="1">
        <f t="shared" si="5"/>
        <v>2.4162534878137945</v>
      </c>
      <c r="W7" s="11">
        <f t="shared" si="6"/>
        <v>0.68987018805028499</v>
      </c>
      <c r="Y7" s="12">
        <f t="shared" si="7"/>
        <v>17.246754701257125</v>
      </c>
      <c r="Z7" s="12">
        <f t="shared" si="8"/>
        <v>30</v>
      </c>
      <c r="AA7" s="12">
        <f t="shared" si="9"/>
        <v>4.2099392934008897</v>
      </c>
      <c r="AC7" s="13">
        <f t="shared" si="10"/>
        <v>3.4493509402514246</v>
      </c>
      <c r="AD7" s="13">
        <f t="shared" si="11"/>
        <v>3.4436413250917264</v>
      </c>
    </row>
    <row r="8" spans="1:30" x14ac:dyDescent="0.3">
      <c r="A8" s="7">
        <v>6</v>
      </c>
      <c r="B8" s="7">
        <v>4</v>
      </c>
      <c r="I8" s="3">
        <f t="shared" si="1"/>
        <v>25959.760914403538</v>
      </c>
      <c r="J8" s="4">
        <f t="shared" si="0"/>
        <v>40.657211844027508</v>
      </c>
      <c r="N8" s="2">
        <f t="shared" si="2"/>
        <v>3.2163591597780612</v>
      </c>
      <c r="R8" s="1">
        <f t="shared" si="3"/>
        <v>19.298154958668366</v>
      </c>
      <c r="S8" s="1">
        <f t="shared" si="4"/>
        <v>18.182122186609732</v>
      </c>
      <c r="T8" s="1">
        <f t="shared" si="5"/>
        <v>3.9065965419370139</v>
      </c>
      <c r="W8" s="11">
        <f t="shared" si="6"/>
        <v>0.5172483122344117</v>
      </c>
      <c r="Y8" s="12">
        <f t="shared" si="7"/>
        <v>18.620939240438823</v>
      </c>
      <c r="Z8" s="12">
        <f t="shared" si="8"/>
        <v>24</v>
      </c>
      <c r="AA8" s="12">
        <f t="shared" si="9"/>
        <v>6.8066261956005931</v>
      </c>
      <c r="AC8" s="13">
        <f t="shared" si="10"/>
        <v>3.1034898734064704</v>
      </c>
      <c r="AD8" s="13">
        <f t="shared" si="11"/>
        <v>2.2957608833944843</v>
      </c>
    </row>
    <row r="9" spans="1:30" x14ac:dyDescent="0.3">
      <c r="A9" s="7">
        <v>7</v>
      </c>
      <c r="B9" s="7">
        <v>5</v>
      </c>
      <c r="D9" s="6" t="s">
        <v>11</v>
      </c>
      <c r="E9" s="6">
        <f>E4+((1-E4)*EXP(-(E5/(1+E6))))</f>
        <v>0.48999973534698255</v>
      </c>
      <c r="I9" s="3">
        <f t="shared" si="1"/>
        <v>907761.10936379479</v>
      </c>
      <c r="J9" s="4">
        <f t="shared" si="0"/>
        <v>68.593682637767188</v>
      </c>
      <c r="N9" s="2">
        <f t="shared" si="2"/>
        <v>4.5884265796933299</v>
      </c>
      <c r="R9" s="1">
        <f t="shared" si="3"/>
        <v>32.118986057853306</v>
      </c>
      <c r="S9" s="1">
        <f t="shared" si="4"/>
        <v>26.515594855472521</v>
      </c>
      <c r="T9" s="1">
        <f t="shared" si="5"/>
        <v>7.7529467816643729</v>
      </c>
      <c r="W9" s="11">
        <f t="shared" si="6"/>
        <v>0.70178861590787445</v>
      </c>
      <c r="Y9" s="12">
        <f t="shared" si="7"/>
        <v>34.387642179485844</v>
      </c>
      <c r="Z9" s="12">
        <f t="shared" si="8"/>
        <v>35</v>
      </c>
      <c r="AA9" s="12">
        <f t="shared" si="9"/>
        <v>13.508282744500741</v>
      </c>
      <c r="AC9" s="13">
        <f t="shared" si="10"/>
        <v>4.912520311355121</v>
      </c>
      <c r="AD9" s="13">
        <f t="shared" si="11"/>
        <v>2.8697011042431053</v>
      </c>
    </row>
    <row r="10" spans="1:30" x14ac:dyDescent="0.3">
      <c r="A10" s="7">
        <v>8</v>
      </c>
      <c r="B10" s="7">
        <v>4</v>
      </c>
      <c r="D10" s="6" t="s">
        <v>12</v>
      </c>
      <c r="E10" s="6">
        <f>B2</f>
        <v>49</v>
      </c>
      <c r="I10" s="3">
        <f t="shared" si="1"/>
        <v>39439229.058655106</v>
      </c>
      <c r="J10" s="4">
        <f t="shared" si="0"/>
        <v>69.961086161253263</v>
      </c>
      <c r="N10" s="2">
        <f t="shared" si="2"/>
        <v>4.0827236281914576</v>
      </c>
      <c r="R10" s="1">
        <f t="shared" si="3"/>
        <v>32.661789025531661</v>
      </c>
      <c r="S10" s="1">
        <f t="shared" si="4"/>
        <v>24.242829582146307</v>
      </c>
      <c r="T10" s="1">
        <f t="shared" si="5"/>
        <v>8.4981183087259815</v>
      </c>
      <c r="W10" s="11">
        <f t="shared" si="6"/>
        <v>0.59530829372117211</v>
      </c>
      <c r="Y10" s="12">
        <f t="shared" si="7"/>
        <v>38.099730798155015</v>
      </c>
      <c r="Z10" s="12">
        <f t="shared" si="8"/>
        <v>32</v>
      </c>
      <c r="AA10" s="12">
        <f t="shared" si="9"/>
        <v>14.806626195600593</v>
      </c>
      <c r="AC10" s="13">
        <f t="shared" si="10"/>
        <v>4.7624663497693769</v>
      </c>
      <c r="AD10" s="13">
        <f t="shared" si="11"/>
        <v>2.2957608833944843</v>
      </c>
    </row>
    <row r="11" spans="1:30" x14ac:dyDescent="0.3">
      <c r="A11" s="7">
        <v>9</v>
      </c>
      <c r="B11" s="7">
        <v>3</v>
      </c>
      <c r="D11" s="6" t="s">
        <v>14</v>
      </c>
      <c r="E11" s="6">
        <f>E10/E9</f>
        <v>100.00005401084906</v>
      </c>
      <c r="I11" s="3">
        <f t="shared" si="1"/>
        <v>2084335523.5978754</v>
      </c>
      <c r="J11" s="4">
        <f t="shared" si="0"/>
        <v>64.373147843056486</v>
      </c>
      <c r="N11" s="2">
        <f t="shared" si="2"/>
        <v>3.3434822798298716</v>
      </c>
      <c r="R11" s="1">
        <f t="shared" si="3"/>
        <v>30.091340518468844</v>
      </c>
      <c r="S11" s="1">
        <f t="shared" si="4"/>
        <v>20.454887459935946</v>
      </c>
      <c r="T11" s="1">
        <f t="shared" si="5"/>
        <v>8.0954093940903498</v>
      </c>
      <c r="W11" s="11">
        <f t="shared" si="6"/>
        <v>0.46578640648068154</v>
      </c>
      <c r="Y11" s="12">
        <f t="shared" si="7"/>
        <v>37.728698924935202</v>
      </c>
      <c r="Z11" s="12">
        <f t="shared" si="8"/>
        <v>27</v>
      </c>
      <c r="AA11" s="12">
        <f t="shared" si="9"/>
        <v>14.104969646700445</v>
      </c>
      <c r="AC11" s="13">
        <f t="shared" si="10"/>
        <v>4.1920776583261334</v>
      </c>
      <c r="AD11" s="13">
        <f t="shared" si="11"/>
        <v>1.7218206625458632</v>
      </c>
    </row>
    <row r="12" spans="1:30" x14ac:dyDescent="0.3">
      <c r="A12" s="7">
        <v>10</v>
      </c>
      <c r="B12" s="7">
        <v>1</v>
      </c>
      <c r="I12" s="3">
        <f t="shared" si="1"/>
        <v>131703748332.85347</v>
      </c>
      <c r="J12" s="4">
        <f t="shared" si="0"/>
        <v>25.60382090643607</v>
      </c>
      <c r="N12" s="2">
        <f t="shared" si="2"/>
        <v>1.2003004356293197</v>
      </c>
      <c r="R12" s="1">
        <f t="shared" si="3"/>
        <v>12.003004356293197</v>
      </c>
      <c r="S12" s="1">
        <f t="shared" si="4"/>
        <v>7.5758842444207204</v>
      </c>
      <c r="T12" s="1">
        <f t="shared" si="5"/>
        <v>3.2724100188787375</v>
      </c>
      <c r="W12" s="11">
        <f t="shared" si="6"/>
        <v>0.16008012619688161</v>
      </c>
      <c r="Y12" s="12">
        <f t="shared" si="7"/>
        <v>16.008012619688159</v>
      </c>
      <c r="Z12" s="12">
        <f t="shared" si="8"/>
        <v>10</v>
      </c>
      <c r="AA12" s="12">
        <f t="shared" si="9"/>
        <v>5.7016565489001483</v>
      </c>
      <c r="AC12" s="13">
        <f t="shared" si="10"/>
        <v>1.6008012619688161</v>
      </c>
      <c r="AD12" s="13">
        <f t="shared" si="11"/>
        <v>0.57394022084862106</v>
      </c>
    </row>
    <row r="13" spans="1:30" x14ac:dyDescent="0.3">
      <c r="A13" s="1"/>
      <c r="B13" s="1"/>
      <c r="D13" s="8" t="s">
        <v>17</v>
      </c>
      <c r="E13" s="9">
        <f>(E4+(1-E4)*EXP(-(E5/(1+E6))))</f>
        <v>0.48999973534698255</v>
      </c>
      <c r="I13" t="s">
        <v>7</v>
      </c>
      <c r="J13" s="4">
        <f>SUM(J2:J12)</f>
        <v>281.53848489232723</v>
      </c>
    </row>
    <row r="14" spans="1:30" x14ac:dyDescent="0.3">
      <c r="A14" s="1" t="s">
        <v>13</v>
      </c>
      <c r="B14" s="1">
        <f>SUM(B2:B12)</f>
        <v>100</v>
      </c>
      <c r="D14" s="8" t="s">
        <v>18</v>
      </c>
      <c r="E14" s="9">
        <f>EXP(-(E5/(1+E6)))</f>
        <v>3.8527799133491282E-2</v>
      </c>
    </row>
    <row r="17" spans="2:13" x14ac:dyDescent="0.3">
      <c r="G17" s="5" t="s">
        <v>8</v>
      </c>
      <c r="H17" s="5"/>
      <c r="I17" s="5">
        <f>(E11*(1-EXP(-E5/(1+E6))))-((B14-B2)/(1-E4))</f>
        <v>1.0182333915054187E-4</v>
      </c>
    </row>
    <row r="18" spans="2:13" x14ac:dyDescent="0.3">
      <c r="G18" s="5" t="s">
        <v>9</v>
      </c>
      <c r="H18" s="5"/>
      <c r="I18" s="5">
        <f>-(E11*((1-E4)/(1+E6))*EXP(-(E5/(1+E6))))+((B14-B2)*((1/E5)-(1/(1+E6))))+SUM(N3:N12)</f>
        <v>1.6462040793641108E-5</v>
      </c>
    </row>
    <row r="19" spans="2:13" x14ac:dyDescent="0.3">
      <c r="G19" s="5" t="s">
        <v>10</v>
      </c>
      <c r="H19" s="5"/>
      <c r="I19" s="5">
        <f>(E11*(1-E4)*EXP(-(E5/(1+E6)))*(E5/(1+E6)^2))+SUM(R3:R12)-SUM(S3:S12)-SUM(T3:T12)</f>
        <v>3.4157922488731174E-5</v>
      </c>
    </row>
    <row r="22" spans="2:13" ht="46.8" x14ac:dyDescent="0.3">
      <c r="I22" s="14" t="s">
        <v>29</v>
      </c>
    </row>
    <row r="23" spans="2:13" x14ac:dyDescent="0.3">
      <c r="B23" s="10" t="s">
        <v>19</v>
      </c>
      <c r="C23" s="10">
        <f>(-E10*((1-E14)^2))/(E13)^2-((B14-E10)/(1-E4)^2)</f>
        <v>-369.91950068026807</v>
      </c>
      <c r="F23" s="10"/>
      <c r="G23" s="12" t="s">
        <v>28</v>
      </c>
      <c r="H23" s="12" t="s">
        <v>30</v>
      </c>
      <c r="I23" s="12" t="s">
        <v>31</v>
      </c>
      <c r="K23" s="12"/>
    </row>
    <row r="24" spans="2:13" x14ac:dyDescent="0.3">
      <c r="B24" s="10" t="s">
        <v>20</v>
      </c>
      <c r="C24" s="10">
        <f>(E10*E14)/((1+E6)*(E13)^2)</f>
        <v>5.956784933137941</v>
      </c>
      <c r="F24" s="10" t="s">
        <v>28</v>
      </c>
      <c r="G24" s="15">
        <f>-C23</f>
        <v>369.91950068026807</v>
      </c>
      <c r="H24" s="15">
        <f>-C24</f>
        <v>-5.956784933137941</v>
      </c>
      <c r="I24" s="15">
        <f>-C25</f>
        <v>19.397526983130973</v>
      </c>
    </row>
    <row r="25" spans="2:13" x14ac:dyDescent="0.3">
      <c r="B25" s="10" t="s">
        <v>21</v>
      </c>
      <c r="C25" s="10">
        <f>(-E10*E5*E14)/(((1+E6)^2 )*(E13)^2)</f>
        <v>-19.397526983130973</v>
      </c>
      <c r="E25" s="11" t="s">
        <v>32</v>
      </c>
      <c r="F25" s="10" t="s">
        <v>30</v>
      </c>
      <c r="G25" s="15">
        <f>-C24</f>
        <v>-5.956784933137941</v>
      </c>
      <c r="H25" s="15">
        <f>-C26</f>
        <v>6.2250143382881342</v>
      </c>
      <c r="I25" s="15">
        <f>-C28</f>
        <v>8.261076558438063E-2</v>
      </c>
    </row>
    <row r="26" spans="2:13" x14ac:dyDescent="0.3">
      <c r="B26" s="10" t="s">
        <v>23</v>
      </c>
      <c r="C26" s="10">
        <f>(E10*(1-E4)*E4*E14)/(((1+E6)*E13)^2)-((B14-E10)/E5^2)-SUM(W3:W12)</f>
        <v>-6.2250143382881342</v>
      </c>
      <c r="F26" s="10" t="s">
        <v>31</v>
      </c>
      <c r="G26" s="15">
        <f>-C25</f>
        <v>19.397526983130973</v>
      </c>
      <c r="H26" s="15">
        <f>-C28</f>
        <v>8.261076558438063E-2</v>
      </c>
      <c r="I26" s="15">
        <f>-C27</f>
        <v>36.140379564240412</v>
      </c>
    </row>
    <row r="27" spans="2:13" x14ac:dyDescent="0.3">
      <c r="B27" s="10" t="s">
        <v>25</v>
      </c>
      <c r="C27" s="10">
        <f>(E10*(1-E4)*E5*E14*((E4*E5)-(2*(1+E6)*E13))/((1+E6)^4*(E13)^2))-SUM(Y3:Y12)+(SUM(Z3:Z12)/(1+E6)^2)+((2*SUM(AA3:AA12))/(1+E6)^3)</f>
        <v>-36.140379564240412</v>
      </c>
    </row>
    <row r="28" spans="2:13" x14ac:dyDescent="0.3">
      <c r="B28" s="10" t="s">
        <v>26</v>
      </c>
      <c r="C28" s="10">
        <f>((E10*(1-E4)*E14*(-(E5*E4)+((1+E6)*E13)))/((1+E6)^3 *E13^2))-SUM(AC3:AC12)+SUM(AD3:AD12)</f>
        <v>-8.261076558438063E-2</v>
      </c>
    </row>
    <row r="29" spans="2:13" x14ac:dyDescent="0.3">
      <c r="H29" s="17" t="s">
        <v>33</v>
      </c>
      <c r="L29" s="16"/>
      <c r="M29" s="16" t="s">
        <v>35</v>
      </c>
    </row>
    <row r="30" spans="2:13" x14ac:dyDescent="0.3">
      <c r="G30" s="15">
        <f t="array" ref="G30:I32">MINVERSE(G24:I26)</f>
        <v>2.827072045150781E-3</v>
      </c>
      <c r="H30" s="15">
        <v>2.7254757538125013E-3</v>
      </c>
      <c r="I30" s="15">
        <v>-1.5235966135827427E-3</v>
      </c>
      <c r="L30" s="16" t="s">
        <v>34</v>
      </c>
      <c r="M30" s="16">
        <f>SQRT(G30)</f>
        <v>5.3170217651903412E-2</v>
      </c>
    </row>
    <row r="31" spans="2:13" x14ac:dyDescent="0.3">
      <c r="G31" s="15">
        <v>2.7254757538125009E-3</v>
      </c>
      <c r="H31" s="15">
        <v>0.16327460397559135</v>
      </c>
      <c r="I31" s="15">
        <v>-1.836055135873945E-3</v>
      </c>
      <c r="L31" s="16" t="s">
        <v>3</v>
      </c>
      <c r="M31" s="16">
        <f>SQRT(H31)</f>
        <v>0.40407252316334424</v>
      </c>
    </row>
    <row r="32" spans="2:13" x14ac:dyDescent="0.3">
      <c r="G32" s="15">
        <v>-1.5235966135827429E-3</v>
      </c>
      <c r="H32" s="15">
        <v>-1.8360551358739445E-3</v>
      </c>
      <c r="I32" s="15">
        <v>2.8491833698466855E-2</v>
      </c>
      <c r="L32" s="16" t="s">
        <v>4</v>
      </c>
      <c r="M32" s="16">
        <f>SQRT(I32)</f>
        <v>0.16879524193076906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GAYEN</dc:creator>
  <cp:lastModifiedBy>TANMAY GAYEN</cp:lastModifiedBy>
  <dcterms:created xsi:type="dcterms:W3CDTF">2025-04-07T06:10:06Z</dcterms:created>
  <dcterms:modified xsi:type="dcterms:W3CDTF">2025-04-15T08:35:52Z</dcterms:modified>
</cp:coreProperties>
</file>