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may\Downloads\"/>
    </mc:Choice>
  </mc:AlternateContent>
  <xr:revisionPtr revIDLastSave="0" documentId="13_ncr:1_{D0761C30-2700-4973-AE76-92E298E3D4AF}" xr6:coauthVersionLast="47" xr6:coauthVersionMax="47" xr10:uidLastSave="{00000000-0000-0000-0000-000000000000}"/>
  <bookViews>
    <workbookView xWindow="-120" yWindow="-120" windowWidth="51840" windowHeight="20925" tabRatio="578" xr2:uid="{0B5D40DD-E95E-497D-8BEC-451F1050BECD}"/>
  </bookViews>
  <sheets>
    <sheet name="FormationSplitting" sheetId="4" r:id="rId1"/>
    <sheet name="Table - Considerations" sheetId="11" r:id="rId2"/>
    <sheet name="Table - References" sheetId="19" r:id="rId3"/>
    <sheet name="Charts - Power" sheetId="16" r:id="rId4"/>
  </sheets>
  <definedNames>
    <definedName name="_xlnm._FilterDatabase" localSheetId="0" hidden="1">FormationSplitting!#REF!</definedName>
    <definedName name="_xlnm._FilterDatabase" localSheetId="2" hidden="1">'Table - References'!$A$1:$G$11</definedName>
    <definedName name="Table_Aero">_xlfn.ANCHORARRAY(#REF!)</definedName>
    <definedName name="Table_PT">_xlfn.ANCHORARRAY('Table - Considerations'!$F$2)</definedName>
    <definedName name="Table_Tests" localSheetId="2">_xlfn.ANCHORARRAY('Table - References'!$F$2)</definedName>
    <definedName name="Table_Tests">_xlfn.ANCHORARRAY(#REF!)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Z4" i="4"/>
  <c r="H5" i="4"/>
  <c r="Z5" i="4"/>
  <c r="H6" i="4" l="1"/>
  <c r="H2" i="4"/>
  <c r="H3" i="4"/>
  <c r="B2" i="19" a="1"/>
  <c r="B2" i="19" s="1"/>
  <c r="A2" i="19" s="1" a="1"/>
  <c r="A2" i="19" s="1"/>
  <c r="B5" i="16" l="1"/>
  <c r="AE4" i="4" l="1"/>
  <c r="AE6" i="4"/>
  <c r="AE5" i="4"/>
  <c r="AE2" i="4"/>
  <c r="AE3" i="4"/>
  <c r="D2" i="19" l="1" a="1"/>
  <c r="D2" i="19" s="1"/>
  <c r="F1" i="19" s="1" a="1"/>
  <c r="F1" i="19" s="1"/>
  <c r="AA5" i="4" l="1"/>
  <c r="AB5" i="4"/>
  <c r="AC5" i="4"/>
  <c r="AD5" i="4"/>
  <c r="I30" i="16" l="1"/>
  <c r="I31" i="16"/>
  <c r="I32" i="16"/>
  <c r="I33" i="16"/>
  <c r="I34" i="16"/>
  <c r="I35" i="16"/>
  <c r="I36" i="16"/>
  <c r="I37" i="16"/>
  <c r="B30" i="16" l="1"/>
  <c r="H24" i="16" s="1"/>
  <c r="F24" i="16"/>
  <c r="I24" i="16"/>
  <c r="I25" i="16"/>
  <c r="I26" i="16"/>
  <c r="I27" i="16"/>
  <c r="I28" i="16"/>
  <c r="I29" i="16"/>
  <c r="I23" i="16"/>
  <c r="F4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3" i="16"/>
  <c r="B10" i="16"/>
  <c r="H16" i="16" s="1"/>
  <c r="H25" i="16" l="1"/>
  <c r="G25" i="16" s="1"/>
  <c r="G16" i="16"/>
  <c r="H31" i="16"/>
  <c r="H32" i="16"/>
  <c r="H33" i="16"/>
  <c r="H34" i="16"/>
  <c r="H35" i="16"/>
  <c r="H36" i="16"/>
  <c r="H37" i="16"/>
  <c r="H30" i="16"/>
  <c r="H23" i="16"/>
  <c r="H29" i="16"/>
  <c r="H28" i="16"/>
  <c r="H27" i="16"/>
  <c r="H26" i="16"/>
  <c r="G24" i="16"/>
  <c r="H15" i="16"/>
  <c r="H14" i="16"/>
  <c r="H13" i="16"/>
  <c r="H12" i="16"/>
  <c r="H3" i="16"/>
  <c r="H10" i="16"/>
  <c r="H9" i="16"/>
  <c r="H8" i="16"/>
  <c r="H6" i="16"/>
  <c r="H4" i="16"/>
  <c r="H17" i="16"/>
  <c r="H11" i="16"/>
  <c r="H7" i="16"/>
  <c r="H5" i="16"/>
  <c r="G4" i="16" l="1"/>
  <c r="G28" i="16"/>
  <c r="G6" i="16"/>
  <c r="G17" i="16"/>
  <c r="G11" i="16"/>
  <c r="G29" i="16"/>
  <c r="G34" i="16"/>
  <c r="G3" i="16"/>
  <c r="G32" i="16"/>
  <c r="G27" i="16"/>
  <c r="G36" i="16"/>
  <c r="G30" i="16"/>
  <c r="G8" i="16"/>
  <c r="G9" i="16"/>
  <c r="G37" i="16"/>
  <c r="G10" i="16"/>
  <c r="G35" i="16"/>
  <c r="G12" i="16"/>
  <c r="G13" i="16"/>
  <c r="G33" i="16"/>
  <c r="G14" i="16"/>
  <c r="G15" i="16"/>
  <c r="G31" i="16"/>
  <c r="G23" i="16"/>
  <c r="G5" i="16"/>
  <c r="G7" i="16"/>
  <c r="G26" i="16"/>
  <c r="F25" i="16"/>
  <c r="F5" i="16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26" i="16" l="1"/>
  <c r="J25" i="16"/>
  <c r="J24" i="16"/>
  <c r="AD6" i="4"/>
  <c r="AD4" i="4"/>
  <c r="AD2" i="4"/>
  <c r="AD3" i="4"/>
  <c r="AC6" i="4"/>
  <c r="AC4" i="4"/>
  <c r="AC2" i="4"/>
  <c r="AC3" i="4"/>
  <c r="AB6" i="4"/>
  <c r="AB4" i="4"/>
  <c r="AB2" i="4"/>
  <c r="AB3" i="4"/>
  <c r="AA6" i="4"/>
  <c r="AA4" i="4"/>
  <c r="AA2" i="4"/>
  <c r="AA3" i="4"/>
  <c r="Z6" i="4"/>
  <c r="Z2" i="4"/>
  <c r="Z3" i="4"/>
  <c r="B2" i="11" a="1"/>
  <c r="B2" i="11" s="1"/>
  <c r="A2" i="11" s="1" a="1"/>
  <c r="A2" i="11" s="1"/>
  <c r="K24" i="16" l="1"/>
  <c r="L24" i="16" s="1"/>
  <c r="N24" i="16" s="1"/>
  <c r="O24" i="16"/>
  <c r="K25" i="16"/>
  <c r="L25" i="16" s="1"/>
  <c r="M25" i="16" s="1"/>
  <c r="O25" i="16"/>
  <c r="M24" i="16"/>
  <c r="F27" i="16"/>
  <c r="J26" i="16"/>
  <c r="J8" i="16"/>
  <c r="J13" i="16"/>
  <c r="J17" i="16"/>
  <c r="J6" i="16"/>
  <c r="J7" i="16"/>
  <c r="J11" i="16"/>
  <c r="J12" i="16"/>
  <c r="J9" i="16"/>
  <c r="J10" i="16"/>
  <c r="J14" i="16"/>
  <c r="J15" i="16"/>
  <c r="J5" i="16"/>
  <c r="J4" i="16"/>
  <c r="J3" i="16"/>
  <c r="J23" i="16"/>
  <c r="J16" i="16"/>
  <c r="D2" i="11" a="1"/>
  <c r="N25" i="16" l="1"/>
  <c r="K7" i="16"/>
  <c r="L7" i="16" s="1"/>
  <c r="N7" i="16" s="1"/>
  <c r="O7" i="16"/>
  <c r="K11" i="16"/>
  <c r="L11" i="16" s="1"/>
  <c r="M11" i="16" s="1"/>
  <c r="O11" i="16"/>
  <c r="K16" i="16"/>
  <c r="L16" i="16" s="1"/>
  <c r="M16" i="16" s="1"/>
  <c r="O16" i="16"/>
  <c r="K12" i="16"/>
  <c r="L12" i="16" s="1"/>
  <c r="N12" i="16" s="1"/>
  <c r="O12" i="16"/>
  <c r="K6" i="16"/>
  <c r="L6" i="16" s="1"/>
  <c r="M6" i="16" s="1"/>
  <c r="O6" i="16"/>
  <c r="K23" i="16"/>
  <c r="L23" i="16" s="1"/>
  <c r="M23" i="16" s="1"/>
  <c r="O23" i="16"/>
  <c r="K17" i="16"/>
  <c r="L17" i="16" s="1"/>
  <c r="M17" i="16" s="1"/>
  <c r="O17" i="16"/>
  <c r="K13" i="16"/>
  <c r="L13" i="16" s="1"/>
  <c r="M13" i="16" s="1"/>
  <c r="O13" i="16"/>
  <c r="K8" i="16"/>
  <c r="L8" i="16" s="1"/>
  <c r="M8" i="16" s="1"/>
  <c r="O8" i="16"/>
  <c r="K26" i="16"/>
  <c r="L26" i="16" s="1"/>
  <c r="M26" i="16" s="1"/>
  <c r="O26" i="16"/>
  <c r="K3" i="16"/>
  <c r="L3" i="16" s="1"/>
  <c r="M3" i="16" s="1"/>
  <c r="O3" i="16"/>
  <c r="K4" i="16"/>
  <c r="L4" i="16" s="1"/>
  <c r="M4" i="16" s="1"/>
  <c r="O4" i="16"/>
  <c r="K5" i="16"/>
  <c r="L5" i="16" s="1"/>
  <c r="M5" i="16" s="1"/>
  <c r="O5" i="16"/>
  <c r="K15" i="16"/>
  <c r="L15" i="16" s="1"/>
  <c r="M15" i="16" s="1"/>
  <c r="O15" i="16"/>
  <c r="K14" i="16"/>
  <c r="L14" i="16" s="1"/>
  <c r="M14" i="16" s="1"/>
  <c r="O14" i="16"/>
  <c r="K10" i="16"/>
  <c r="L10" i="16" s="1"/>
  <c r="M10" i="16" s="1"/>
  <c r="O10" i="16"/>
  <c r="K9" i="16"/>
  <c r="L9" i="16" s="1"/>
  <c r="M9" i="16" s="1"/>
  <c r="O9" i="16"/>
  <c r="F28" i="16"/>
  <c r="J27" i="16"/>
  <c r="D2" i="11"/>
  <c r="F1" i="11" s="1" a="1"/>
  <c r="F1" i="11" s="1"/>
  <c r="N3" i="16" l="1"/>
  <c r="M12" i="16"/>
  <c r="N16" i="16"/>
  <c r="N26" i="16"/>
  <c r="N9" i="16"/>
  <c r="M7" i="16"/>
  <c r="N14" i="16"/>
  <c r="N8" i="16"/>
  <c r="N6" i="16"/>
  <c r="N15" i="16"/>
  <c r="N10" i="16"/>
  <c r="N5" i="16"/>
  <c r="N23" i="16"/>
  <c r="K27" i="16"/>
  <c r="L27" i="16" s="1"/>
  <c r="N27" i="16" s="1"/>
  <c r="O27" i="16"/>
  <c r="N4" i="16"/>
  <c r="N17" i="16"/>
  <c r="N13" i="16"/>
  <c r="N11" i="16"/>
  <c r="F29" i="16"/>
  <c r="F30" i="16" s="1"/>
  <c r="J28" i="16"/>
  <c r="M27" i="16" l="1"/>
  <c r="K28" i="16"/>
  <c r="L28" i="16" s="1"/>
  <c r="M28" i="16" s="1"/>
  <c r="O28" i="16"/>
  <c r="F31" i="16"/>
  <c r="J30" i="16"/>
  <c r="J29" i="16"/>
  <c r="N28" i="16" l="1"/>
  <c r="K29" i="16"/>
  <c r="L29" i="16" s="1"/>
  <c r="O29" i="16"/>
  <c r="K30" i="16"/>
  <c r="L30" i="16" s="1"/>
  <c r="M30" i="16" s="1"/>
  <c r="O30" i="16"/>
  <c r="N30" i="16"/>
  <c r="F32" i="16"/>
  <c r="J31" i="16"/>
  <c r="N29" i="16"/>
  <c r="M29" i="16"/>
  <c r="K31" i="16" l="1"/>
  <c r="L31" i="16" s="1"/>
  <c r="N31" i="16" s="1"/>
  <c r="O31" i="16"/>
  <c r="F33" i="16"/>
  <c r="J32" i="16"/>
  <c r="M31" i="16" l="1"/>
  <c r="K32" i="16"/>
  <c r="L32" i="16" s="1"/>
  <c r="M32" i="16" s="1"/>
  <c r="O32" i="16"/>
  <c r="F34" i="16"/>
  <c r="J33" i="16"/>
  <c r="N32" i="16" l="1"/>
  <c r="K33" i="16"/>
  <c r="L33" i="16" s="1"/>
  <c r="M33" i="16" s="1"/>
  <c r="O33" i="16"/>
  <c r="F35" i="16"/>
  <c r="J34" i="16"/>
  <c r="N33" i="16" l="1"/>
  <c r="K34" i="16"/>
  <c r="L34" i="16" s="1"/>
  <c r="M34" i="16" s="1"/>
  <c r="O34" i="16"/>
  <c r="J35" i="16"/>
  <c r="F36" i="16"/>
  <c r="N34" i="16" l="1"/>
  <c r="K35" i="16"/>
  <c r="L35" i="16" s="1"/>
  <c r="M35" i="16" s="1"/>
  <c r="O35" i="16"/>
  <c r="J36" i="16"/>
  <c r="F37" i="16"/>
  <c r="J37" i="16" s="1"/>
  <c r="N35" i="16" l="1"/>
  <c r="K37" i="16"/>
  <c r="L37" i="16" s="1"/>
  <c r="O37" i="16"/>
  <c r="K36" i="16"/>
  <c r="L36" i="16" s="1"/>
  <c r="M36" i="16" s="1"/>
  <c r="O36" i="16"/>
  <c r="M37" i="16"/>
  <c r="N37" i="16"/>
  <c r="N36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<sst xmlns="http://schemas.openxmlformats.org/spreadsheetml/2006/main" count="160" uniqueCount="105">
  <si>
    <t>Year</t>
  </si>
  <si>
    <t>Notes</t>
  </si>
  <si>
    <t>DOI</t>
  </si>
  <si>
    <t>Publisher</t>
  </si>
  <si>
    <t>journal-article</t>
  </si>
  <si>
    <t>Publication</t>
  </si>
  <si>
    <t>Validation</t>
  </si>
  <si>
    <t>Powertrain</t>
  </si>
  <si>
    <t>Vehicle</t>
  </si>
  <si>
    <t>Control</t>
  </si>
  <si>
    <t>Sim</t>
  </si>
  <si>
    <t>-</t>
  </si>
  <si>
    <t>N</t>
  </si>
  <si>
    <t>Novelty</t>
  </si>
  <si>
    <t>Case</t>
  </si>
  <si>
    <t>Target</t>
  </si>
  <si>
    <t>Strategy</t>
  </si>
  <si>
    <t>Platoon size</t>
  </si>
  <si>
    <t>Demonstration of integrated longitudinal and lateral control for the operation of automated vehicles in platoons</t>
  </si>
  <si>
    <t>Ontology</t>
  </si>
  <si>
    <t>proceedings-article</t>
  </si>
  <si>
    <t>SAE International</t>
  </si>
  <si>
    <t>following</t>
  </si>
  <si>
    <t>Aero</t>
  </si>
  <si>
    <t>data</t>
  </si>
  <si>
    <t>10.1109/87.852914</t>
  </si>
  <si>
    <t>10.1109/9.250509</t>
  </si>
  <si>
    <t>Varaiya</t>
  </si>
  <si>
    <t>Authors</t>
  </si>
  <si>
    <t>definitions of maneuvers and interactions</t>
  </si>
  <si>
    <t>old paper</t>
  </si>
  <si>
    <t>platoon merging, splitting</t>
  </si>
  <si>
    <t>https://www.eia.gov/energyexplained/use-of-energy/transportation.php</t>
  </si>
  <si>
    <t>Use of energy - Transportation</t>
  </si>
  <si>
    <t>Statistics</t>
  </si>
  <si>
    <t>Institute of Electrical and Electronics Engineers (IEEE)</t>
  </si>
  <si>
    <t>Cite as</t>
  </si>
  <si>
    <t>merging, splitting</t>
  </si>
  <si>
    <t>Sliding mode control</t>
  </si>
  <si>
    <t>2-4</t>
  </si>
  <si>
    <t>engine pseudo model</t>
  </si>
  <si>
    <t>nonlinear dynamics, small vehicle spacing</t>
  </si>
  <si>
    <t>https://www.bts.gov/product/freight-facts-and-figures</t>
  </si>
  <si>
    <t>Freight Facts and Figures</t>
  </si>
  <si>
    <t>Centralized</t>
  </si>
  <si>
    <t>Optimization</t>
  </si>
  <si>
    <t>Joining loc</t>
  </si>
  <si>
    <t>Columns</t>
  </si>
  <si>
    <t>Sequence</t>
  </si>
  <si>
    <t>Col num</t>
  </si>
  <si>
    <t>Selection</t>
  </si>
  <si>
    <t>Test Name</t>
  </si>
  <si>
    <t>Ref</t>
  </si>
  <si>
    <t>Considerations</t>
  </si>
  <si>
    <t>Fuel cost</t>
  </si>
  <si>
    <t>Velocity</t>
  </si>
  <si>
    <t>Driveline</t>
  </si>
  <si>
    <t xml:space="preserve">Rolling </t>
  </si>
  <si>
    <t>Total</t>
  </si>
  <si>
    <t>Fuel consumption [gal/mi]2</t>
  </si>
  <si>
    <t>Fuel power [gal/hr]</t>
  </si>
  <si>
    <t>Mileage</t>
  </si>
  <si>
    <t>m</t>
  </si>
  <si>
    <t>kg</t>
  </si>
  <si>
    <t>fr0</t>
  </si>
  <si>
    <t>fr1</t>
  </si>
  <si>
    <t>CD_A</t>
  </si>
  <si>
    <t>m2</t>
  </si>
  <si>
    <t>W/hp</t>
  </si>
  <si>
    <t>conversion</t>
  </si>
  <si>
    <t>mu_engine</t>
  </si>
  <si>
    <t>energy_fuel</t>
  </si>
  <si>
    <t>hp.h/gal</t>
  </si>
  <si>
    <t>CAR</t>
  </si>
  <si>
    <t>TRUCK</t>
  </si>
  <si>
    <t>CD</t>
  </si>
  <si>
    <t>A</t>
  </si>
  <si>
    <t>non-CAVs</t>
  </si>
  <si>
    <t>Hetero</t>
  </si>
  <si>
    <t>Dest</t>
  </si>
  <si>
    <t>Speed lim</t>
  </si>
  <si>
    <t>m/s/mph</t>
  </si>
  <si>
    <t>Constant loss</t>
  </si>
  <si>
    <t>Fuel consumption [gal/mi]</t>
  </si>
  <si>
    <t>Fuel flow [gal/hr]</t>
  </si>
  <si>
    <t>L/100km</t>
  </si>
  <si>
    <t>nu_driveline</t>
  </si>
  <si>
    <t>Constant losses</t>
  </si>
  <si>
    <t>10.4271/940421</t>
  </si>
  <si>
    <t>Drag Measurements on 2, 3 and 4 Car Platoons</t>
  </si>
  <si>
    <t>Wind tunnel</t>
  </si>
  <si>
    <t>Sedan type cars</t>
  </si>
  <si>
    <t>Bureau of Transportation Statistics</t>
  </si>
  <si>
    <t>report</t>
  </si>
  <si>
    <t>Energy Information Administration</t>
  </si>
  <si>
    <t>x</t>
  </si>
  <si>
    <r>
      <rPr>
        <b/>
        <sz val="11"/>
        <color theme="1"/>
        <rFont val="Aptos Narrow"/>
        <family val="2"/>
        <scheme val="minor"/>
      </rPr>
      <t xml:space="preserve">Joining loc
</t>
    </r>
    <r>
      <rPr>
        <sz val="11"/>
        <color theme="1"/>
        <rFont val="Aptos Narrow"/>
        <family val="2"/>
        <scheme val="minor"/>
      </rPr>
      <t>A=Aero, B=Brakes
C=Closest, D=Destination, F=Front, R=Rear</t>
    </r>
  </si>
  <si>
    <t>Savings
[%]</t>
  </si>
  <si>
    <t>Speed
[kph]</t>
  </si>
  <si>
    <t>Title</t>
  </si>
  <si>
    <t>Smart cars on smart roads: problems of control</t>
  </si>
  <si>
    <t>Citations</t>
  </si>
  <si>
    <t>Zabatet al.</t>
  </si>
  <si>
    <t>Unknown</t>
  </si>
  <si>
    <t>Rajamaniet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</si>
</sst>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2" borderId="2" applyNumberFormat="0" applyAlignment="0" applyProtection="0"/>
    <xf numFmtId="0" fontId="8" fillId="3" borderId="2" applyNumberFormat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8" fillId="3" borderId="2" xfId="3"/>
    <xf numFmtId="0" fontId="7" fillId="2" borderId="2" xfId="2"/>
    <xf numFmtId="0" fontId="6" fillId="0" borderId="0" xfId="0" applyFont="1"/>
    <xf numFmtId="0" fontId="6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1" fontId="7" fillId="2" borderId="2" xfId="2" applyNumberFormat="1"/>
    <xf numFmtId="9" fontId="0" fillId="0" borderId="0" xfId="0" applyNumberFormat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 wrapText="1"/>
    </xf>
    <xf numFmtId="0" fontId="7" fillId="2" borderId="3" xfId="2" applyBorder="1"/>
    <xf numFmtId="2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left" vertical="top" wrapText="1"/>
    </xf>
    <xf numFmtId="164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center" wrapText="1"/>
    </xf>
    <xf numFmtId="1" fontId="1" fillId="0" borderId="0" xfId="0" applyNumberFormat="1" applyFont="1" applyAlignment="1">
      <alignment horizontal="left" wrapText="1"/>
    </xf>
    <xf numFmtId="1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5" fillId="0" borderId="0" xfId="1"/>
  </cellXfs>
  <cellStyles count="4">
    <cellStyle name="Calculation" xfId="3" builtinId="22"/>
    <cellStyle name="Hyperlink" xfId="1" builtinId="8"/>
    <cellStyle name="Input" xfId="2" builtinId="20"/>
    <cellStyle name="Normal" xfId="0" builtinId="0"/>
  </cellStyles>
  <dxfs count="38">
    <dxf>
      <font>
        <color auto="1"/>
      </font>
      <fill>
        <patternFill>
          <bgColor rgb="FFFFC000"/>
        </patternFill>
      </fill>
    </dxf>
    <dxf>
      <fill>
        <patternFill>
          <bgColor rgb="FFFFDEC8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F56600"/>
        </patternFill>
      </fill>
    </dxf>
    <dxf>
      <fill>
        <patternFill>
          <bgColor rgb="FFFF0000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8C9C7"/>
      <color rgb="FFE6D8B9"/>
      <color rgb="FF512C80"/>
      <color rgb="FFF56600"/>
      <color rgb="FFFFDEC8"/>
      <color rgb="FFFFCCCC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 Energy Consumption [67]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'Charts - Power'!$F$2</c:f>
              <c:strCache>
                <c:ptCount val="1"/>
                <c:pt idx="0">
                  <c:v>Constant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Power'!$F$3:$F$17</c:f>
              <c:numCache>
                <c:formatCode>General</c:formatCode>
                <c:ptCount val="1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C9-41C5-B092-0D9020A3EECA}"/>
            </c:ext>
          </c:extLst>
        </c:ser>
        <c:ser>
          <c:idx val="1"/>
          <c:order val="1"/>
          <c:tx>
            <c:strRef>
              <c:f>'Charts - Power'!$G$2</c:f>
              <c:strCache>
                <c:ptCount val="1"/>
                <c:pt idx="0">
                  <c:v>Driveline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Power'!$G$3:$G$17</c:f>
              <c:numCache>
                <c:formatCode>General</c:formatCode>
                <c:ptCount val="15"/>
                <c:pt idx="0">
                  <c:v>7.876918597406761E-2</c:v>
                </c:pt>
                <c:pt idx="1">
                  <c:v>0.16712850232169371</c:v>
                </c:pt>
                <c:pt idx="2">
                  <c:v>0.27043462846481064</c:v>
                </c:pt>
                <c:pt idx="3">
                  <c:v>0.39404424382535064</c:v>
                </c:pt>
                <c:pt idx="4">
                  <c:v>0.54331402782524607</c:v>
                </c:pt>
                <c:pt idx="5">
                  <c:v>0.72360065988642908</c:v>
                </c:pt>
                <c:pt idx="6">
                  <c:v>0.94026081943083228</c:v>
                </c:pt>
                <c:pt idx="7">
                  <c:v>1.1986511858803874</c:v>
                </c:pt>
                <c:pt idx="8">
                  <c:v>1.5041284386570277</c:v>
                </c:pt>
                <c:pt idx="9">
                  <c:v>1.8620492571826845</c:v>
                </c:pt>
                <c:pt idx="10">
                  <c:v>2.2777703208792905</c:v>
                </c:pt>
                <c:pt idx="11">
                  <c:v>2.7566483091687775</c:v>
                </c:pt>
                <c:pt idx="12">
                  <c:v>3.3040399014730801</c:v>
                </c:pt>
                <c:pt idx="13">
                  <c:v>3.9253017772141265</c:v>
                </c:pt>
                <c:pt idx="14">
                  <c:v>4.6257906158138526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C9-41C5-B092-0D9020A3EECA}"/>
            </c:ext>
          </c:extLst>
        </c:ser>
        <c:ser>
          <c:idx val="2"/>
          <c:order val="2"/>
          <c:tx>
            <c:strRef>
              <c:f>'Charts - Power'!$I$2</c:f>
              <c:strCache>
                <c:ptCount val="1"/>
                <c:pt idx="0">
                  <c:v>Rolling 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Power'!$I$3:$I$17</c:f>
              <c:numCache>
                <c:formatCode>General</c:formatCode>
                <c:ptCount val="15"/>
                <c:pt idx="0">
                  <c:v>0.44129963439900255</c:v>
                </c:pt>
                <c:pt idx="1">
                  <c:v>0.90658882419055353</c:v>
                </c:pt>
                <c:pt idx="2">
                  <c:v>1.3958675693746532</c:v>
                </c:pt>
                <c:pt idx="3">
                  <c:v>1.909135869951301</c:v>
                </c:pt>
                <c:pt idx="4">
                  <c:v>2.4463937259204975</c:v>
                </c:pt>
                <c:pt idx="5">
                  <c:v>3.007641137282242</c:v>
                </c:pt>
                <c:pt idx="6">
                  <c:v>3.5928781040365356</c:v>
                </c:pt>
                <c:pt idx="7">
                  <c:v>4.2021046261833774</c:v>
                </c:pt>
                <c:pt idx="8">
                  <c:v>4.8353207037227675</c:v>
                </c:pt>
                <c:pt idx="9">
                  <c:v>5.4925263366547057</c:v>
                </c:pt>
                <c:pt idx="10">
                  <c:v>6.1737215249791948</c:v>
                </c:pt>
                <c:pt idx="11">
                  <c:v>6.8789062686962277</c:v>
                </c:pt>
                <c:pt idx="12">
                  <c:v>7.6080805678058141</c:v>
                </c:pt>
                <c:pt idx="13">
                  <c:v>8.3612444223079461</c:v>
                </c:pt>
                <c:pt idx="14">
                  <c:v>9.1383978322026262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C9-41C5-B092-0D9020A3EECA}"/>
            </c:ext>
          </c:extLst>
        </c:ser>
        <c:ser>
          <c:idx val="3"/>
          <c:order val="3"/>
          <c:tx>
            <c:strRef>
              <c:f>'Charts - Power'!$H$2</c:f>
              <c:strCache>
                <c:ptCount val="1"/>
                <c:pt idx="0">
                  <c:v>Aero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Power'!$H$3:$H$17</c:f>
              <c:numCache>
                <c:formatCode>General</c:formatCode>
                <c:ptCount val="15"/>
                <c:pt idx="0">
                  <c:v>5.0590861207138356E-3</c:v>
                </c:pt>
                <c:pt idx="1">
                  <c:v>4.0472688965710685E-2</c:v>
                </c:pt>
                <c:pt idx="2">
                  <c:v>0.13659532525927356</c:v>
                </c:pt>
                <c:pt idx="3">
                  <c:v>0.32378151172568548</c:v>
                </c:pt>
                <c:pt idx="4">
                  <c:v>0.63238576508922972</c:v>
                </c:pt>
                <c:pt idx="5">
                  <c:v>1.0927626020741885</c:v>
                </c:pt>
                <c:pt idx="6">
                  <c:v>1.7352665394048459</c:v>
                </c:pt>
                <c:pt idx="7">
                  <c:v>2.5902520938054838</c:v>
                </c:pt>
                <c:pt idx="8">
                  <c:v>3.6880737820003877</c:v>
                </c:pt>
                <c:pt idx="9">
                  <c:v>5.0590861207138378</c:v>
                </c:pt>
                <c:pt idx="10">
                  <c:v>6.7336436266701156</c:v>
                </c:pt>
                <c:pt idx="11">
                  <c:v>8.7421008165935081</c:v>
                </c:pt>
                <c:pt idx="12">
                  <c:v>11.114812207208301</c:v>
                </c:pt>
                <c:pt idx="13">
                  <c:v>13.882132315238767</c:v>
                </c:pt>
                <c:pt idx="14">
                  <c:v>17.074415657409197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C9-41C5-B092-0D9020A3EECA}"/>
            </c:ext>
          </c:extLst>
        </c:ser>
        <c:ser>
          <c:idx val="4"/>
          <c:order val="4"/>
          <c:tx>
            <c:strRef>
              <c:f>'Charts - Power'!$J$2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Power'!$J$3:$J$17</c:f>
              <c:numCache>
                <c:formatCode>General</c:formatCode>
                <c:ptCount val="15"/>
                <c:pt idx="0">
                  <c:v>7.5251279064937844</c:v>
                </c:pt>
                <c:pt idx="1">
                  <c:v>8.1141900154779574</c:v>
                </c:pt>
                <c:pt idx="2">
                  <c:v>8.8028975230987374</c:v>
                </c:pt>
                <c:pt idx="3">
                  <c:v>9.6269616255023358</c:v>
                </c:pt>
                <c:pt idx="4">
                  <c:v>10.622093518834973</c:v>
                </c:pt>
                <c:pt idx="5">
                  <c:v>11.82400439924286</c:v>
                </c:pt>
                <c:pt idx="6">
                  <c:v>13.268405462872213</c:v>
                </c:pt>
                <c:pt idx="7">
                  <c:v>14.991007905869248</c:v>
                </c:pt>
                <c:pt idx="8">
                  <c:v>17.027522924380182</c:v>
                </c:pt>
                <c:pt idx="9">
                  <c:v>19.413661714551228</c:v>
                </c:pt>
                <c:pt idx="10">
                  <c:v>22.1851354725286</c:v>
                </c:pt>
                <c:pt idx="11">
                  <c:v>25.377655394458515</c:v>
                </c:pt>
                <c:pt idx="12">
                  <c:v>29.026932676487196</c:v>
                </c:pt>
                <c:pt idx="13">
                  <c:v>33.168678514760842</c:v>
                </c:pt>
                <c:pt idx="14">
                  <c:v>37.838604105425674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C9-41C5-B092-0D9020A3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292975"/>
        <c:axId val="928294415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'Charts - Power'!$L$2</c15:sqref>
                        </c15:formulaRef>
                      </c:ext>
                    </c:extLst>
                    <c:strCache>
                      <c:ptCount val="1"/>
                      <c:pt idx="0">
                        <c:v>Fuel consumption [gal/mi]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'Charts - Power'!$E$3:$E$17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'Charts - Power'!$L$3:$L$17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9.555717976500043E-2</c:v>
                      </c:pt>
                      <c:pt idx="1">
                        <c:v>5.1518666764939415E-2</c:v>
                      </c:pt>
                      <c:pt idx="2">
                        <c:v>3.7260941896714236E-2</c:v>
                      </c:pt>
                      <c:pt idx="3">
                        <c:v>3.0561782938102654E-2</c:v>
                      </c:pt>
                      <c:pt idx="4">
                        <c:v>2.6976745444660249E-2</c:v>
                      </c:pt>
                      <c:pt idx="5">
                        <c:v>2.5024347934905523E-2</c:v>
                      </c:pt>
                      <c:pt idx="6">
                        <c:v>2.4069669773917848E-2</c:v>
                      </c:pt>
                      <c:pt idx="7">
                        <c:v>2.3795250644236904E-2</c:v>
                      </c:pt>
                      <c:pt idx="8">
                        <c:v>2.4024723702829185E-2</c:v>
                      </c:pt>
                      <c:pt idx="9">
                        <c:v>2.4652268843874572E-2</c:v>
                      </c:pt>
                      <c:pt idx="10">
                        <c:v>2.5610546000033017E-2</c:v>
                      </c:pt>
                      <c:pt idx="11">
                        <c:v>2.6854661793077793E-2</c:v>
                      </c:pt>
                      <c:pt idx="12">
                        <c:v>2.8353536191928885E-2</c:v>
                      </c:pt>
                      <c:pt idx="13">
                        <c:v>3.0084969174386255E-2</c:v>
                      </c:pt>
                      <c:pt idx="14">
                        <c:v>3.2032680724169878E-2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83C9-41C5-B092-0D9020A3EEC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'Charts - Power'!$K$2</c15:sqref>
                        </c15:formulaRef>
                      </c:ext>
                    </c:extLst>
                    <c:strCache>
                      <c:ptCount val="1"/>
                      <c:pt idx="0">
                        <c:v>Fuel flow [gal/hr]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'Charts - Power'!$E$3:$E$17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'Charts - Power'!$K$3:$K$17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0.47778589882500216</c:v>
                      </c:pt>
                      <c:pt idx="1">
                        <c:v>0.51518666764939414</c:v>
                      </c:pt>
                      <c:pt idx="2">
                        <c:v>0.55891412845071353</c:v>
                      </c:pt>
                      <c:pt idx="3">
                        <c:v>0.6112356587620531</c:v>
                      </c:pt>
                      <c:pt idx="4">
                        <c:v>0.67441863611650621</c:v>
                      </c:pt>
                      <c:pt idx="5">
                        <c:v>0.75073043804716566</c:v>
                      </c:pt>
                      <c:pt idx="6">
                        <c:v>0.84243844208712471</c:v>
                      </c:pt>
                      <c:pt idx="7">
                        <c:v>0.95181002576947615</c:v>
                      </c:pt>
                      <c:pt idx="8">
                        <c:v>1.0811125666273134</c:v>
                      </c:pt>
                      <c:pt idx="9">
                        <c:v>1.2326134421937287</c:v>
                      </c:pt>
                      <c:pt idx="10">
                        <c:v>1.4085800300018159</c:v>
                      </c:pt>
                      <c:pt idx="11">
                        <c:v>1.6112797075846677</c:v>
                      </c:pt>
                      <c:pt idx="12">
                        <c:v>1.8429798524753775</c:v>
                      </c:pt>
                      <c:pt idx="13">
                        <c:v>2.1059478422070379</c:v>
                      </c:pt>
                      <c:pt idx="14">
                        <c:v>2.4024510543127411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C9-41C5-B092-0D9020A3EECA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7"/>
          <c:order val="7"/>
          <c:tx>
            <c:strRef>
              <c:f>'Charts - Power'!$M$2</c:f>
              <c:strCache>
                <c:ptCount val="1"/>
                <c:pt idx="0">
                  <c:v>Mileage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Power'!$M$3:$M$17</c:f>
              <c:numCache>
                <c:formatCode>General</c:formatCode>
                <c:ptCount val="15"/>
                <c:pt idx="0">
                  <c:v>10.464938400853352</c:v>
                </c:pt>
                <c:pt idx="1">
                  <c:v>19.410440191758639</c:v>
                </c:pt>
                <c:pt idx="2">
                  <c:v>26.837754203099802</c:v>
                </c:pt>
                <c:pt idx="3">
                  <c:v>32.720604096472989</c:v>
                </c:pt>
                <c:pt idx="4">
                  <c:v>37.068963787769995</c:v>
                </c:pt>
                <c:pt idx="5">
                  <c:v>39.961081207839889</c:v>
                </c:pt>
                <c:pt idx="6">
                  <c:v>41.546062301345351</c:v>
                </c:pt>
                <c:pt idx="7">
                  <c:v>42.025192966067586</c:v>
                </c:pt>
                <c:pt idx="8">
                  <c:v>41.623787743383645</c:v>
                </c:pt>
                <c:pt idx="9">
                  <c:v>40.564217692623174</c:v>
                </c:pt>
                <c:pt idx="10">
                  <c:v>39.046414707390888</c:v>
                </c:pt>
                <c:pt idx="11">
                  <c:v>37.23748255350457</c:v>
                </c:pt>
                <c:pt idx="12">
                  <c:v>35.26896938818728</c:v>
                </c:pt>
                <c:pt idx="13">
                  <c:v>33.239189782895977</c:v>
                </c:pt>
                <c:pt idx="14">
                  <c:v>31.218117790730574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3C9-41C5-B092-0D9020A3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44495"/>
        <c:axId val="1007755871"/>
      </c:scatterChart>
      <c:valAx>
        <c:axId val="92829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[mph]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94415"/>
        <c:crosses val="autoZero"/>
        <c:crossBetween val="midCat"/>
      </c:valAx>
      <c:valAx>
        <c:axId val="92829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[hp]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92975"/>
        <c:crosses val="autoZero"/>
        <c:crossBetween val="midCat"/>
      </c:valAx>
      <c:valAx>
        <c:axId val="10077558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Mileage [mpg]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44495"/>
        <c:crosses val="max"/>
        <c:crossBetween val="midCat"/>
      </c:valAx>
      <c:valAx>
        <c:axId val="108764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775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Specific Power Sinks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3"/>
          <c:order val="0"/>
          <c:tx>
            <c:strRef>
              <c:f>'Charts - Power'!$H$2</c:f>
              <c:strCache>
                <c:ptCount val="1"/>
                <c:pt idx="0">
                  <c:v>Aero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Power'!$H$3:$H$17</c:f>
              <c:numCache>
                <c:formatCode>General</c:formatCode>
                <c:ptCount val="15"/>
                <c:pt idx="0">
                  <c:v>5.0590861207138356E-3</c:v>
                </c:pt>
                <c:pt idx="1">
                  <c:v>4.0472688965710685E-2</c:v>
                </c:pt>
                <c:pt idx="2">
                  <c:v>0.13659532525927356</c:v>
                </c:pt>
                <c:pt idx="3">
                  <c:v>0.32378151172568548</c:v>
                </c:pt>
                <c:pt idx="4">
                  <c:v>0.63238576508922972</c:v>
                </c:pt>
                <c:pt idx="5">
                  <c:v>1.0927626020741885</c:v>
                </c:pt>
                <c:pt idx="6">
                  <c:v>1.7352665394048459</c:v>
                </c:pt>
                <c:pt idx="7">
                  <c:v>2.5902520938054838</c:v>
                </c:pt>
                <c:pt idx="8">
                  <c:v>3.6880737820003877</c:v>
                </c:pt>
                <c:pt idx="9">
                  <c:v>5.0590861207138378</c:v>
                </c:pt>
                <c:pt idx="10">
                  <c:v>6.7336436266701156</c:v>
                </c:pt>
                <c:pt idx="11">
                  <c:v>8.7421008165935081</c:v>
                </c:pt>
                <c:pt idx="12">
                  <c:v>11.114812207208301</c:v>
                </c:pt>
                <c:pt idx="13">
                  <c:v>13.882132315238767</c:v>
                </c:pt>
                <c:pt idx="14">
                  <c:v>17.074415657409197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A-4D0A-84C6-FD35707BAEF6}"/>
            </c:ext>
          </c:extLst>
        </c:ser>
        <c:ser>
          <c:idx val="2"/>
          <c:order val="1"/>
          <c:tx>
            <c:strRef>
              <c:f>'Charts - Power'!$I$2</c:f>
              <c:strCache>
                <c:ptCount val="1"/>
                <c:pt idx="0">
                  <c:v>Rolling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Power'!$I$3:$I$17</c:f>
              <c:numCache>
                <c:formatCode>General</c:formatCode>
                <c:ptCount val="15"/>
                <c:pt idx="0">
                  <c:v>0.44129963439900255</c:v>
                </c:pt>
                <c:pt idx="1">
                  <c:v>0.90658882419055353</c:v>
                </c:pt>
                <c:pt idx="2">
                  <c:v>1.3958675693746532</c:v>
                </c:pt>
                <c:pt idx="3">
                  <c:v>1.909135869951301</c:v>
                </c:pt>
                <c:pt idx="4">
                  <c:v>2.4463937259204975</c:v>
                </c:pt>
                <c:pt idx="5">
                  <c:v>3.007641137282242</c:v>
                </c:pt>
                <c:pt idx="6">
                  <c:v>3.5928781040365356</c:v>
                </c:pt>
                <c:pt idx="7">
                  <c:v>4.2021046261833774</c:v>
                </c:pt>
                <c:pt idx="8">
                  <c:v>4.8353207037227675</c:v>
                </c:pt>
                <c:pt idx="9">
                  <c:v>5.4925263366547057</c:v>
                </c:pt>
                <c:pt idx="10">
                  <c:v>6.1737215249791948</c:v>
                </c:pt>
                <c:pt idx="11">
                  <c:v>6.8789062686962277</c:v>
                </c:pt>
                <c:pt idx="12">
                  <c:v>7.6080805678058141</c:v>
                </c:pt>
                <c:pt idx="13">
                  <c:v>8.3612444223079461</c:v>
                </c:pt>
                <c:pt idx="14">
                  <c:v>9.1383978322026262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A-4D0A-84C6-FD35707BAEF6}"/>
            </c:ext>
          </c:extLst>
        </c:ser>
        <c:ser>
          <c:idx val="0"/>
          <c:order val="2"/>
          <c:tx>
            <c:strRef>
              <c:f>'Charts - Power'!$F$2</c:f>
              <c:strCache>
                <c:ptCount val="1"/>
                <c:pt idx="0">
                  <c:v>Constant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Power'!$F$3:$F$17</c:f>
              <c:numCache>
                <c:formatCode>General</c:formatCode>
                <c:ptCount val="1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A-4D0A-84C6-FD35707BAEF6}"/>
            </c:ext>
          </c:extLst>
        </c:ser>
        <c:ser>
          <c:idx val="1"/>
          <c:order val="3"/>
          <c:tx>
            <c:strRef>
              <c:f>'Charts - Power'!$G$2</c:f>
              <c:strCache>
                <c:ptCount val="1"/>
                <c:pt idx="0">
                  <c:v>Driveline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Power'!$G$3:$G$17</c:f>
              <c:numCache>
                <c:formatCode>General</c:formatCode>
                <c:ptCount val="15"/>
                <c:pt idx="0">
                  <c:v>7.876918597406761E-2</c:v>
                </c:pt>
                <c:pt idx="1">
                  <c:v>0.16712850232169371</c:v>
                </c:pt>
                <c:pt idx="2">
                  <c:v>0.27043462846481064</c:v>
                </c:pt>
                <c:pt idx="3">
                  <c:v>0.39404424382535064</c:v>
                </c:pt>
                <c:pt idx="4">
                  <c:v>0.54331402782524607</c:v>
                </c:pt>
                <c:pt idx="5">
                  <c:v>0.72360065988642908</c:v>
                </c:pt>
                <c:pt idx="6">
                  <c:v>0.94026081943083228</c:v>
                </c:pt>
                <c:pt idx="7">
                  <c:v>1.1986511858803874</c:v>
                </c:pt>
                <c:pt idx="8">
                  <c:v>1.5041284386570277</c:v>
                </c:pt>
                <c:pt idx="9">
                  <c:v>1.8620492571826845</c:v>
                </c:pt>
                <c:pt idx="10">
                  <c:v>2.2777703208792905</c:v>
                </c:pt>
                <c:pt idx="11">
                  <c:v>2.7566483091687775</c:v>
                </c:pt>
                <c:pt idx="12">
                  <c:v>3.3040399014730801</c:v>
                </c:pt>
                <c:pt idx="13">
                  <c:v>3.9253017772141265</c:v>
                </c:pt>
                <c:pt idx="14">
                  <c:v>4.6257906158138526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7A-4D0A-84C6-FD35707BA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46991"/>
        <c:axId val="1298247951"/>
      </c:areaChart>
      <c:catAx>
        <c:axId val="129824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[mph]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47951"/>
        <c:crosses val="autoZero"/>
        <c:auto val="1"/>
        <c:lblAlgn val="ctr"/>
        <c:lblOffset val="100"/>
        <c:noMultiLvlLbl val="0"/>
      </c:catAx>
      <c:valAx>
        <c:axId val="12982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4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Specific Power Sinks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3"/>
          <c:order val="0"/>
          <c:tx>
            <c:strRef>
              <c:f>'Charts - Power'!$H$22</c:f>
              <c:strCache>
                <c:ptCount val="1"/>
                <c:pt idx="0">
                  <c:v>Aero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Power'!$H$23:$H$37</c:f>
              <c:numCache>
                <c:formatCode>General</c:formatCode>
                <c:ptCount val="15"/>
                <c:pt idx="0">
                  <c:v>5.7260254440075389E-2</c:v>
                </c:pt>
                <c:pt idx="1">
                  <c:v>0.45808203552060311</c:v>
                </c:pt>
                <c:pt idx="2">
                  <c:v>1.5460268698820359</c:v>
                </c:pt>
                <c:pt idx="3">
                  <c:v>3.6646562841648249</c:v>
                </c:pt>
                <c:pt idx="4">
                  <c:v>7.1575318050094268</c:v>
                </c:pt>
                <c:pt idx="5">
                  <c:v>12.368214959056287</c:v>
                </c:pt>
                <c:pt idx="6">
                  <c:v>19.640267272945863</c:v>
                </c:pt>
                <c:pt idx="7">
                  <c:v>29.317250273318599</c:v>
                </c:pt>
                <c:pt idx="8">
                  <c:v>41.742725486814983</c:v>
                </c:pt>
                <c:pt idx="9">
                  <c:v>57.260254440075414</c:v>
                </c:pt>
                <c:pt idx="10">
                  <c:v>76.213398659740349</c:v>
                </c:pt>
                <c:pt idx="11">
                  <c:v>98.945719672450295</c:v>
                </c:pt>
                <c:pt idx="12">
                  <c:v>125.80077900484568</c:v>
                </c:pt>
                <c:pt idx="13">
                  <c:v>157.1221381835669</c:v>
                </c:pt>
                <c:pt idx="14">
                  <c:v>193.25335873525447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8-4C7A-B573-C5177CC1C126}"/>
            </c:ext>
          </c:extLst>
        </c:ser>
        <c:ser>
          <c:idx val="2"/>
          <c:order val="1"/>
          <c:tx>
            <c:strRef>
              <c:f>'Charts - Power'!$I$22</c:f>
              <c:strCache>
                <c:ptCount val="1"/>
                <c:pt idx="0">
                  <c:v>Rolling 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Power'!$I$23:$I$37</c:f>
              <c:numCache>
                <c:formatCode>0.00</c:formatCode>
                <c:ptCount val="15"/>
                <c:pt idx="0">
                  <c:v>5.883995125320034</c:v>
                </c:pt>
                <c:pt idx="1">
                  <c:v>12.08785098920738</c:v>
                </c:pt>
                <c:pt idx="2">
                  <c:v>18.611567591662041</c:v>
                </c:pt>
                <c:pt idx="3">
                  <c:v>25.455144932684014</c:v>
                </c:pt>
                <c:pt idx="4">
                  <c:v>32.618583012273298</c:v>
                </c:pt>
                <c:pt idx="5">
                  <c:v>40.101881830429896</c:v>
                </c:pt>
                <c:pt idx="6">
                  <c:v>47.905041387153801</c:v>
                </c:pt>
                <c:pt idx="7">
                  <c:v>56.028061682445035</c:v>
                </c:pt>
                <c:pt idx="8">
                  <c:v>64.470942716303568</c:v>
                </c:pt>
                <c:pt idx="9">
                  <c:v>73.233684488729409</c:v>
                </c:pt>
                <c:pt idx="10">
                  <c:v>82.316286999722593</c:v>
                </c:pt>
                <c:pt idx="11">
                  <c:v>91.718750249283048</c:v>
                </c:pt>
                <c:pt idx="12">
                  <c:v>101.44107423741085</c:v>
                </c:pt>
                <c:pt idx="13">
                  <c:v>111.48325896410594</c:v>
                </c:pt>
                <c:pt idx="14">
                  <c:v>121.84530442936837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8-4C7A-B573-C5177CC1C126}"/>
            </c:ext>
          </c:extLst>
        </c:ser>
        <c:ser>
          <c:idx val="0"/>
          <c:order val="2"/>
          <c:tx>
            <c:strRef>
              <c:f>'Charts - Power'!$F$22</c:f>
              <c:strCache>
                <c:ptCount val="1"/>
                <c:pt idx="0">
                  <c:v>Constant losses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Power'!$F$23:$F$37</c:f>
              <c:numCache>
                <c:formatCode>General</c:formatCode>
                <c:ptCount val="1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18-4C7A-B573-C5177CC1C126}"/>
            </c:ext>
          </c:extLst>
        </c:ser>
        <c:ser>
          <c:idx val="1"/>
          <c:order val="3"/>
          <c:tx>
            <c:strRef>
              <c:f>'Charts - Power'!$G$22</c:f>
              <c:strCache>
                <c:ptCount val="1"/>
                <c:pt idx="0">
                  <c:v>Driveline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'Charts - Power'!$E$3:$E$17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cat>
          <c:val>
            <c:numRef>
              <c:f>'Charts - Power'!$G$23:$G$37</c:f>
              <c:numCache>
                <c:formatCode>General</c:formatCode>
                <c:ptCount val="15"/>
                <c:pt idx="0">
                  <c:v>0.66013948664001199</c:v>
                </c:pt>
                <c:pt idx="1">
                  <c:v>1.3939925583031088</c:v>
                </c:pt>
                <c:pt idx="2">
                  <c:v>2.2397327179493409</c:v>
                </c:pt>
                <c:pt idx="3">
                  <c:v>3.2355334685387587</c:v>
                </c:pt>
                <c:pt idx="4">
                  <c:v>4.4195683130314123</c:v>
                </c:pt>
                <c:pt idx="5">
                  <c:v>5.8300107543873523</c:v>
                </c:pt>
                <c:pt idx="6">
                  <c:v>7.5050342955666274</c:v>
                </c:pt>
                <c:pt idx="7">
                  <c:v>9.4828124395292903</c:v>
                </c:pt>
                <c:pt idx="8">
                  <c:v>11.80151868923539</c:v>
                </c:pt>
                <c:pt idx="9">
                  <c:v>14.499326547644976</c:v>
                </c:pt>
                <c:pt idx="10">
                  <c:v>17.614409517718098</c:v>
                </c:pt>
                <c:pt idx="11">
                  <c:v>21.184941102414811</c:v>
                </c:pt>
                <c:pt idx="12">
                  <c:v>25.249094804695162</c:v>
                </c:pt>
                <c:pt idx="13">
                  <c:v>29.845044127519198</c:v>
                </c:pt>
                <c:pt idx="14">
                  <c:v>35.010962573846975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18-4C7A-B573-C5177CC1C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46991"/>
        <c:axId val="1298247951"/>
      </c:areaChart>
      <c:catAx>
        <c:axId val="129824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[mph]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47951"/>
        <c:crosses val="autoZero"/>
        <c:auto val="1"/>
        <c:lblAlgn val="ctr"/>
        <c:lblOffset val="100"/>
        <c:noMultiLvlLbl val="0"/>
      </c:catAx>
      <c:valAx>
        <c:axId val="12982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4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 Energy Consumption [68]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'Charts - Power'!$F$22</c:f>
              <c:strCache>
                <c:ptCount val="1"/>
                <c:pt idx="0">
                  <c:v>Constant losses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Power'!$E$23:$E$37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Power'!$F$23:$F$37</c:f>
              <c:numCache>
                <c:formatCode>General</c:formatCode>
                <c:ptCount val="1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59-4D5D-9702-F136C05DFC24}"/>
            </c:ext>
          </c:extLst>
        </c:ser>
        <c:ser>
          <c:idx val="1"/>
          <c:order val="1"/>
          <c:tx>
            <c:strRef>
              <c:f>'Charts - Power'!$G$22</c:f>
              <c:strCache>
                <c:ptCount val="1"/>
                <c:pt idx="0">
                  <c:v>Driveline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Power'!$E$23:$E$37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Power'!$G$23:$G$37</c:f>
              <c:numCache>
                <c:formatCode>General</c:formatCode>
                <c:ptCount val="15"/>
                <c:pt idx="0">
                  <c:v>0.66013948664001199</c:v>
                </c:pt>
                <c:pt idx="1">
                  <c:v>1.3939925583031088</c:v>
                </c:pt>
                <c:pt idx="2">
                  <c:v>2.2397327179493409</c:v>
                </c:pt>
                <c:pt idx="3">
                  <c:v>3.2355334685387587</c:v>
                </c:pt>
                <c:pt idx="4">
                  <c:v>4.4195683130314123</c:v>
                </c:pt>
                <c:pt idx="5">
                  <c:v>5.8300107543873523</c:v>
                </c:pt>
                <c:pt idx="6">
                  <c:v>7.5050342955666274</c:v>
                </c:pt>
                <c:pt idx="7">
                  <c:v>9.4828124395292903</c:v>
                </c:pt>
                <c:pt idx="8">
                  <c:v>11.80151868923539</c:v>
                </c:pt>
                <c:pt idx="9">
                  <c:v>14.499326547644976</c:v>
                </c:pt>
                <c:pt idx="10">
                  <c:v>17.614409517718098</c:v>
                </c:pt>
                <c:pt idx="11">
                  <c:v>21.184941102414811</c:v>
                </c:pt>
                <c:pt idx="12">
                  <c:v>25.249094804695162</c:v>
                </c:pt>
                <c:pt idx="13">
                  <c:v>29.845044127519198</c:v>
                </c:pt>
                <c:pt idx="14">
                  <c:v>35.010962573846975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59-4D5D-9702-F136C05DFC24}"/>
            </c:ext>
          </c:extLst>
        </c:ser>
        <c:ser>
          <c:idx val="2"/>
          <c:order val="2"/>
          <c:tx>
            <c:strRef>
              <c:f>'Charts - Power'!$I$22</c:f>
              <c:strCache>
                <c:ptCount val="1"/>
                <c:pt idx="0">
                  <c:v>Rolling 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Power'!$E$23:$E$37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Power'!$I$23:$I$37</c:f>
              <c:numCache>
                <c:formatCode>0.00</c:formatCode>
                <c:ptCount val="15"/>
                <c:pt idx="0">
                  <c:v>5.883995125320034</c:v>
                </c:pt>
                <c:pt idx="1">
                  <c:v>12.08785098920738</c:v>
                </c:pt>
                <c:pt idx="2">
                  <c:v>18.611567591662041</c:v>
                </c:pt>
                <c:pt idx="3">
                  <c:v>25.455144932684014</c:v>
                </c:pt>
                <c:pt idx="4">
                  <c:v>32.618583012273298</c:v>
                </c:pt>
                <c:pt idx="5">
                  <c:v>40.101881830429896</c:v>
                </c:pt>
                <c:pt idx="6">
                  <c:v>47.905041387153801</c:v>
                </c:pt>
                <c:pt idx="7">
                  <c:v>56.028061682445035</c:v>
                </c:pt>
                <c:pt idx="8">
                  <c:v>64.470942716303568</c:v>
                </c:pt>
                <c:pt idx="9">
                  <c:v>73.233684488729409</c:v>
                </c:pt>
                <c:pt idx="10">
                  <c:v>82.316286999722593</c:v>
                </c:pt>
                <c:pt idx="11">
                  <c:v>91.718750249283048</c:v>
                </c:pt>
                <c:pt idx="12">
                  <c:v>101.44107423741085</c:v>
                </c:pt>
                <c:pt idx="13">
                  <c:v>111.48325896410594</c:v>
                </c:pt>
                <c:pt idx="14">
                  <c:v>121.84530442936837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59-4D5D-9702-F136C05DFC24}"/>
            </c:ext>
          </c:extLst>
        </c:ser>
        <c:ser>
          <c:idx val="3"/>
          <c:order val="3"/>
          <c:tx>
            <c:strRef>
              <c:f>'Charts - Power'!$H$22</c:f>
              <c:strCache>
                <c:ptCount val="1"/>
                <c:pt idx="0">
                  <c:v>Aero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Power'!$E$23:$E$37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Power'!$H$23:$H$37</c:f>
              <c:numCache>
                <c:formatCode>General</c:formatCode>
                <c:ptCount val="15"/>
                <c:pt idx="0">
                  <c:v>5.7260254440075389E-2</c:v>
                </c:pt>
                <c:pt idx="1">
                  <c:v>0.45808203552060311</c:v>
                </c:pt>
                <c:pt idx="2">
                  <c:v>1.5460268698820359</c:v>
                </c:pt>
                <c:pt idx="3">
                  <c:v>3.6646562841648249</c:v>
                </c:pt>
                <c:pt idx="4">
                  <c:v>7.1575318050094268</c:v>
                </c:pt>
                <c:pt idx="5">
                  <c:v>12.368214959056287</c:v>
                </c:pt>
                <c:pt idx="6">
                  <c:v>19.640267272945863</c:v>
                </c:pt>
                <c:pt idx="7">
                  <c:v>29.317250273318599</c:v>
                </c:pt>
                <c:pt idx="8">
                  <c:v>41.742725486814983</c:v>
                </c:pt>
                <c:pt idx="9">
                  <c:v>57.260254440075414</c:v>
                </c:pt>
                <c:pt idx="10">
                  <c:v>76.213398659740349</c:v>
                </c:pt>
                <c:pt idx="11">
                  <c:v>98.945719672450295</c:v>
                </c:pt>
                <c:pt idx="12">
                  <c:v>125.80077900484568</c:v>
                </c:pt>
                <c:pt idx="13">
                  <c:v>157.1221381835669</c:v>
                </c:pt>
                <c:pt idx="14">
                  <c:v>193.25335873525447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59-4D5D-9702-F136C05DFC24}"/>
            </c:ext>
          </c:extLst>
        </c:ser>
        <c:ser>
          <c:idx val="4"/>
          <c:order val="4"/>
          <c:tx>
            <c:strRef>
              <c:f>'Charts - Power'!$J$22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'Charts - Power'!$E$23:$E$37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Power'!$J$23:$J$37</c:f>
              <c:numCache>
                <c:formatCode>General</c:formatCode>
                <c:ptCount val="15"/>
                <c:pt idx="0">
                  <c:v>31.601394866400121</c:v>
                </c:pt>
                <c:pt idx="1">
                  <c:v>38.939925583031091</c:v>
                </c:pt>
                <c:pt idx="2">
                  <c:v>47.397327179493416</c:v>
                </c:pt>
                <c:pt idx="3">
                  <c:v>57.355334685387596</c:v>
                </c:pt>
                <c:pt idx="4">
                  <c:v>69.195683130314137</c:v>
                </c:pt>
                <c:pt idx="5">
                  <c:v>83.300107543873537</c:v>
                </c:pt>
                <c:pt idx="6">
                  <c:v>100.0503429556663</c:v>
                </c:pt>
                <c:pt idx="7">
                  <c:v>119.82812439529292</c:v>
                </c:pt>
                <c:pt idx="8">
                  <c:v>143.01518689235394</c:v>
                </c:pt>
                <c:pt idx="9">
                  <c:v>169.99326547644981</c:v>
                </c:pt>
                <c:pt idx="10">
                  <c:v>201.14409517718104</c:v>
                </c:pt>
                <c:pt idx="11">
                  <c:v>236.84941102414814</c:v>
                </c:pt>
                <c:pt idx="12">
                  <c:v>277.49094804695164</c:v>
                </c:pt>
                <c:pt idx="13">
                  <c:v>323.45044127519202</c:v>
                </c:pt>
                <c:pt idx="14">
                  <c:v>375.10962573846979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59-4D5D-9702-F136C05DF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292975"/>
        <c:axId val="928294415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'Charts - Power'!$L$22</c15:sqref>
                        </c15:formulaRef>
                      </c:ext>
                    </c:extLst>
                    <c:strCache>
                      <c:ptCount val="1"/>
                      <c:pt idx="0">
                        <c:v>Fuel consumption [gal/mi]2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'Charts - Power'!$E$23:$E$37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'Charts - Power'!$L$23:$L$37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0.31325107418964848</c:v>
                      </c:pt>
                      <c:pt idx="1">
                        <c:v>0.19299739092717774</c:v>
                      </c:pt>
                      <c:pt idx="2">
                        <c:v>0.1566097922308354</c:v>
                      </c:pt>
                      <c:pt idx="3">
                        <c:v>0.14213470858376021</c:v>
                      </c:pt>
                      <c:pt idx="4">
                        <c:v>0.13718142608257991</c:v>
                      </c:pt>
                      <c:pt idx="5">
                        <c:v>0.13761970675950375</c:v>
                      </c:pt>
                      <c:pt idx="6">
                        <c:v>0.14167944862833565</c:v>
                      </c:pt>
                      <c:pt idx="7">
                        <c:v>0.14847560069597759</c:v>
                      </c:pt>
                      <c:pt idx="8">
                        <c:v>0.15751646796626415</c:v>
                      </c:pt>
                      <c:pt idx="9">
                        <c:v>0.16850703344149578</c:v>
                      </c:pt>
                      <c:pt idx="10">
                        <c:v>0.1812595590322276</c:v>
                      </c:pt>
                      <c:pt idx="11">
                        <c:v>0.19564888601216285</c:v>
                      </c:pt>
                      <c:pt idx="12">
                        <c:v>0.21158836603232689</c:v>
                      </c:pt>
                      <c:pt idx="13">
                        <c:v>0.22901610741488071</c:v>
                      </c:pt>
                      <c:pt idx="14">
                        <c:v>0.24788672292940911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2959-4D5D-9702-F136C05DFC2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'Charts - Power'!$K$22</c15:sqref>
                        </c15:formulaRef>
                      </c:ext>
                    </c:extLst>
                    <c:strCache>
                      <c:ptCount val="1"/>
                      <c:pt idx="0">
                        <c:v>Fuel power [gal/hr]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'Charts - Power'!$E$23:$E$37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'Charts - Power'!$K$23:$K$37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1.5662553709482423</c:v>
                      </c:pt>
                      <c:pt idx="1">
                        <c:v>1.9299739092717774</c:v>
                      </c:pt>
                      <c:pt idx="2">
                        <c:v>2.3491468834625309</c:v>
                      </c:pt>
                      <c:pt idx="3">
                        <c:v>2.8426941716752041</c:v>
                      </c:pt>
                      <c:pt idx="4">
                        <c:v>3.429535652064498</c:v>
                      </c:pt>
                      <c:pt idx="5">
                        <c:v>4.1285912027851124</c:v>
                      </c:pt>
                      <c:pt idx="6">
                        <c:v>4.9587807019917474</c:v>
                      </c:pt>
                      <c:pt idx="7">
                        <c:v>5.9390240278391042</c:v>
                      </c:pt>
                      <c:pt idx="8">
                        <c:v>7.088241058481886</c:v>
                      </c:pt>
                      <c:pt idx="9">
                        <c:v>8.4253516720747896</c:v>
                      </c:pt>
                      <c:pt idx="10">
                        <c:v>9.9692757467725173</c:v>
                      </c:pt>
                      <c:pt idx="11">
                        <c:v>11.73893316072977</c:v>
                      </c:pt>
                      <c:pt idx="12">
                        <c:v>13.753243792101248</c:v>
                      </c:pt>
                      <c:pt idx="13">
                        <c:v>16.03112751904165</c:v>
                      </c:pt>
                      <c:pt idx="14">
                        <c:v>18.591504219705683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959-4D5D-9702-F136C05DFC24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7"/>
          <c:order val="7"/>
          <c:tx>
            <c:strRef>
              <c:f>'Charts - Power'!$M$22</c:f>
              <c:strCache>
                <c:ptCount val="1"/>
                <c:pt idx="0">
                  <c:v>Mileage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'Charts - Power'!$E$23:$E$37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'Charts - Power'!$M$23:$M$37</c:f>
              <c:numCache>
                <c:formatCode>General</c:formatCode>
                <c:ptCount val="15"/>
                <c:pt idx="0">
                  <c:v>3.1923274408137541</c:v>
                </c:pt>
                <c:pt idx="1">
                  <c:v>5.1814171953097672</c:v>
                </c:pt>
                <c:pt idx="2">
                  <c:v>6.38529676692277</c:v>
                </c:pt>
                <c:pt idx="3">
                  <c:v>7.0355792048547974</c:v>
                </c:pt>
                <c:pt idx="4">
                  <c:v>7.2896165942904263</c:v>
                </c:pt>
                <c:pt idx="5">
                  <c:v>7.2664011829900366</c:v>
                </c:pt>
                <c:pt idx="6">
                  <c:v>7.0581867001986742</c:v>
                </c:pt>
                <c:pt idx="7">
                  <c:v>6.7351133473278573</c:v>
                </c:pt>
                <c:pt idx="8">
                  <c:v>6.3485425550182697</c:v>
                </c:pt>
                <c:pt idx="9">
                  <c:v>5.9344703872387115</c:v>
                </c:pt>
                <c:pt idx="10">
                  <c:v>5.5169504181691291</c:v>
                </c:pt>
                <c:pt idx="11">
                  <c:v>5.1111970038911094</c:v>
                </c:pt>
                <c:pt idx="12">
                  <c:v>4.7261577692188332</c:v>
                </c:pt>
                <c:pt idx="13">
                  <c:v>4.3665050955932161</c:v>
                </c:pt>
                <c:pt idx="14">
                  <c:v>4.0341006899541396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59-4D5D-9702-F136C05DF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44495"/>
        <c:axId val="1007755871"/>
      </c:scatterChart>
      <c:valAx>
        <c:axId val="92829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[mph]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94415"/>
        <c:crosses val="autoZero"/>
        <c:crossBetween val="midCat"/>
      </c:valAx>
      <c:valAx>
        <c:axId val="92829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[hp]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92975"/>
        <c:crosses val="autoZero"/>
        <c:crossBetween val="midCat"/>
      </c:valAx>
      <c:valAx>
        <c:axId val="10077558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Mileage [mpg]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44495"/>
        <c:crosses val="max"/>
        <c:crossBetween val="midCat"/>
      </c:valAx>
      <c:valAx>
        <c:axId val="108764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775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469900</xdr:colOff>
      <xdr:row>0</xdr:row>
      <xdr:rowOff>292100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47F62D8-D1E2-458F-AF89-C33C46AD2FF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GVtc29uLW15LnNoYXJlcG9pbnQuY29tLzp1Oi9nL3BlcnNvbmFsL3RjaGhhdGJfY2xlbXNvbl9lZHUvRWFaZld4S3JJd1pBb2JSdzZmLWRzendCNFpuQkJMZjlCMVZZVl9ZRnhYeHFUQQ&quot;}"/>
            </a:ext>
          </a:extLst>
        </xdr:cNvPr>
        <xdr:cNvSpPr/>
      </xdr:nvSpPr>
      <xdr:spPr>
        <a:xfrm>
          <a:off x="0" y="0"/>
          <a:ext cx="12319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DOI_from_Data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313647</xdr:colOff>
      <xdr:row>2</xdr:row>
      <xdr:rowOff>130298</xdr:rowOff>
    </xdr:from>
    <xdr:to>
      <xdr:col>39</xdr:col>
      <xdr:colOff>308603</xdr:colOff>
      <xdr:row>15</xdr:row>
      <xdr:rowOff>40651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80AC6B-2E71-B808-BB95-BE230CE8A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81611" y="511298"/>
          <a:ext cx="3058468" cy="2386853"/>
        </a:xfrm>
        <a:prstGeom prst="rect">
          <a:avLst/>
        </a:prstGeom>
      </xdr:spPr>
    </xdr:pic>
    <xdr:clientData/>
  </xdr:twoCellAnchor>
  <xdr:twoCellAnchor editAs="oneCell">
    <xdr:from>
      <xdr:col>34</xdr:col>
      <xdr:colOff>300957</xdr:colOff>
      <xdr:row>20</xdr:row>
      <xdr:rowOff>80842</xdr:rowOff>
    </xdr:from>
    <xdr:to>
      <xdr:col>40</xdr:col>
      <xdr:colOff>258230</xdr:colOff>
      <xdr:row>31</xdr:row>
      <xdr:rowOff>31312</xdr:rowOff>
    </xdr:to>
    <xdr:pic>
      <xdr:nvPicPr>
        <xdr:cNvPr id="4" name="Picture 3" descr="2 Vehicle Fundamentals, Fuel Consumption, and Emissions | Technologies and  Approaches to Reducing the Fuel Consumption of Medium- and Heavy-Duty  Vehicles | The National Academies Press">
          <a:extLst>
            <a:ext uri="{FF2B5EF4-FFF2-40B4-BE49-F238E27FC236}">
              <a16:creationId xmlns:a16="http://schemas.microsoft.com/office/drawing/2014/main" id="{F9DA4BB8-5217-E524-5DE0-061E480B5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8921" y="3890842"/>
          <a:ext cx="3623582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</xdr:row>
      <xdr:rowOff>0</xdr:rowOff>
    </xdr:from>
    <xdr:to>
      <xdr:col>26</xdr:col>
      <xdr:colOff>40341</xdr:colOff>
      <xdr:row>20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FF07D74-F773-4A17-83F8-A89CDCBA5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33</xdr:col>
      <xdr:colOff>285750</xdr:colOff>
      <xdr:row>20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C8884A4-4DED-4DE8-868E-69947C6A9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18</xdr:row>
      <xdr:rowOff>0</xdr:rowOff>
    </xdr:from>
    <xdr:to>
      <xdr:col>33</xdr:col>
      <xdr:colOff>285750</xdr:colOff>
      <xdr:row>37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B77424D-F9E8-4DE3-9331-2C7F49677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26</xdr:col>
      <xdr:colOff>40341</xdr:colOff>
      <xdr:row>37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76524B-D622-4B9C-A80B-972A5F963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E2EF0E-7A97-42C5-9A92-7DCB68DCCFE2}" name="Main" displayName="Main" ref="A1:AE6" totalsRowShown="0" headerRowDxfId="37" dataDxfId="36" dataCellStyle="Normal">
  <autoFilter ref="A1:AE6" xr:uid="{D8773499-8894-4D32-83C7-D1EC90B8D239}"/>
  <sortState xmlns:xlrd2="http://schemas.microsoft.com/office/spreadsheetml/2017/richdata2" ref="A2:AE6">
    <sortCondition ref="T1:T6"/>
  </sortState>
  <tableColumns count="31">
    <tableColumn id="30" xr3:uid="{ECF17523-E4FA-4FF5-A921-61A36BBB6AB9}" name="DOI" dataDxfId="35" dataCellStyle="Hyperlink"/>
    <tableColumn id="21" xr3:uid="{5FCAAD68-6178-4D52-96C2-49B3EC48FEFB}" name="Authors" dataDxfId="34"/>
    <tableColumn id="2" xr3:uid="{371CC886-4D48-4D35-9847-36A7A47069D5}" name="Title" dataDxfId="33" dataCellStyle="Normal"/>
    <tableColumn id="3" xr3:uid="{13F0AEDC-37E9-4B92-8C68-B7778B24D7F6}" name="Year" dataDxfId="32" dataCellStyle="Normal"/>
    <tableColumn id="4" xr3:uid="{59A729CE-79C2-4793-8E1D-B0B682E40469}" name="Citations" dataDxfId="31" dataCellStyle="Normal"/>
    <tableColumn id="5" xr3:uid="{308FD6D8-6906-495B-BF91-A3E63806EEC4}" name="Publication" dataDxfId="30" dataCellStyle="Normal"/>
    <tableColumn id="6" xr3:uid="{B8ACE4E8-73CD-417A-B4B8-225113A72382}" name="Publisher" dataDxfId="29" dataCellStyle="Normal"/>
    <tableColumn id="18" xr3:uid="{6B1C613E-C1F0-4BD5-A4BE-DC8B6D8E3B4C}" name="Cite as" dataDxfId="28">
      <calculatedColumnFormula>Main[[#This Row],[Authors]]&amp;" ("&amp;Main[[#This Row],[Year]]&amp;"). "&amp;Main[[#This Row],[Title]]&amp;". "&amp;Main[[#This Row],[Publisher]]&amp;". "&amp;IF(NOT(ISBLANK(Main[[#This Row],[DOI]])),"https://doi.org/"&amp;Main[[#This Row],[DOI]],"")</calculatedColumnFormula>
    </tableColumn>
    <tableColumn id="7" xr3:uid="{615CC6D8-D9F4-46C2-A5B0-D5F1821B36D1}" name="Target" dataDxfId="27" dataCellStyle="Normal"/>
    <tableColumn id="8" xr3:uid="{AA4188D1-D473-4952-AA82-DE412DB39845}" name="Strategy" dataDxfId="26" dataCellStyle="Normal"/>
    <tableColumn id="9" xr3:uid="{0AFCDC78-488D-45DF-A21B-8088A4B7FEE6}" name="Vehicle" dataDxfId="25" dataCellStyle="Normal"/>
    <tableColumn id="10" xr3:uid="{75A570B5-D0C5-464E-A294-06AFC013FE7A}" name="Powertrain" dataDxfId="24" dataCellStyle="Normal"/>
    <tableColumn id="12" xr3:uid="{C95B6D48-047B-409E-8337-9B6E31ABAD4A}" name="Case" dataDxfId="23" dataCellStyle="Normal"/>
    <tableColumn id="14" xr3:uid="{B173FEA3-6DB1-456F-9703-B59C97A0E79B}" name="Platoon size" dataDxfId="22" dataCellStyle="Normal"/>
    <tableColumn id="11" xr3:uid="{F9759EA3-A252-4EAE-8B39-4DECE9DC8AA8}" name="Validation" dataDxfId="21" dataCellStyle="Normal"/>
    <tableColumn id="13" xr3:uid="{4AE75FB1-E308-4778-90BB-9119F8096F99}" name="Savings_x000a_[%]" dataDxfId="20" dataCellStyle="Normal"/>
    <tableColumn id="15" xr3:uid="{D2FC5431-7C1E-4BBC-AED0-97985A22F7A1}" name="Centralized" dataDxfId="19" dataCellStyle="Normal"/>
    <tableColumn id="16" xr3:uid="{983D6E3E-FECD-40D8-AEE3-0B3F8EFE86B8}" name="Novelty" dataDxfId="18" dataCellStyle="Normal"/>
    <tableColumn id="17" xr3:uid="{C1DB30CF-DE6A-4046-8A70-E36B39F4F3A8}" name="Notes" dataDxfId="17" dataCellStyle="Normal"/>
    <tableColumn id="27" xr3:uid="{48EBCF21-22CC-4B2C-A061-34AFE9E65E28}" name="Ref"/>
    <tableColumn id="22" xr3:uid="{305D2C49-E301-4E7E-BBDC-337A5149C75A}" name="Joining loc" dataDxfId="16" dataCellStyle="Normal"/>
    <tableColumn id="24" xr3:uid="{2DEAFD7C-62FF-4143-A6B5-4A7C3C9E7B57}" name="Considerations" dataDxfId="15" dataCellStyle="Normal"/>
    <tableColumn id="26" xr3:uid="{1E103202-9281-4F4D-A032-5A4A6B8CDC62}" name="Optimization" dataDxfId="14" dataCellStyle="Normal"/>
    <tableColumn id="28" xr3:uid="{93769477-AE76-405A-AB97-5C81A7BBAB05}" name="Test Name" dataDxfId="13" dataCellStyle="Normal"/>
    <tableColumn id="29" xr3:uid="{7B02D5C0-D5E2-4D8B-BD7A-EC4B703C4648}" name="Speed_x000a_[kph]" dataDxfId="12" dataCellStyle="Normal"/>
    <tableColumn id="19" xr3:uid="{96E4F14F-33E2-4C93-B134-ED6BAB613AD5}" name="Fuel cost" dataDxfId="11" dataCellStyle="Normal">
      <calculatedColumnFormula>IF(ISNUMBER(SEARCH("fuel",Main[[#This Row],[Considerations]])),"✓","")</calculatedColumnFormula>
    </tableColumn>
    <tableColumn id="20" xr3:uid="{F4A4DD78-9DD8-4B9F-AD70-A7DDE65A8673}" name="Dest" dataDxfId="10" dataCellStyle="Normal">
      <calculatedColumnFormula>IF(ISNUMBER(SEARCH("destination",Main[[#This Row],[Considerations]])),"✓","")</calculatedColumnFormula>
    </tableColumn>
    <tableColumn id="25" xr3:uid="{8787A085-A5C2-4ED2-BFF6-8878130D235F}" name="Speed lim" dataDxfId="9" dataCellStyle="Normal">
      <calculatedColumnFormula>IF(ISNUMBER(SEARCH("speed",Main[[#This Row],[Considerations]])),"✓","")</calculatedColumnFormula>
    </tableColumn>
    <tableColumn id="31" xr3:uid="{C27EDAC7-E2B0-4CEC-93CA-5A1BA1D6B39E}" name="Hetero" dataDxfId="8" dataCellStyle="Normal">
      <calculatedColumnFormula>IF(ISNUMBER(SEARCH("hetero",Main[[#This Row],[Considerations]])),"✓","")</calculatedColumnFormula>
    </tableColumn>
    <tableColumn id="32" xr3:uid="{7413E7D3-90BC-4296-BF1E-26A415CA3978}" name="non-CAVs" dataDxfId="7" dataCellStyle="Normal">
      <calculatedColumnFormula>IF(ISNUMBER(SEARCH("non-CAV",Main[[#This Row],[Considerations]])),"✓","")</calculatedColumnFormula>
    </tableColumn>
    <tableColumn id="23" xr3:uid="{2E51AEA5-A697-4D64-8D5E-C1FC656E0595}" name="Aero" dataDxfId="6">
      <calculatedColumnFormula>IF(ISNUMBER(SEARCH("aero",Main[[#This Row],[Considerations]])),"✓","")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ts.gov/product/freight-facts-and-figur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api.crossref.org/works/10.1109/87.852914" TargetMode="External"/><Relationship Id="rId1" Type="http://schemas.openxmlformats.org/officeDocument/2006/relationships/hyperlink" Target="https://www.eia.gov/energyexplained/use-of-energy/transportation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crossref.org/works/10.1109/9.250509" TargetMode="External"/><Relationship Id="rId4" Type="http://schemas.openxmlformats.org/officeDocument/2006/relationships/hyperlink" Target="https://api.crossref.org/works/10.4271/9404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96F0-1C4E-41B6-ADF5-25031C07931D}">
  <sheetPr>
    <pageSetUpPr autoPageBreaks="0"/>
  </sheetPr>
  <dimension ref="A1:AE6"/>
  <sheetViews>
    <sheetView tabSelected="1" zoomScale="145" zoomScaleNormal="145" workbookViewId="0">
      <pane xSplit="3" ySplit="1" topLeftCell="D2" activePane="bottomRight" state="frozen"/>
      <selection activeCell="I46" sqref="I46"/>
      <selection pane="topRight" activeCell="I46" sqref="I46"/>
      <selection pane="bottomLeft" activeCell="I46" sqref="I46"/>
      <selection pane="bottomRight" activeCell="C8" sqref="C8"/>
    </sheetView>
  </sheetViews>
  <sheetFormatPr defaultRowHeight="15" x14ac:dyDescent="0.25"/>
  <cols>
    <col min="1" max="1" width="11.42578125" style="2" customWidth="1"/>
    <col min="2" max="2" width="11.5703125" customWidth="1"/>
    <col min="3" max="3" width="47.5703125" customWidth="1"/>
    <col min="4" max="4" width="7.140625" customWidth="1"/>
    <col min="5" max="5" width="8" customWidth="1"/>
    <col min="6" max="6" width="13.85546875" customWidth="1"/>
    <col min="7" max="8" width="18.28515625" customWidth="1"/>
    <col min="9" max="9" width="17.140625" customWidth="1"/>
    <col min="10" max="10" width="24.85546875" customWidth="1"/>
    <col min="11" max="11" width="9.85546875" customWidth="1"/>
    <col min="12" max="12" width="8.42578125" customWidth="1"/>
    <col min="13" max="13" width="10" customWidth="1"/>
    <col min="14" max="14" width="11.42578125" style="7" customWidth="1"/>
    <col min="15" max="15" width="12.28515625" bestFit="1" customWidth="1"/>
    <col min="16" max="16" width="9.140625" style="27"/>
    <col min="17" max="17" width="9.140625" customWidth="1"/>
    <col min="18" max="18" width="32.140625" style="9" customWidth="1"/>
    <col min="19" max="19" width="75.7109375" style="19" customWidth="1"/>
    <col min="20" max="20" width="12.7109375" style="9" bestFit="1" customWidth="1"/>
    <col min="21" max="21" width="12.28515625" bestFit="1" customWidth="1"/>
    <col min="22" max="22" width="19.5703125" bestFit="1" customWidth="1"/>
    <col min="23" max="23" width="14.140625" bestFit="1" customWidth="1"/>
    <col min="25" max="25" width="13.42578125" customWidth="1"/>
    <col min="27" max="27" width="13.42578125" bestFit="1" customWidth="1"/>
    <col min="28" max="28" width="12.5703125" customWidth="1"/>
  </cols>
  <sheetData>
    <row r="1" spans="1:31" s="1" customFormat="1" ht="30" x14ac:dyDescent="0.25">
      <c r="A1" s="4" t="s">
        <v>2</v>
      </c>
      <c r="B1" s="1" t="s">
        <v>28</v>
      </c>
      <c r="C1" s="1" t="s">
        <v>99</v>
      </c>
      <c r="D1" s="1" t="s">
        <v>0</v>
      </c>
      <c r="E1" s="1" t="s">
        <v>101</v>
      </c>
      <c r="F1" s="1" t="s">
        <v>5</v>
      </c>
      <c r="G1" s="3" t="s">
        <v>3</v>
      </c>
      <c r="H1" s="1" t="s">
        <v>36</v>
      </c>
      <c r="I1" s="1" t="s">
        <v>15</v>
      </c>
      <c r="J1" s="1" t="s">
        <v>16</v>
      </c>
      <c r="K1" s="1" t="s">
        <v>8</v>
      </c>
      <c r="L1" s="1" t="s">
        <v>7</v>
      </c>
      <c r="M1" s="1" t="s">
        <v>14</v>
      </c>
      <c r="N1" s="1" t="s">
        <v>17</v>
      </c>
      <c r="O1" s="1" t="s">
        <v>6</v>
      </c>
      <c r="P1" s="36" t="s">
        <v>97</v>
      </c>
      <c r="Q1" s="1" t="s">
        <v>44</v>
      </c>
      <c r="R1" s="5" t="s">
        <v>13</v>
      </c>
      <c r="S1" s="25" t="s">
        <v>1</v>
      </c>
      <c r="T1" s="5" t="s">
        <v>52</v>
      </c>
      <c r="U1" s="13" t="s">
        <v>46</v>
      </c>
      <c r="V1" s="31" t="s">
        <v>53</v>
      </c>
      <c r="W1" s="13" t="s">
        <v>45</v>
      </c>
      <c r="X1" s="13" t="s">
        <v>51</v>
      </c>
      <c r="Y1" s="5" t="s">
        <v>98</v>
      </c>
      <c r="Z1" s="1" t="s">
        <v>54</v>
      </c>
      <c r="AA1" s="1" t="s">
        <v>79</v>
      </c>
      <c r="AB1" s="1" t="s">
        <v>80</v>
      </c>
      <c r="AC1" s="1" t="s">
        <v>78</v>
      </c>
      <c r="AD1" s="1" t="s">
        <v>77</v>
      </c>
      <c r="AE1" s="1" t="s">
        <v>23</v>
      </c>
    </row>
    <row r="2" spans="1:31" x14ac:dyDescent="0.25">
      <c r="A2" s="17" t="s">
        <v>32</v>
      </c>
      <c r="B2" t="s">
        <v>94</v>
      </c>
      <c r="C2" s="17" t="s">
        <v>33</v>
      </c>
      <c r="D2" s="17">
        <v>2022</v>
      </c>
      <c r="E2" s="17" t="s">
        <v>11</v>
      </c>
      <c r="F2" t="s">
        <v>93</v>
      </c>
      <c r="G2" t="s">
        <v>94</v>
      </c>
      <c r="H2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Energy Information Administration (2022). Use of energy - Transportation. Energy Information Administration. https://doi.org/https://www.eia.gov/energyexplained/use-of-energy/transportation.php</v>
      </c>
      <c r="I2" s="17" t="s">
        <v>34</v>
      </c>
      <c r="J2" s="17" t="s">
        <v>24</v>
      </c>
      <c r="K2" s="17" t="s">
        <v>11</v>
      </c>
      <c r="L2" s="17" t="s">
        <v>11</v>
      </c>
      <c r="M2" s="17" t="s">
        <v>11</v>
      </c>
      <c r="N2" s="6" t="s">
        <v>11</v>
      </c>
      <c r="O2" s="17" t="s">
        <v>11</v>
      </c>
      <c r="P2" s="17" t="s">
        <v>11</v>
      </c>
      <c r="Q2" s="17" t="s">
        <v>11</v>
      </c>
      <c r="R2" s="17" t="s">
        <v>11</v>
      </c>
      <c r="S2" s="18" t="s">
        <v>11</v>
      </c>
      <c r="T2">
        <v>1</v>
      </c>
      <c r="Z2" t="str">
        <f>IF(ISNUMBER(SEARCH("fuel",Main[[#This Row],[Considerations]])),"✓","")</f>
        <v/>
      </c>
      <c r="AA2" t="str">
        <f>IF(ISNUMBER(SEARCH("destination",Main[[#This Row],[Considerations]])),"✓","")</f>
        <v/>
      </c>
      <c r="AB2" t="str">
        <f>IF(ISNUMBER(SEARCH("speed",Main[[#This Row],[Considerations]])),"✓","")</f>
        <v/>
      </c>
      <c r="AC2" t="str">
        <f>IF(ISNUMBER(SEARCH("hetero",Main[[#This Row],[Considerations]])),"✓","")</f>
        <v/>
      </c>
      <c r="AD2" t="str">
        <f>IF(ISNUMBER(SEARCH("non-CAV",Main[[#This Row],[Considerations]])),"✓","")</f>
        <v/>
      </c>
      <c r="AE2" t="str">
        <f>IF(ISNUMBER(SEARCH("aero",Main[[#This Row],[Considerations]])),"✓","")</f>
        <v/>
      </c>
    </row>
    <row r="3" spans="1:31" x14ac:dyDescent="0.25">
      <c r="A3" s="11" t="s">
        <v>42</v>
      </c>
      <c r="B3" t="s">
        <v>92</v>
      </c>
      <c r="C3" t="s">
        <v>43</v>
      </c>
      <c r="D3">
        <v>2023</v>
      </c>
      <c r="E3" t="s">
        <v>11</v>
      </c>
      <c r="F3" t="s">
        <v>93</v>
      </c>
      <c r="G3" t="s">
        <v>11</v>
      </c>
      <c r="H3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Bureau of Transportation Statistics (2023). Freight Facts and Figures. -. https://doi.org/https://www.bts.gov/product/freight-facts-and-figures</v>
      </c>
      <c r="I3" t="s">
        <v>34</v>
      </c>
      <c r="N3" s="8"/>
      <c r="P3"/>
      <c r="R3"/>
      <c r="S3" s="14"/>
      <c r="T3">
        <v>2</v>
      </c>
      <c r="Z3" t="str">
        <f>IF(ISNUMBER(SEARCH("fuel",Main[[#This Row],[Considerations]])),"✓","")</f>
        <v/>
      </c>
      <c r="AA3" t="str">
        <f>IF(ISNUMBER(SEARCH("destination",Main[[#This Row],[Considerations]])),"✓","")</f>
        <v/>
      </c>
      <c r="AB3" t="str">
        <f>IF(ISNUMBER(SEARCH("speed",Main[[#This Row],[Considerations]])),"✓","")</f>
        <v/>
      </c>
      <c r="AC3" t="str">
        <f>IF(ISNUMBER(SEARCH("hetero",Main[[#This Row],[Considerations]])),"✓","")</f>
        <v/>
      </c>
      <c r="AD3" t="str">
        <f>IF(ISNUMBER(SEARCH("non-CAV",Main[[#This Row],[Considerations]])),"✓","")</f>
        <v/>
      </c>
      <c r="AE3" t="str">
        <f>IF(ISNUMBER(SEARCH("aero",Main[[#This Row],[Considerations]])),"✓","")</f>
        <v/>
      </c>
    </row>
    <row r="4" spans="1:31" x14ac:dyDescent="0.25">
      <c r="A4" s="44" t="s">
        <v>26</v>
      </c>
      <c r="B4" s="43" t="s">
        <v>27</v>
      </c>
      <c r="C4" s="43" t="s">
        <v>100</v>
      </c>
      <c r="D4" s="17">
        <v>1993</v>
      </c>
      <c r="E4" s="17">
        <v>1024</v>
      </c>
      <c r="F4" s="17" t="s">
        <v>4</v>
      </c>
      <c r="G4" s="17" t="s">
        <v>35</v>
      </c>
      <c r="H4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Varaiya (1993). Smart cars on smart roads: problems of control. Institute of Electrical and Electronics Engineers (IEEE). https://doi.org/10.1109/9.250509</v>
      </c>
      <c r="I4" t="s">
        <v>19</v>
      </c>
      <c r="J4" s="17" t="s">
        <v>11</v>
      </c>
      <c r="K4" s="17" t="s">
        <v>11</v>
      </c>
      <c r="L4" s="17" t="s">
        <v>11</v>
      </c>
      <c r="M4" s="17" t="s">
        <v>31</v>
      </c>
      <c r="N4" s="6" t="s">
        <v>12</v>
      </c>
      <c r="O4" s="17" t="s">
        <v>11</v>
      </c>
      <c r="P4" s="17" t="s">
        <v>11</v>
      </c>
      <c r="Q4" s="17" t="b">
        <v>1</v>
      </c>
      <c r="R4" s="17" t="s">
        <v>29</v>
      </c>
      <c r="S4" s="18" t="s">
        <v>30</v>
      </c>
      <c r="T4">
        <v>3</v>
      </c>
      <c r="Z4" t="str">
        <f>IF(ISNUMBER(SEARCH("fuel",Main[[#This Row],[Considerations]])),"✓","")</f>
        <v/>
      </c>
      <c r="AA4" t="str">
        <f>IF(ISNUMBER(SEARCH("destination",Main[[#This Row],[Considerations]])),"✓","")</f>
        <v/>
      </c>
      <c r="AB4" t="str">
        <f>IF(ISNUMBER(SEARCH("speed",Main[[#This Row],[Considerations]])),"✓","")</f>
        <v/>
      </c>
      <c r="AC4" t="str">
        <f>IF(ISNUMBER(SEARCH("hetero",Main[[#This Row],[Considerations]])),"✓","")</f>
        <v/>
      </c>
      <c r="AD4" t="str">
        <f>IF(ISNUMBER(SEARCH("non-CAV",Main[[#This Row],[Considerations]])),"✓","")</f>
        <v/>
      </c>
      <c r="AE4" t="str">
        <f>IF(ISNUMBER(SEARCH("aero",Main[[#This Row],[Considerations]])),"✓","")</f>
        <v/>
      </c>
    </row>
    <row r="5" spans="1:31" x14ac:dyDescent="0.25">
      <c r="A5" s="11" t="s">
        <v>88</v>
      </c>
      <c r="B5" t="s">
        <v>102</v>
      </c>
      <c r="C5" t="s">
        <v>89</v>
      </c>
      <c r="D5" t="s">
        <v>103</v>
      </c>
      <c r="E5">
        <v>28</v>
      </c>
      <c r="F5" t="s">
        <v>20</v>
      </c>
      <c r="G5" t="s">
        <v>21</v>
      </c>
      <c r="H5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Zabatet al. (Unknown). Drag Measurements on 2, 3 and 4 Car Platoons. SAE International. https://doi.org/10.4271/940421</v>
      </c>
      <c r="I5" t="s">
        <v>23</v>
      </c>
      <c r="J5" t="s">
        <v>90</v>
      </c>
      <c r="K5" t="s">
        <v>91</v>
      </c>
      <c r="L5" t="s">
        <v>11</v>
      </c>
      <c r="M5" s="17" t="s">
        <v>22</v>
      </c>
      <c r="N5" s="30" t="s">
        <v>39</v>
      </c>
      <c r="O5" t="s">
        <v>90</v>
      </c>
      <c r="P5"/>
      <c r="R5"/>
      <c r="S5" s="14"/>
      <c r="T5">
        <v>100</v>
      </c>
      <c r="Z5" t="str">
        <f>IF(ISNUMBER(SEARCH("fuel",Main[[#This Row],[Considerations]])),"✓","")</f>
        <v/>
      </c>
      <c r="AA5" t="str">
        <f>IF(ISNUMBER(SEARCH("destination",Main[[#This Row],[Considerations]])),"✓","")</f>
        <v/>
      </c>
      <c r="AB5" t="str">
        <f>IF(ISNUMBER(SEARCH("speed",Main[[#This Row],[Considerations]])),"✓","")</f>
        <v/>
      </c>
      <c r="AC5" t="str">
        <f>IF(ISNUMBER(SEARCH("hetero",Main[[#This Row],[Considerations]])),"✓","")</f>
        <v/>
      </c>
      <c r="AD5" t="str">
        <f>IF(ISNUMBER(SEARCH("non-CAV",Main[[#This Row],[Considerations]])),"✓","")</f>
        <v/>
      </c>
      <c r="AE5" t="str">
        <f>IF(ISNUMBER(SEARCH("aero",Main[[#This Row],[Considerations]])),"✓","")</f>
        <v/>
      </c>
    </row>
    <row r="6" spans="1:31" x14ac:dyDescent="0.25">
      <c r="A6" s="11" t="s">
        <v>25</v>
      </c>
      <c r="B6" s="17" t="s">
        <v>104</v>
      </c>
      <c r="C6" s="17" t="s">
        <v>18</v>
      </c>
      <c r="D6" s="17">
        <v>2000</v>
      </c>
      <c r="E6" s="17">
        <v>440</v>
      </c>
      <c r="F6" s="17" t="s">
        <v>4</v>
      </c>
      <c r="G6" s="17" t="s">
        <v>35</v>
      </c>
      <c r="H6" t="str">
        <f>Main[[#This Row],[Authors]]&amp;" ("&amp;Main[[#This Row],[Year]]&amp;"). "&amp;Main[[#This Row],[Title]]&amp;". "&amp;Main[[#This Row],[Publisher]]&amp;". "&amp;IF(NOT(ISBLANK(Main[[#This Row],[DOI]])),"https://doi.org/"&amp;Main[[#This Row],[DOI]],"")</f>
        <v>Rajamaniet al. (2000). Demonstration of integrated longitudinal and lateral control for the operation of automated vehicles in platoons. Institute of Electrical and Electronics Engineers (IEEE). https://doi.org/10.1109/87.852914</v>
      </c>
      <c r="I6" s="17" t="s">
        <v>9</v>
      </c>
      <c r="J6" s="17" t="s">
        <v>38</v>
      </c>
      <c r="K6" s="17" t="s">
        <v>11</v>
      </c>
      <c r="L6" s="17" t="s">
        <v>40</v>
      </c>
      <c r="M6" s="17" t="s">
        <v>37</v>
      </c>
      <c r="N6" s="6" t="s">
        <v>12</v>
      </c>
      <c r="O6" s="17" t="s">
        <v>10</v>
      </c>
      <c r="P6" s="17" t="s">
        <v>11</v>
      </c>
      <c r="Q6" s="17" t="s">
        <v>11</v>
      </c>
      <c r="R6" s="17" t="s">
        <v>41</v>
      </c>
      <c r="S6" s="18" t="s">
        <v>11</v>
      </c>
      <c r="T6">
        <v>100</v>
      </c>
      <c r="Z6" t="str">
        <f>IF(ISNUMBER(SEARCH("fuel",Main[[#This Row],[Considerations]])),"✓","")</f>
        <v/>
      </c>
      <c r="AA6" t="str">
        <f>IF(ISNUMBER(SEARCH("destination",Main[[#This Row],[Considerations]])),"✓","")</f>
        <v/>
      </c>
      <c r="AB6" t="str">
        <f>IF(ISNUMBER(SEARCH("speed",Main[[#This Row],[Considerations]])),"✓","")</f>
        <v/>
      </c>
      <c r="AC6" t="str">
        <f>IF(ISNUMBER(SEARCH("hetero",Main[[#This Row],[Considerations]])),"✓","")</f>
        <v/>
      </c>
      <c r="AD6" t="str">
        <f>IF(ISNUMBER(SEARCH("non-CAV",Main[[#This Row],[Considerations]])),"✓","")</f>
        <v/>
      </c>
      <c r="AE6" t="str">
        <f>IF(ISNUMBER(SEARCH("aero",Main[[#This Row],[Considerations]])),"✓","")</f>
        <v/>
      </c>
    </row>
  </sheetData>
  <phoneticPr fontId="4" type="noConversion"/>
  <conditionalFormatting sqref="A2:A3 A5:A6">
    <cfRule type="expression" dxfId="5" priority="480">
      <formula>AND(OR(ISBLANK(B2:S2)),NOT(ISBLANK($A2)))</formula>
    </cfRule>
  </conditionalFormatting>
  <conditionalFormatting sqref="B2:S6">
    <cfRule type="expression" dxfId="4" priority="477">
      <formula>AND(ISBLANK(B2),NOT(ISBLANK($A2)))</formula>
    </cfRule>
  </conditionalFormatting>
  <conditionalFormatting sqref="T1:T1048576">
    <cfRule type="cellIs" priority="1" stopIfTrue="1" operator="greaterThan">
      <formula>99</formula>
    </cfRule>
    <cfRule type="duplicateValues" dxfId="3" priority="2"/>
  </conditionalFormatting>
  <conditionalFormatting sqref="A2:A3 C2:C6 A5:A6">
    <cfRule type="duplicateValues" dxfId="0" priority="489"/>
  </conditionalFormatting>
  <hyperlinks>
    <hyperlink ref="A2" r:id="rId1" xr:uid="{30AAFCB7-F64E-4263-9D5C-A5D8203E5391}"/>
    <hyperlink ref="A6" r:id="rId2" xr:uid="{13DBE488-7118-4EE5-9D6A-DA22D9A29C56}"/>
    <hyperlink ref="A3" r:id="rId3" xr:uid="{BCF3B5E0-8C5B-4DC3-BBEE-107727AC376C}"/>
    <hyperlink ref="A5" r:id="rId4" xr:uid="{289CC11C-371A-44A9-ABA3-5762E070729B}"/>
    <hyperlink ref="A4" r:id="rId5" xr:uid="{E213E251-5A4D-48C0-8A77-46695757C7FE}"/>
  </hyperlinks>
  <pageMargins left="0.7" right="0.7" top="0.75" bottom="0.75" header="0.3" footer="0.3"/>
  <pageSetup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95B-6EA8-4CF6-9F90-D547BFE63F9F}">
  <sheetPr>
    <pageSetUpPr autoPageBreaks="0"/>
  </sheetPr>
  <dimension ref="A1:Q38"/>
  <sheetViews>
    <sheetView zoomScaleNormal="100"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9" customWidth="1"/>
    <col min="3" max="3" width="9.42578125" bestFit="1" customWidth="1"/>
    <col min="4" max="4" width="9" bestFit="1" customWidth="1"/>
    <col min="5" max="5" width="2.5703125" customWidth="1"/>
    <col min="6" max="6" width="4.140625" style="21" bestFit="1" customWidth="1"/>
    <col min="7" max="7" width="5" style="21" bestFit="1" customWidth="1"/>
    <col min="8" max="8" width="23.85546875" style="35" bestFit="1" customWidth="1"/>
    <col min="9" max="9" width="7.28515625" style="34" customWidth="1"/>
    <col min="10" max="15" width="7.28515625" style="32" customWidth="1"/>
    <col min="16" max="16" width="7.85546875" style="7" bestFit="1" customWidth="1"/>
    <col min="17" max="17" width="30.7109375" customWidth="1"/>
  </cols>
  <sheetData>
    <row r="1" spans="1:17" x14ac:dyDescent="0.25">
      <c r="A1" s="1" t="s">
        <v>49</v>
      </c>
      <c r="B1" s="1" t="s">
        <v>47</v>
      </c>
      <c r="C1" s="1" t="s">
        <v>48</v>
      </c>
      <c r="D1" s="1" t="s">
        <v>50</v>
      </c>
      <c r="E1" s="10"/>
      <c r="F1" s="26" t="e" cm="1" vm="1">
        <f t="array" ref="F1">_xlfn.VSTACK(_xlfn.CHOOSECOLS(Main[#Headers],D2:INDEX(D2:D21,COUNTA(D2:D21))),_xlfn._xlws.SORT(_xlfn._xlws.SORT(_xlfn._xlws.SORT(_xlfn._xlws.SORT(_xlfn._xlws.SORT(_xlfn._xlws.SORT(_xlfn._xlws.SORT(_xlfn._xlws.FILTER(_xlfn.LET(_xlpm.longExp,_xlfn.CHOOSECOLS(Main[],D2:INDEX(D2:D21,COUNTA(D2:D21))),IF(ISBLANK(_xlpm.longExp),"",_xlpm.longExp)),ISNUMBER(SEARCH("Formation",Main[Target]))),2),4),7),6),5),8),9,1))</f>
        <v>#VALUE!</v>
      </c>
      <c r="G1" s="26"/>
      <c r="I1" s="32"/>
      <c r="O1" s="33"/>
      <c r="P1" s="28"/>
      <c r="Q1" s="9"/>
    </row>
    <row r="2" spans="1:17" x14ac:dyDescent="0.25">
      <c r="A2" s="15" cm="1">
        <f t="array" ref="A2:A32">IF(B2&lt;&gt;"", _xlfn.SEQUENCE(COUNTA(B$2:B$100)-1), "")</f>
        <v>1</v>
      </c>
      <c r="B2" s="15" t="str" cm="1">
        <f t="array" ref="B2:B32">TRANSPOSE(Main[#Headers])</f>
        <v>DOI</v>
      </c>
      <c r="C2" s="16"/>
      <c r="D2" s="15" cm="1">
        <f t="array" ref="D2:D12">_xlfn.SORTBY(_xlfn._xlws.FILTER(A2:A100,C2:C100&lt;&gt;""),_xlfn._xlws.FILTER(C2:C100,C2:C100&lt;&gt;""))</f>
        <v>20</v>
      </c>
      <c r="E2" s="9"/>
      <c r="H2" s="38"/>
      <c r="I2" s="39"/>
      <c r="J2" s="26"/>
      <c r="K2" s="26"/>
      <c r="L2" s="26"/>
      <c r="M2" s="26"/>
      <c r="N2" s="26"/>
      <c r="O2" s="26"/>
    </row>
    <row r="3" spans="1:17" x14ac:dyDescent="0.25">
      <c r="A3" s="15">
        <v>2</v>
      </c>
      <c r="B3" s="15" t="str">
        <v>Authors</v>
      </c>
      <c r="C3" s="16">
        <v>3</v>
      </c>
      <c r="D3" s="15">
        <v>4</v>
      </c>
      <c r="E3" s="9"/>
      <c r="H3" s="38"/>
      <c r="I3" s="39"/>
      <c r="J3" s="26"/>
      <c r="K3" s="26"/>
      <c r="L3" s="26"/>
      <c r="M3" s="26"/>
      <c r="N3" s="26"/>
      <c r="O3" s="26"/>
    </row>
    <row r="4" spans="1:17" x14ac:dyDescent="0.25">
      <c r="A4" s="15">
        <v>3</v>
      </c>
      <c r="B4" s="15" t="str">
        <v>Title</v>
      </c>
      <c r="C4" s="16"/>
      <c r="D4" s="15">
        <v>2</v>
      </c>
      <c r="E4" s="9"/>
      <c r="H4" s="38"/>
      <c r="I4" s="39"/>
      <c r="J4" s="26"/>
      <c r="K4" s="26"/>
      <c r="L4" s="26"/>
      <c r="M4" s="26"/>
      <c r="N4" s="26"/>
      <c r="O4" s="26"/>
    </row>
    <row r="5" spans="1:17" x14ac:dyDescent="0.25">
      <c r="A5" s="15">
        <v>4</v>
      </c>
      <c r="B5" s="15" t="str">
        <v>Year</v>
      </c>
      <c r="C5" s="16">
        <v>2</v>
      </c>
      <c r="D5" s="15">
        <v>26</v>
      </c>
      <c r="E5" s="9"/>
      <c r="H5" s="38"/>
      <c r="I5" s="39"/>
      <c r="J5" s="26"/>
      <c r="K5" s="26"/>
      <c r="L5" s="26"/>
      <c r="M5" s="26"/>
      <c r="N5" s="26"/>
      <c r="O5" s="26"/>
    </row>
    <row r="6" spans="1:17" x14ac:dyDescent="0.25">
      <c r="A6" s="15">
        <v>5</v>
      </c>
      <c r="B6" s="15" t="str">
        <v>Citations</v>
      </c>
      <c r="C6" s="16"/>
      <c r="D6" s="15">
        <v>27</v>
      </c>
      <c r="E6" s="9"/>
      <c r="H6" s="38"/>
      <c r="I6" s="39"/>
      <c r="J6" s="26"/>
      <c r="K6" s="26"/>
      <c r="L6" s="26"/>
      <c r="M6" s="26"/>
      <c r="N6" s="26"/>
      <c r="O6" s="26"/>
    </row>
    <row r="7" spans="1:17" x14ac:dyDescent="0.25">
      <c r="A7" s="15">
        <v>6</v>
      </c>
      <c r="B7" s="15" t="str">
        <v>Publication</v>
      </c>
      <c r="C7" s="16"/>
      <c r="D7" s="15">
        <v>28</v>
      </c>
      <c r="E7" s="9"/>
      <c r="H7" s="38"/>
      <c r="I7" s="39"/>
      <c r="J7" s="26"/>
      <c r="K7" s="26"/>
      <c r="L7" s="26"/>
      <c r="M7" s="26"/>
      <c r="N7" s="26"/>
      <c r="O7" s="26"/>
    </row>
    <row r="8" spans="1:17" x14ac:dyDescent="0.25">
      <c r="A8" s="15">
        <v>7</v>
      </c>
      <c r="B8" s="15" t="str">
        <v>Publisher</v>
      </c>
      <c r="C8" s="16"/>
      <c r="D8" s="15">
        <v>29</v>
      </c>
      <c r="E8" s="9"/>
      <c r="H8" s="38"/>
      <c r="I8" s="39"/>
      <c r="J8" s="26"/>
      <c r="K8" s="26"/>
      <c r="L8" s="26"/>
      <c r="M8" s="26"/>
      <c r="N8" s="26"/>
      <c r="O8" s="26"/>
    </row>
    <row r="9" spans="1:17" x14ac:dyDescent="0.25">
      <c r="A9" s="15">
        <v>8</v>
      </c>
      <c r="B9" s="15" t="str">
        <v>Cite as</v>
      </c>
      <c r="C9" s="16"/>
      <c r="D9" s="15">
        <v>30</v>
      </c>
      <c r="E9" s="9"/>
      <c r="H9" s="38"/>
      <c r="I9" s="39"/>
      <c r="J9" s="26"/>
      <c r="K9" s="26"/>
      <c r="L9" s="26"/>
      <c r="M9" s="26"/>
      <c r="N9" s="26"/>
      <c r="O9" s="26"/>
    </row>
    <row r="10" spans="1:17" x14ac:dyDescent="0.25">
      <c r="A10" s="15">
        <v>9</v>
      </c>
      <c r="B10" s="15" t="str">
        <v>Target</v>
      </c>
      <c r="C10" s="16"/>
      <c r="D10" s="15">
        <v>31</v>
      </c>
      <c r="E10" s="9"/>
      <c r="H10" s="38"/>
      <c r="I10" s="39"/>
      <c r="J10" s="26"/>
      <c r="K10" s="26"/>
      <c r="L10" s="26"/>
      <c r="M10" s="26"/>
      <c r="N10" s="26"/>
      <c r="O10" s="26"/>
    </row>
    <row r="11" spans="1:17" x14ac:dyDescent="0.25">
      <c r="A11" s="15">
        <v>10</v>
      </c>
      <c r="B11" s="15" t="str">
        <v>Strategy</v>
      </c>
      <c r="C11" s="16"/>
      <c r="D11" s="15">
        <v>21</v>
      </c>
      <c r="E11" s="9"/>
      <c r="H11" s="38"/>
      <c r="I11" s="39"/>
      <c r="J11" s="26"/>
      <c r="K11" s="26"/>
      <c r="L11" s="26"/>
      <c r="M11" s="26"/>
      <c r="N11" s="26"/>
      <c r="O11" s="26"/>
    </row>
    <row r="12" spans="1:17" x14ac:dyDescent="0.25">
      <c r="A12" s="15">
        <v>11</v>
      </c>
      <c r="B12" s="15" t="str">
        <v>Vehicle</v>
      </c>
      <c r="C12" s="16"/>
      <c r="D12" s="15">
        <v>16</v>
      </c>
      <c r="E12" s="9"/>
      <c r="H12" s="38"/>
      <c r="I12" s="39"/>
      <c r="J12" s="26"/>
      <c r="K12" s="26"/>
      <c r="L12" s="26"/>
      <c r="M12" s="26"/>
      <c r="N12" s="26"/>
      <c r="O12" s="26"/>
    </row>
    <row r="13" spans="1:17" x14ac:dyDescent="0.25">
      <c r="A13" s="15">
        <v>12</v>
      </c>
      <c r="B13" s="15" t="str">
        <v>Powertrain</v>
      </c>
      <c r="C13" s="16"/>
      <c r="D13" s="15"/>
      <c r="E13" s="9"/>
      <c r="H13" s="38"/>
      <c r="I13" s="39"/>
      <c r="J13" s="26"/>
      <c r="K13" s="26"/>
      <c r="L13" s="26"/>
      <c r="M13" s="26"/>
      <c r="N13" s="26"/>
      <c r="O13" s="26"/>
    </row>
    <row r="14" spans="1:17" x14ac:dyDescent="0.25">
      <c r="A14" s="15">
        <v>13</v>
      </c>
      <c r="B14" s="15" t="str">
        <v>Case</v>
      </c>
      <c r="C14" s="16"/>
      <c r="D14" s="15"/>
      <c r="E14" s="9"/>
      <c r="H14" s="38"/>
      <c r="I14" s="39"/>
      <c r="J14" s="26"/>
      <c r="K14" s="26"/>
      <c r="L14" s="26"/>
      <c r="M14" s="26"/>
      <c r="N14" s="26"/>
      <c r="O14" s="26"/>
    </row>
    <row r="15" spans="1:17" x14ac:dyDescent="0.25">
      <c r="A15" s="15">
        <v>14</v>
      </c>
      <c r="B15" s="15" t="str">
        <v>Platoon size</v>
      </c>
      <c r="C15" s="16"/>
      <c r="D15" s="15"/>
      <c r="E15" s="9"/>
      <c r="H15" s="38"/>
      <c r="I15" s="39"/>
      <c r="J15" s="26"/>
      <c r="K15" s="26"/>
      <c r="L15" s="26"/>
      <c r="M15" s="26"/>
      <c r="N15" s="26"/>
      <c r="O15" s="26"/>
    </row>
    <row r="16" spans="1:17" x14ac:dyDescent="0.25">
      <c r="A16" s="15">
        <v>15</v>
      </c>
      <c r="B16" s="15" t="str">
        <v>Validation</v>
      </c>
      <c r="C16" s="16"/>
      <c r="D16" s="15"/>
      <c r="H16" s="38"/>
      <c r="I16" s="39"/>
      <c r="J16" s="26"/>
      <c r="K16" s="26"/>
      <c r="L16" s="26"/>
      <c r="M16" s="26"/>
      <c r="N16" s="26"/>
      <c r="O16" s="26"/>
    </row>
    <row r="17" spans="1:16" x14ac:dyDescent="0.25">
      <c r="A17" s="15">
        <v>16</v>
      </c>
      <c r="B17" s="15" t="str">
        <v>Savings
[%]</v>
      </c>
      <c r="C17" s="16">
        <v>7</v>
      </c>
      <c r="D17" s="15"/>
      <c r="H17" s="38"/>
      <c r="I17" s="39"/>
      <c r="J17" s="26"/>
      <c r="K17" s="26"/>
      <c r="L17" s="26"/>
      <c r="M17" s="26"/>
      <c r="N17" s="26"/>
      <c r="O17" s="26"/>
    </row>
    <row r="18" spans="1:16" x14ac:dyDescent="0.25">
      <c r="A18" s="15">
        <v>17</v>
      </c>
      <c r="B18" s="15" t="str">
        <v>Centralized</v>
      </c>
      <c r="C18" s="16"/>
      <c r="D18" s="15"/>
      <c r="H18" s="38"/>
      <c r="I18" s="39"/>
      <c r="J18" s="26"/>
      <c r="K18" s="26"/>
      <c r="L18" s="26"/>
      <c r="M18" s="26"/>
      <c r="N18" s="26"/>
      <c r="O18" s="26"/>
    </row>
    <row r="19" spans="1:16" x14ac:dyDescent="0.25">
      <c r="A19" s="15">
        <v>18</v>
      </c>
      <c r="B19" s="15" t="str">
        <v>Novelty</v>
      </c>
      <c r="C19" s="16"/>
      <c r="D19" s="15"/>
      <c r="H19" s="38"/>
      <c r="I19" s="39"/>
      <c r="J19" s="26"/>
      <c r="K19" s="26"/>
      <c r="L19" s="26"/>
      <c r="M19" s="26"/>
      <c r="N19" s="26"/>
      <c r="O19" s="26"/>
    </row>
    <row r="20" spans="1:16" x14ac:dyDescent="0.25">
      <c r="A20" s="15">
        <v>19</v>
      </c>
      <c r="B20" s="15" t="str">
        <v>Notes</v>
      </c>
      <c r="C20" s="16"/>
      <c r="D20" s="15"/>
      <c r="H20" s="38"/>
      <c r="I20" s="39"/>
      <c r="J20" s="26"/>
      <c r="K20" s="26"/>
      <c r="L20" s="26"/>
      <c r="M20" s="26"/>
      <c r="N20" s="26"/>
      <c r="O20" s="26"/>
    </row>
    <row r="21" spans="1:16" x14ac:dyDescent="0.25">
      <c r="A21" s="15">
        <v>20</v>
      </c>
      <c r="B21" s="15" t="str">
        <v>Ref</v>
      </c>
      <c r="C21" s="16">
        <v>1</v>
      </c>
      <c r="D21" s="15"/>
      <c r="H21" s="38"/>
      <c r="I21" s="39"/>
      <c r="J21" s="26"/>
      <c r="K21" s="26"/>
      <c r="L21" s="26"/>
      <c r="M21" s="26"/>
      <c r="N21" s="26"/>
      <c r="O21" s="26"/>
    </row>
    <row r="22" spans="1:16" x14ac:dyDescent="0.25">
      <c r="A22" s="15">
        <v>21</v>
      </c>
      <c r="B22" s="15" t="str">
        <v>Joining loc</v>
      </c>
      <c r="C22" s="16">
        <v>6</v>
      </c>
      <c r="D22" s="15"/>
      <c r="H22" s="38"/>
      <c r="I22" s="39"/>
      <c r="J22" s="26"/>
      <c r="K22" s="26"/>
      <c r="L22" s="26"/>
      <c r="M22" s="26"/>
      <c r="N22" s="26"/>
      <c r="O22" s="26"/>
    </row>
    <row r="23" spans="1:16" x14ac:dyDescent="0.25">
      <c r="A23" s="15">
        <v>22</v>
      </c>
      <c r="B23" s="15" t="str">
        <v>Considerations</v>
      </c>
      <c r="C23" s="16"/>
      <c r="D23" s="15"/>
      <c r="H23" s="38"/>
      <c r="I23" s="39"/>
      <c r="J23" s="26"/>
      <c r="K23" s="26"/>
      <c r="L23" s="26"/>
      <c r="M23" s="26"/>
      <c r="N23" s="26"/>
      <c r="O23" s="26"/>
    </row>
    <row r="24" spans="1:16" x14ac:dyDescent="0.25">
      <c r="A24" s="15">
        <v>23</v>
      </c>
      <c r="B24" s="15" t="str">
        <v>Optimization</v>
      </c>
      <c r="C24" s="16"/>
      <c r="D24" s="15"/>
      <c r="H24" s="38"/>
      <c r="I24" s="39"/>
      <c r="J24" s="26"/>
      <c r="K24" s="26"/>
      <c r="L24" s="26"/>
      <c r="M24" s="26"/>
      <c r="N24" s="26"/>
      <c r="O24" s="26"/>
    </row>
    <row r="25" spans="1:16" x14ac:dyDescent="0.25">
      <c r="A25" s="15">
        <v>24</v>
      </c>
      <c r="B25" s="15" t="str">
        <v>Test Name</v>
      </c>
      <c r="C25" s="16"/>
      <c r="D25" s="15"/>
      <c r="H25" s="38"/>
      <c r="I25" s="39"/>
      <c r="J25" s="26"/>
      <c r="K25" s="26"/>
      <c r="L25" s="26"/>
      <c r="M25" s="26"/>
      <c r="N25" s="26"/>
      <c r="O25" s="26"/>
    </row>
    <row r="26" spans="1:16" x14ac:dyDescent="0.25">
      <c r="A26" s="15">
        <v>25</v>
      </c>
      <c r="B26" s="15" t="str">
        <v>Speed
[kph]</v>
      </c>
      <c r="C26" s="16"/>
      <c r="D26" s="15"/>
      <c r="F26" s="20"/>
      <c r="G26" s="20"/>
      <c r="H26" s="40"/>
      <c r="I26" s="41"/>
      <c r="J26" s="42"/>
      <c r="K26" s="42"/>
      <c r="L26" s="42"/>
      <c r="M26" s="42"/>
      <c r="N26" s="42"/>
      <c r="O26" s="26"/>
      <c r="P26" s="37"/>
    </row>
    <row r="27" spans="1:16" x14ac:dyDescent="0.25">
      <c r="A27" s="15">
        <v>26</v>
      </c>
      <c r="B27" s="15" t="str">
        <v>Fuel cost</v>
      </c>
      <c r="C27" s="16">
        <v>5</v>
      </c>
      <c r="D27" s="15"/>
      <c r="H27" s="38"/>
      <c r="I27" s="39"/>
      <c r="J27" s="26"/>
      <c r="K27" s="26"/>
      <c r="L27" s="26"/>
      <c r="M27" s="26"/>
      <c r="N27" s="26"/>
      <c r="O27" s="26"/>
    </row>
    <row r="28" spans="1:16" x14ac:dyDescent="0.25">
      <c r="A28" s="15">
        <v>27</v>
      </c>
      <c r="B28" s="15" t="str">
        <v>Dest</v>
      </c>
      <c r="C28" s="16">
        <v>5</v>
      </c>
      <c r="D28" s="15"/>
      <c r="H28" s="38"/>
      <c r="I28" s="39"/>
      <c r="J28" s="26"/>
      <c r="K28" s="26"/>
      <c r="L28" s="26"/>
      <c r="M28" s="26"/>
      <c r="N28" s="26"/>
      <c r="O28" s="26"/>
    </row>
    <row r="29" spans="1:16" x14ac:dyDescent="0.25">
      <c r="A29" s="15">
        <v>28</v>
      </c>
      <c r="B29" s="15" t="str">
        <v>Speed lim</v>
      </c>
      <c r="C29" s="16">
        <v>5</v>
      </c>
      <c r="D29" s="15"/>
      <c r="H29" s="38"/>
      <c r="I29" s="39"/>
      <c r="J29" s="26"/>
      <c r="K29" s="26"/>
      <c r="L29" s="26"/>
      <c r="M29" s="26"/>
      <c r="N29" s="26"/>
      <c r="O29" s="26"/>
    </row>
    <row r="30" spans="1:16" x14ac:dyDescent="0.25">
      <c r="A30" s="15">
        <v>29</v>
      </c>
      <c r="B30" s="15" t="str">
        <v>Hetero</v>
      </c>
      <c r="C30" s="16">
        <v>5</v>
      </c>
      <c r="D30" s="15"/>
      <c r="H30" s="38"/>
      <c r="I30" s="39"/>
      <c r="J30" s="26"/>
      <c r="K30" s="26"/>
      <c r="L30" s="26"/>
      <c r="M30" s="26"/>
      <c r="N30" s="26"/>
      <c r="O30" s="26"/>
    </row>
    <row r="31" spans="1:16" x14ac:dyDescent="0.25">
      <c r="A31" s="15">
        <v>30</v>
      </c>
      <c r="B31" s="15" t="str">
        <v>non-CAVs</v>
      </c>
      <c r="C31" s="16">
        <v>5</v>
      </c>
      <c r="D31" s="15"/>
      <c r="H31" s="38"/>
      <c r="I31" s="39"/>
      <c r="J31" s="26"/>
      <c r="K31" s="26"/>
      <c r="L31" s="26"/>
      <c r="M31" s="26"/>
      <c r="N31" s="26"/>
      <c r="O31" s="26"/>
    </row>
    <row r="32" spans="1:16" x14ac:dyDescent="0.25">
      <c r="A32" s="15">
        <v>31</v>
      </c>
      <c r="B32" s="15" t="str">
        <v>Aero</v>
      </c>
      <c r="C32" s="16">
        <v>5</v>
      </c>
      <c r="D32" s="15"/>
      <c r="H32" s="38"/>
      <c r="I32" s="39"/>
      <c r="J32" s="26"/>
      <c r="K32" s="26"/>
      <c r="L32" s="26"/>
      <c r="M32" s="26"/>
      <c r="N32" s="26"/>
      <c r="O32" s="26"/>
    </row>
    <row r="33" spans="1:15" x14ac:dyDescent="0.25">
      <c r="A33" s="15"/>
      <c r="B33" s="15"/>
      <c r="C33" s="16"/>
      <c r="D33" s="15"/>
      <c r="H33" s="38"/>
      <c r="I33" s="39"/>
      <c r="J33" s="26"/>
      <c r="K33" s="26"/>
      <c r="L33" s="26"/>
      <c r="M33" s="26"/>
      <c r="N33" s="26"/>
      <c r="O33" s="26"/>
    </row>
    <row r="34" spans="1:15" x14ac:dyDescent="0.25">
      <c r="H34" s="38"/>
      <c r="I34" s="39"/>
      <c r="J34" s="26"/>
      <c r="K34" s="26"/>
      <c r="L34" s="26"/>
      <c r="M34" s="26"/>
      <c r="N34" s="26"/>
      <c r="O34" s="26"/>
    </row>
    <row r="35" spans="1:15" x14ac:dyDescent="0.25">
      <c r="H35" s="38"/>
      <c r="I35" s="39"/>
      <c r="J35" s="26"/>
      <c r="K35" s="26"/>
      <c r="L35" s="26"/>
      <c r="M35" s="26"/>
      <c r="N35" s="26"/>
      <c r="O35" s="26"/>
    </row>
    <row r="38" spans="1:15" ht="75" x14ac:dyDescent="0.25">
      <c r="B38" s="9" t="s">
        <v>96</v>
      </c>
    </row>
  </sheetData>
  <conditionalFormatting sqref="F1:S1">
    <cfRule type="expression" dxfId="2" priority="2">
      <formula>F1&lt;&gt;""</formula>
    </cfRule>
  </conditionalFormatting>
  <conditionalFormatting sqref="F2:S100">
    <cfRule type="expression" dxfId="1" priority="3">
      <formula>AND($F2&lt;&gt;"",OR(F$2:F$20&lt;&gt;""))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69B6-7C68-4225-9624-7264EAC50D9E}">
  <sheetPr>
    <pageSetUpPr autoPageBreaks="0"/>
  </sheetPr>
  <dimension ref="A1:L94"/>
  <sheetViews>
    <sheetView topLeftCell="C1" zoomScale="85" zoomScaleNormal="85" workbookViewId="0">
      <selection activeCell="F1" sqref="F1"/>
    </sheetView>
  </sheetViews>
  <sheetFormatPr defaultRowHeight="15" x14ac:dyDescent="0.25"/>
  <cols>
    <col min="1" max="1" width="8.28515625" style="1" bestFit="1" customWidth="1"/>
    <col min="2" max="2" width="19" bestFit="1" customWidth="1"/>
    <col min="3" max="3" width="9.42578125" bestFit="1" customWidth="1"/>
    <col min="4" max="4" width="9" bestFit="1" customWidth="1"/>
    <col min="5" max="5" width="2.5703125" customWidth="1"/>
    <col min="6" max="6" width="13.42578125" style="12" customWidth="1"/>
    <col min="7" max="7" width="159.5703125" bestFit="1" customWidth="1"/>
    <col min="8" max="8" width="9.140625" customWidth="1"/>
    <col min="9" max="9" width="9.140625" style="24" customWidth="1"/>
    <col min="10" max="11" width="9.140625" customWidth="1"/>
  </cols>
  <sheetData>
    <row r="1" spans="1:12" x14ac:dyDescent="0.25">
      <c r="A1" s="1" t="s">
        <v>49</v>
      </c>
      <c r="B1" s="1" t="s">
        <v>47</v>
      </c>
      <c r="C1" s="1" t="s">
        <v>48</v>
      </c>
      <c r="D1" s="1" t="s">
        <v>50</v>
      </c>
      <c r="E1" s="10"/>
      <c r="F1" t="str" cm="1">
        <f t="array" ref="F1:I20">"[" &amp; TEXT(_xlfn.SEQUENCE(COUNTA(_xlfn.LET(_xlpm.longExp,_xlfn.CHOOSECOLS(Main[],D2:INDEX(D2:D21,COUNTA(D2:D21))),IF(ISBLANK(_xlpm.longExp),"",_xlpm.longExp)))), "0") &amp;"] "&amp;_xlfn._xlws.SORT(_xlfn._xlws.SORT(_xlfn._xlws.SORT(_xlfn._xlws.FILTER(_xlfn.LET(_xlpm.longExp,_xlfn.CHOOSECOLS(Main[],D2:INDEX(D2:D21,COUNTA(D2:D21))),IF(ISBLANK(_xlpm.longExp),"",_xlpm.longExp)),NOT(ISBLANK(Main[Ref]))),1),3),4)</f>
        <v>[1] 2022</v>
      </c>
      <c r="G1" t="str">
        <v>[1] Energy Information Administration (2022). Use of energy - Transportation. Energy Information Administration. https://doi.org/https://www.eia.gov/energyexplained/use-of-energy/transportation.php</v>
      </c>
      <c r="H1" t="str">
        <v>[1] Statistics</v>
      </c>
      <c r="I1" s="8" t="str">
        <v>[1] 1</v>
      </c>
    </row>
    <row r="2" spans="1:12" x14ac:dyDescent="0.25">
      <c r="A2" s="15" cm="1">
        <f t="array" ref="A2:A32">IF(B2&lt;&gt;"", _xlfn.SEQUENCE(COUNTA(B$2:B$100)), "")</f>
        <v>1</v>
      </c>
      <c r="B2" s="15" t="str" cm="1">
        <f t="array" ref="B2:B32">TRANSPOSE(Main[#Headers])</f>
        <v>DOI</v>
      </c>
      <c r="C2" s="16"/>
      <c r="D2" s="15" cm="1">
        <f t="array" ref="D2:D5">_xlfn.SORTBY(_xlfn._xlws.FILTER(A2:A100,C2:C100&lt;&gt;""),_xlfn._xlws.FILTER(C2:C100,C2:C100&lt;&gt;""))</f>
        <v>4</v>
      </c>
      <c r="E2" s="9"/>
      <c r="F2" t="str">
        <v>[2] 2023</v>
      </c>
      <c r="G2" t="str">
        <v>[2] Bureau of Transportation Statistics (2023). Freight Facts and Figures. -. https://doi.org/https://www.bts.gov/product/freight-facts-and-figures</v>
      </c>
      <c r="H2" t="str">
        <v>[2] Statistics</v>
      </c>
      <c r="I2" s="24" t="str">
        <v>[2] 2</v>
      </c>
      <c r="J2" s="9"/>
      <c r="K2" s="9"/>
      <c r="L2" s="9"/>
    </row>
    <row r="3" spans="1:12" x14ac:dyDescent="0.25">
      <c r="A3" s="15">
        <v>2</v>
      </c>
      <c r="B3" s="15" t="str">
        <v>Authors</v>
      </c>
      <c r="C3" s="16"/>
      <c r="D3" s="15">
        <v>8</v>
      </c>
      <c r="E3" s="9"/>
      <c r="F3" t="str">
        <v>[3] 1993</v>
      </c>
      <c r="G3" t="str">
        <v>[3] Varaiya (1993). Smart cars on smart roads: problems of control. Institute of Electrical and Electronics Engineers (IEEE). https://doi.org/10.1109/9.250509</v>
      </c>
      <c r="H3" t="str">
        <v>[3] Ontology</v>
      </c>
      <c r="I3" s="24" t="str">
        <v>[3] 3</v>
      </c>
      <c r="J3" s="9"/>
      <c r="K3" s="9"/>
      <c r="L3" s="9"/>
    </row>
    <row r="4" spans="1:12" x14ac:dyDescent="0.25">
      <c r="A4" s="15">
        <v>3</v>
      </c>
      <c r="B4" s="15" t="str">
        <v>Title</v>
      </c>
      <c r="C4" s="16"/>
      <c r="D4" s="15">
        <v>9</v>
      </c>
      <c r="E4" s="9"/>
      <c r="F4" t="str">
        <v>[4] Unknown</v>
      </c>
      <c r="G4" t="str">
        <v>[4] Zabatet al. (Unknown). Drag Measurements on 2, 3 and 4 Car Platoons. SAE International. https://doi.org/10.4271/940421</v>
      </c>
      <c r="H4" t="str">
        <v>[4] Aero</v>
      </c>
      <c r="I4" s="24" t="str">
        <v>[4] 100</v>
      </c>
      <c r="J4" s="9"/>
      <c r="K4" s="9"/>
      <c r="L4" s="9"/>
    </row>
    <row r="5" spans="1:12" x14ac:dyDescent="0.25">
      <c r="A5" s="15">
        <v>4</v>
      </c>
      <c r="B5" s="15" t="str">
        <v>Year</v>
      </c>
      <c r="C5" s="16">
        <v>1</v>
      </c>
      <c r="D5" s="15">
        <v>20</v>
      </c>
      <c r="E5" s="9"/>
      <c r="F5" t="str">
        <v>[5] 2000</v>
      </c>
      <c r="G5" t="str">
        <v>[5] Rajamaniet al. (2000). Demonstration of integrated longitudinal and lateral control for the operation of automated vehicles in platoons. Institute of Electrical and Electronics Engineers (IEEE). https://doi.org/10.1109/87.852914</v>
      </c>
      <c r="H5" t="str">
        <v>[5] Control</v>
      </c>
      <c r="I5" s="24" t="str">
        <v>[5] 100</v>
      </c>
      <c r="J5" s="9"/>
      <c r="K5" s="9"/>
      <c r="L5" s="9"/>
    </row>
    <row r="6" spans="1:12" x14ac:dyDescent="0.25">
      <c r="A6" s="15">
        <v>5</v>
      </c>
      <c r="B6" s="15" t="str">
        <v>Citations</v>
      </c>
      <c r="C6" s="16"/>
      <c r="D6" s="15"/>
      <c r="E6" s="9"/>
      <c r="F6" t="e">
        <v>#N/A</v>
      </c>
      <c r="G6" t="e">
        <v>#N/A</v>
      </c>
      <c r="H6" t="e">
        <v>#N/A</v>
      </c>
      <c r="I6" s="24" t="e">
        <v>#N/A</v>
      </c>
      <c r="J6" s="9"/>
      <c r="K6" s="9"/>
      <c r="L6" s="9"/>
    </row>
    <row r="7" spans="1:12" x14ac:dyDescent="0.25">
      <c r="A7" s="15">
        <v>6</v>
      </c>
      <c r="B7" s="15" t="str">
        <v>Publication</v>
      </c>
      <c r="C7" s="16"/>
      <c r="D7" s="15"/>
      <c r="E7" s="9"/>
      <c r="F7" t="e">
        <v>#N/A</v>
      </c>
      <c r="G7" t="e">
        <v>#N/A</v>
      </c>
      <c r="H7" t="e">
        <v>#N/A</v>
      </c>
      <c r="I7" s="24" t="e">
        <v>#N/A</v>
      </c>
      <c r="J7" s="9"/>
      <c r="K7" s="9"/>
      <c r="L7" s="9"/>
    </row>
    <row r="8" spans="1:12" x14ac:dyDescent="0.25">
      <c r="A8" s="15">
        <v>7</v>
      </c>
      <c r="B8" s="15" t="str">
        <v>Publisher</v>
      </c>
      <c r="C8" s="16"/>
      <c r="D8" s="15"/>
      <c r="E8" s="9"/>
      <c r="F8" t="e">
        <v>#N/A</v>
      </c>
      <c r="G8" t="e">
        <v>#N/A</v>
      </c>
      <c r="H8" t="e">
        <v>#N/A</v>
      </c>
      <c r="I8" s="24" t="e">
        <v>#N/A</v>
      </c>
      <c r="J8" s="9"/>
      <c r="K8" s="9"/>
      <c r="L8" s="9"/>
    </row>
    <row r="9" spans="1:12" x14ac:dyDescent="0.25">
      <c r="A9" s="15">
        <v>8</v>
      </c>
      <c r="B9" s="15" t="str">
        <v>Cite as</v>
      </c>
      <c r="C9" s="16">
        <v>2</v>
      </c>
      <c r="D9" s="15"/>
      <c r="E9" s="9"/>
      <c r="F9" t="e">
        <v>#N/A</v>
      </c>
      <c r="G9" t="e">
        <v>#N/A</v>
      </c>
      <c r="H9" t="e">
        <v>#N/A</v>
      </c>
      <c r="I9" s="24" t="e">
        <v>#N/A</v>
      </c>
      <c r="J9" s="9"/>
      <c r="K9" s="9"/>
      <c r="L9" s="9"/>
    </row>
    <row r="10" spans="1:12" x14ac:dyDescent="0.25">
      <c r="A10" s="15">
        <v>9</v>
      </c>
      <c r="B10" s="15" t="str">
        <v>Target</v>
      </c>
      <c r="C10" s="16">
        <v>3</v>
      </c>
      <c r="D10" s="15"/>
      <c r="E10" s="9"/>
      <c r="F10" t="e">
        <v>#N/A</v>
      </c>
      <c r="G10" t="e">
        <v>#N/A</v>
      </c>
      <c r="H10" t="e">
        <v>#N/A</v>
      </c>
      <c r="I10" s="24" t="e">
        <v>#N/A</v>
      </c>
      <c r="J10" s="9"/>
      <c r="K10" s="9"/>
      <c r="L10" s="9"/>
    </row>
    <row r="11" spans="1:12" x14ac:dyDescent="0.25">
      <c r="A11" s="15">
        <v>10</v>
      </c>
      <c r="B11" s="15" t="str">
        <v>Strategy</v>
      </c>
      <c r="C11" s="16"/>
      <c r="D11" s="15"/>
      <c r="E11" s="9"/>
      <c r="F11" t="e">
        <v>#N/A</v>
      </c>
      <c r="G11" t="e">
        <v>#N/A</v>
      </c>
      <c r="H11" t="e">
        <v>#N/A</v>
      </c>
      <c r="I11" s="24" t="e">
        <v>#N/A</v>
      </c>
      <c r="J11" s="9"/>
      <c r="K11" s="9"/>
      <c r="L11" s="9"/>
    </row>
    <row r="12" spans="1:12" x14ac:dyDescent="0.25">
      <c r="A12" s="15">
        <v>11</v>
      </c>
      <c r="B12" s="15" t="str">
        <v>Vehicle</v>
      </c>
      <c r="C12" s="16"/>
      <c r="D12" s="15"/>
      <c r="E12" s="9"/>
      <c r="F12" t="e">
        <v>#N/A</v>
      </c>
      <c r="G12" t="e">
        <v>#N/A</v>
      </c>
      <c r="H12" t="e">
        <v>#N/A</v>
      </c>
      <c r="I12" s="24" t="e">
        <v>#N/A</v>
      </c>
      <c r="J12" s="9"/>
      <c r="K12" s="9"/>
      <c r="L12" s="9"/>
    </row>
    <row r="13" spans="1:12" x14ac:dyDescent="0.25">
      <c r="A13" s="15">
        <v>12</v>
      </c>
      <c r="B13" s="15" t="str">
        <v>Powertrain</v>
      </c>
      <c r="C13" s="16"/>
      <c r="D13" s="15"/>
      <c r="E13" s="9"/>
      <c r="F13" t="e">
        <v>#N/A</v>
      </c>
      <c r="G13" t="e">
        <v>#N/A</v>
      </c>
      <c r="H13" t="e">
        <v>#N/A</v>
      </c>
      <c r="I13" s="24" t="e">
        <v>#N/A</v>
      </c>
      <c r="J13" s="9"/>
      <c r="K13" s="9"/>
      <c r="L13" s="9"/>
    </row>
    <row r="14" spans="1:12" x14ac:dyDescent="0.25">
      <c r="A14" s="15">
        <v>13</v>
      </c>
      <c r="B14" s="15" t="str">
        <v>Case</v>
      </c>
      <c r="C14" s="16"/>
      <c r="D14" s="15"/>
      <c r="E14" s="9"/>
      <c r="F14" t="e">
        <v>#N/A</v>
      </c>
      <c r="G14" t="e">
        <v>#N/A</v>
      </c>
      <c r="H14" t="e">
        <v>#N/A</v>
      </c>
      <c r="I14" s="24" t="e">
        <v>#N/A</v>
      </c>
      <c r="J14" s="9"/>
      <c r="K14" s="9"/>
      <c r="L14" s="9"/>
    </row>
    <row r="15" spans="1:12" x14ac:dyDescent="0.25">
      <c r="A15" s="15">
        <v>14</v>
      </c>
      <c r="B15" s="15" t="str">
        <v>Platoon size</v>
      </c>
      <c r="C15" s="16"/>
      <c r="D15" s="15"/>
      <c r="E15" s="9"/>
      <c r="F15" t="e">
        <v>#N/A</v>
      </c>
      <c r="G15" t="e">
        <v>#N/A</v>
      </c>
      <c r="H15" t="e">
        <v>#N/A</v>
      </c>
      <c r="I15" s="24" t="e">
        <v>#N/A</v>
      </c>
      <c r="J15" s="9"/>
      <c r="K15" s="9"/>
      <c r="L15" s="9"/>
    </row>
    <row r="16" spans="1:12" x14ac:dyDescent="0.25">
      <c r="A16" s="15">
        <v>15</v>
      </c>
      <c r="B16" s="15" t="str">
        <v>Validation</v>
      </c>
      <c r="C16" s="16"/>
      <c r="D16" s="15"/>
      <c r="F16" t="e">
        <v>#N/A</v>
      </c>
      <c r="G16" t="e">
        <v>#N/A</v>
      </c>
      <c r="H16" t="e">
        <v>#N/A</v>
      </c>
      <c r="I16" s="24" t="e">
        <v>#N/A</v>
      </c>
      <c r="J16" s="9"/>
      <c r="K16" s="9"/>
      <c r="L16" s="9"/>
    </row>
    <row r="17" spans="1:12" x14ac:dyDescent="0.25">
      <c r="A17" s="15">
        <v>16</v>
      </c>
      <c r="B17" s="15" t="str">
        <v>Savings
[%]</v>
      </c>
      <c r="C17" s="16"/>
      <c r="D17" s="15"/>
      <c r="F17" t="e">
        <v>#N/A</v>
      </c>
      <c r="G17" t="e">
        <v>#N/A</v>
      </c>
      <c r="H17" t="e">
        <v>#N/A</v>
      </c>
      <c r="I17" s="24" t="e">
        <v>#N/A</v>
      </c>
      <c r="J17" s="9"/>
      <c r="K17" s="9"/>
      <c r="L17" s="9"/>
    </row>
    <row r="18" spans="1:12" x14ac:dyDescent="0.25">
      <c r="A18" s="15">
        <v>17</v>
      </c>
      <c r="B18" s="15" t="str">
        <v>Centralized</v>
      </c>
      <c r="C18" s="16"/>
      <c r="D18" s="15"/>
      <c r="F18" t="e">
        <v>#N/A</v>
      </c>
      <c r="G18" t="e">
        <v>#N/A</v>
      </c>
      <c r="H18" t="e">
        <v>#N/A</v>
      </c>
      <c r="I18" s="24" t="e">
        <v>#N/A</v>
      </c>
      <c r="J18" s="9"/>
      <c r="K18" s="9"/>
      <c r="L18" s="9"/>
    </row>
    <row r="19" spans="1:12" x14ac:dyDescent="0.25">
      <c r="A19" s="15">
        <v>18</v>
      </c>
      <c r="B19" s="15" t="str">
        <v>Novelty</v>
      </c>
      <c r="C19" s="16"/>
      <c r="D19" s="15"/>
      <c r="F19" t="e">
        <v>#N/A</v>
      </c>
      <c r="G19" t="e">
        <v>#N/A</v>
      </c>
      <c r="H19" t="e">
        <v>#N/A</v>
      </c>
      <c r="I19" s="24" t="e">
        <v>#N/A</v>
      </c>
      <c r="J19" s="9"/>
      <c r="K19" s="9"/>
      <c r="L19" s="9"/>
    </row>
    <row r="20" spans="1:12" x14ac:dyDescent="0.25">
      <c r="A20" s="15">
        <v>19</v>
      </c>
      <c r="B20" s="15" t="str">
        <v>Notes</v>
      </c>
      <c r="C20" s="16"/>
      <c r="D20" s="15"/>
      <c r="F20" t="e">
        <v>#N/A</v>
      </c>
      <c r="G20" t="e">
        <v>#N/A</v>
      </c>
      <c r="H20" t="e">
        <v>#N/A</v>
      </c>
      <c r="I20" s="24" t="e">
        <v>#N/A</v>
      </c>
      <c r="J20" s="9"/>
      <c r="K20" s="9"/>
    </row>
    <row r="21" spans="1:12" x14ac:dyDescent="0.25">
      <c r="A21" s="15">
        <v>20</v>
      </c>
      <c r="B21" s="15" t="str">
        <v>Ref</v>
      </c>
      <c r="C21" s="16">
        <v>4</v>
      </c>
      <c r="D21" s="15"/>
      <c r="F21"/>
    </row>
    <row r="22" spans="1:12" x14ac:dyDescent="0.25">
      <c r="A22" s="15">
        <v>21</v>
      </c>
      <c r="B22" s="15" t="str">
        <v>Joining loc</v>
      </c>
      <c r="C22" s="16"/>
      <c r="D22" s="15"/>
      <c r="F22"/>
    </row>
    <row r="23" spans="1:12" x14ac:dyDescent="0.25">
      <c r="A23" s="15">
        <v>22</v>
      </c>
      <c r="B23" s="15" t="str">
        <v>Considerations</v>
      </c>
      <c r="C23" s="16"/>
      <c r="D23" s="15"/>
      <c r="F23"/>
    </row>
    <row r="24" spans="1:12" x14ac:dyDescent="0.25">
      <c r="A24" s="15">
        <v>23</v>
      </c>
      <c r="B24" s="15" t="str">
        <v>Optimization</v>
      </c>
      <c r="C24" s="16"/>
      <c r="D24" s="15"/>
      <c r="F24"/>
    </row>
    <row r="25" spans="1:12" x14ac:dyDescent="0.25">
      <c r="A25" s="15">
        <v>24</v>
      </c>
      <c r="B25" s="15" t="str">
        <v>Test Name</v>
      </c>
      <c r="C25" s="16"/>
      <c r="D25" s="15"/>
      <c r="F25"/>
    </row>
    <row r="26" spans="1:12" x14ac:dyDescent="0.25">
      <c r="A26" s="15">
        <v>25</v>
      </c>
      <c r="B26" s="15" t="str">
        <v>Speed
[kph]</v>
      </c>
      <c r="C26" s="16"/>
      <c r="D26" s="15"/>
      <c r="F26"/>
    </row>
    <row r="27" spans="1:12" x14ac:dyDescent="0.25">
      <c r="A27" s="15">
        <v>26</v>
      </c>
      <c r="B27" s="15" t="str">
        <v>Fuel cost</v>
      </c>
      <c r="C27" s="16"/>
      <c r="D27" s="15"/>
      <c r="F27"/>
    </row>
    <row r="28" spans="1:12" x14ac:dyDescent="0.25">
      <c r="A28" s="15">
        <v>27</v>
      </c>
      <c r="B28" s="15" t="str">
        <v>Dest</v>
      </c>
      <c r="C28" s="16"/>
      <c r="D28" s="15"/>
      <c r="F28"/>
    </row>
    <row r="29" spans="1:12" x14ac:dyDescent="0.25">
      <c r="A29" s="15">
        <v>28</v>
      </c>
      <c r="B29" s="15" t="str">
        <v>Speed lim</v>
      </c>
      <c r="C29" s="16"/>
      <c r="D29" s="15"/>
      <c r="F29"/>
    </row>
    <row r="30" spans="1:12" x14ac:dyDescent="0.25">
      <c r="A30" s="15">
        <v>29</v>
      </c>
      <c r="B30" s="15" t="str">
        <v>Hetero</v>
      </c>
      <c r="C30" s="16"/>
      <c r="D30" s="15"/>
      <c r="F30"/>
    </row>
    <row r="31" spans="1:12" x14ac:dyDescent="0.25">
      <c r="A31" s="15">
        <v>30</v>
      </c>
      <c r="B31" s="15" t="str">
        <v>non-CAVs</v>
      </c>
      <c r="C31" s="16"/>
      <c r="D31" s="15"/>
      <c r="F31"/>
    </row>
    <row r="32" spans="1:12" x14ac:dyDescent="0.25">
      <c r="A32" s="15">
        <v>31</v>
      </c>
      <c r="B32" s="15" t="str">
        <v>Aero</v>
      </c>
      <c r="C32" s="16"/>
      <c r="D32" s="15"/>
      <c r="F32"/>
    </row>
    <row r="33" spans="1:6" x14ac:dyDescent="0.25">
      <c r="A33" s="15"/>
      <c r="B33" s="15"/>
      <c r="C33" s="16"/>
      <c r="D33" s="15"/>
      <c r="F33"/>
    </row>
    <row r="34" spans="1:6" x14ac:dyDescent="0.25">
      <c r="F34"/>
    </row>
    <row r="35" spans="1:6" x14ac:dyDescent="0.25">
      <c r="F35"/>
    </row>
    <row r="36" spans="1:6" x14ac:dyDescent="0.25">
      <c r="F36"/>
    </row>
    <row r="37" spans="1:6" x14ac:dyDescent="0.25">
      <c r="F37"/>
    </row>
    <row r="38" spans="1:6" x14ac:dyDescent="0.25">
      <c r="F38"/>
    </row>
    <row r="39" spans="1:6" x14ac:dyDescent="0.25">
      <c r="F39"/>
    </row>
    <row r="40" spans="1:6" x14ac:dyDescent="0.25">
      <c r="F40"/>
    </row>
    <row r="41" spans="1:6" x14ac:dyDescent="0.25">
      <c r="F41"/>
    </row>
    <row r="42" spans="1:6" x14ac:dyDescent="0.25">
      <c r="F42"/>
    </row>
    <row r="43" spans="1:6" x14ac:dyDescent="0.25">
      <c r="F43"/>
    </row>
    <row r="44" spans="1:6" x14ac:dyDescent="0.25">
      <c r="F44"/>
    </row>
    <row r="45" spans="1:6" x14ac:dyDescent="0.25">
      <c r="F45"/>
    </row>
    <row r="46" spans="1:6" x14ac:dyDescent="0.25">
      <c r="F46"/>
    </row>
    <row r="47" spans="1:6" x14ac:dyDescent="0.25">
      <c r="F47"/>
    </row>
    <row r="48" spans="1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1D8B-265F-460E-9A06-14F7431504E3}">
  <dimension ref="A1:Q37"/>
  <sheetViews>
    <sheetView zoomScale="67" zoomScaleNormal="115" workbookViewId="0">
      <selection activeCell="AR27" sqref="AR27"/>
    </sheetView>
  </sheetViews>
  <sheetFormatPr defaultRowHeight="15" x14ac:dyDescent="0.25"/>
  <cols>
    <col min="1" max="2" width="12.5703125" bestFit="1" customWidth="1"/>
    <col min="5" max="6" width="9.42578125" bestFit="1" customWidth="1"/>
    <col min="7" max="15" width="12" bestFit="1" customWidth="1"/>
  </cols>
  <sheetData>
    <row r="1" spans="1:15" x14ac:dyDescent="0.25">
      <c r="A1" s="1" t="s">
        <v>73</v>
      </c>
    </row>
    <row r="2" spans="1:15" x14ac:dyDescent="0.25">
      <c r="A2" t="s">
        <v>62</v>
      </c>
      <c r="B2" s="16">
        <v>1800</v>
      </c>
      <c r="C2" t="s">
        <v>63</v>
      </c>
      <c r="E2" s="1" t="s">
        <v>55</v>
      </c>
      <c r="F2" s="1" t="s">
        <v>82</v>
      </c>
      <c r="G2" s="1" t="s">
        <v>56</v>
      </c>
      <c r="H2" s="1" t="s">
        <v>23</v>
      </c>
      <c r="I2" s="1" t="s">
        <v>57</v>
      </c>
      <c r="J2" s="1" t="s">
        <v>58</v>
      </c>
      <c r="K2" s="1" t="s">
        <v>84</v>
      </c>
      <c r="L2" s="1" t="s">
        <v>83</v>
      </c>
      <c r="M2" s="1" t="s">
        <v>61</v>
      </c>
      <c r="N2" s="1" t="s">
        <v>85</v>
      </c>
    </row>
    <row r="3" spans="1:15" x14ac:dyDescent="0.25">
      <c r="A3" t="s">
        <v>64</v>
      </c>
      <c r="B3" s="16">
        <v>8.0000000000000002E-3</v>
      </c>
      <c r="E3">
        <v>5</v>
      </c>
      <c r="F3">
        <v>7</v>
      </c>
      <c r="G3">
        <f t="shared" ref="G3:G17" si="0">(1-$B$7)/$B$7*(H3+I3)</f>
        <v>7.876918597406761E-2</v>
      </c>
      <c r="H3">
        <f t="shared" ref="H3:H17" si="1">0.5*1.225*(E3*$B$19)^3*$B$10/$B$18</f>
        <v>5.0590861207138356E-3</v>
      </c>
      <c r="I3">
        <f t="shared" ref="I3:I17" si="2">$B$2*9.81*($B$3+$B$4*E3*$B$19)*E3*$B$19/$B$18</f>
        <v>0.44129963439900255</v>
      </c>
      <c r="J3">
        <f t="shared" ref="J3:J17" si="3">SUM(F3:I3)</f>
        <v>7.5251279064937844</v>
      </c>
      <c r="K3">
        <f t="shared" ref="K3:K17" si="4">J3/$B$8/$B$9</f>
        <v>0.47778589882500216</v>
      </c>
      <c r="L3">
        <f t="shared" ref="L3:L17" si="5">K3/E3</f>
        <v>9.555717976500043E-2</v>
      </c>
      <c r="M3">
        <f>1/L3</f>
        <v>10.464938400853352</v>
      </c>
      <c r="N3">
        <f>L3*100*2.35215</f>
        <v>22.476482038424574</v>
      </c>
      <c r="O3">
        <f>H3/J3</f>
        <v>6.7229237610009443E-4</v>
      </c>
    </row>
    <row r="4" spans="1:15" x14ac:dyDescent="0.25">
      <c r="A4" t="s">
        <v>65</v>
      </c>
      <c r="B4" s="16">
        <v>1E-4</v>
      </c>
      <c r="E4">
        <v>10</v>
      </c>
      <c r="F4">
        <f>F3</f>
        <v>7</v>
      </c>
      <c r="G4">
        <f t="shared" si="0"/>
        <v>0.16712850232169371</v>
      </c>
      <c r="H4">
        <f t="shared" si="1"/>
        <v>4.0472688965710685E-2</v>
      </c>
      <c r="I4">
        <f t="shared" si="2"/>
        <v>0.90658882419055353</v>
      </c>
      <c r="J4">
        <f t="shared" si="3"/>
        <v>8.1141900154779574</v>
      </c>
      <c r="K4">
        <f t="shared" si="4"/>
        <v>0.51518666764939414</v>
      </c>
      <c r="L4">
        <f t="shared" si="5"/>
        <v>5.1518666764939415E-2</v>
      </c>
      <c r="M4">
        <f t="shared" ref="M4:M17" si="6">1/L4</f>
        <v>19.410440191758639</v>
      </c>
      <c r="N4">
        <f t="shared" ref="N4:N17" si="7">L4*100*2.35215</f>
        <v>12.117963203115226</v>
      </c>
      <c r="O4">
        <f t="shared" ref="O4:O17" si="8">H4/J4</f>
        <v>4.9878902131338223E-3</v>
      </c>
    </row>
    <row r="5" spans="1:15" x14ac:dyDescent="0.25">
      <c r="A5" t="s">
        <v>75</v>
      </c>
      <c r="B5" s="16">
        <f>0.34</f>
        <v>0.34</v>
      </c>
      <c r="E5">
        <v>15</v>
      </c>
      <c r="F5">
        <f t="shared" ref="F5:F17" si="9">F4</f>
        <v>7</v>
      </c>
      <c r="G5">
        <f t="shared" si="0"/>
        <v>0.27043462846481064</v>
      </c>
      <c r="H5">
        <f t="shared" si="1"/>
        <v>0.13659532525927356</v>
      </c>
      <c r="I5">
        <f t="shared" si="2"/>
        <v>1.3958675693746532</v>
      </c>
      <c r="J5">
        <f t="shared" si="3"/>
        <v>8.8028975230987374</v>
      </c>
      <c r="K5">
        <f t="shared" si="4"/>
        <v>0.55891412845071353</v>
      </c>
      <c r="L5">
        <f t="shared" si="5"/>
        <v>3.7260941896714236E-2</v>
      </c>
      <c r="M5">
        <f t="shared" si="6"/>
        <v>26.837754203099802</v>
      </c>
      <c r="N5">
        <f t="shared" si="7"/>
        <v>8.7643324482356384</v>
      </c>
      <c r="O5">
        <f t="shared" si="8"/>
        <v>1.551708683428933E-2</v>
      </c>
    </row>
    <row r="6" spans="1:15" x14ac:dyDescent="0.25">
      <c r="A6" t="s">
        <v>76</v>
      </c>
      <c r="B6" s="16">
        <v>1.6</v>
      </c>
      <c r="C6" t="s">
        <v>67</v>
      </c>
      <c r="E6">
        <v>20</v>
      </c>
      <c r="F6">
        <f t="shared" si="9"/>
        <v>7</v>
      </c>
      <c r="G6">
        <f t="shared" si="0"/>
        <v>0.39404424382535064</v>
      </c>
      <c r="H6">
        <f t="shared" si="1"/>
        <v>0.32378151172568548</v>
      </c>
      <c r="I6">
        <f t="shared" si="2"/>
        <v>1.909135869951301</v>
      </c>
      <c r="J6">
        <f t="shared" si="3"/>
        <v>9.6269616255023358</v>
      </c>
      <c r="K6">
        <f t="shared" si="4"/>
        <v>0.6112356587620531</v>
      </c>
      <c r="L6">
        <f t="shared" si="5"/>
        <v>3.0561782938102654E-2</v>
      </c>
      <c r="M6">
        <f t="shared" si="6"/>
        <v>32.720604096472989</v>
      </c>
      <c r="N6">
        <f t="shared" si="7"/>
        <v>7.1885897737858162</v>
      </c>
      <c r="O6">
        <f t="shared" si="8"/>
        <v>3.3632783044233908E-2</v>
      </c>
    </row>
    <row r="7" spans="1:15" x14ac:dyDescent="0.25">
      <c r="A7" t="s">
        <v>86</v>
      </c>
      <c r="B7" s="29">
        <v>0.85</v>
      </c>
      <c r="E7">
        <v>25</v>
      </c>
      <c r="F7">
        <f>F6</f>
        <v>7</v>
      </c>
      <c r="G7">
        <f t="shared" si="0"/>
        <v>0.54331402782524607</v>
      </c>
      <c r="H7">
        <f t="shared" si="1"/>
        <v>0.63238576508922972</v>
      </c>
      <c r="I7">
        <f t="shared" si="2"/>
        <v>2.4463937259204975</v>
      </c>
      <c r="J7">
        <f t="shared" si="3"/>
        <v>10.622093518834973</v>
      </c>
      <c r="K7">
        <f t="shared" si="4"/>
        <v>0.67441863611650621</v>
      </c>
      <c r="L7">
        <f t="shared" si="5"/>
        <v>2.6976745444660249E-2</v>
      </c>
      <c r="M7">
        <f t="shared" si="6"/>
        <v>37.068963787769995</v>
      </c>
      <c r="N7">
        <f t="shared" si="7"/>
        <v>6.34533517976576</v>
      </c>
      <c r="O7">
        <f t="shared" si="8"/>
        <v>5.9534946097762241E-2</v>
      </c>
    </row>
    <row r="8" spans="1:15" x14ac:dyDescent="0.25">
      <c r="A8" t="s">
        <v>70</v>
      </c>
      <c r="B8" s="16">
        <v>0.35</v>
      </c>
      <c r="E8">
        <v>30</v>
      </c>
      <c r="F8">
        <f t="shared" si="9"/>
        <v>7</v>
      </c>
      <c r="G8">
        <f t="shared" si="0"/>
        <v>0.72360065988642908</v>
      </c>
      <c r="H8">
        <f t="shared" si="1"/>
        <v>1.0927626020741885</v>
      </c>
      <c r="I8">
        <f t="shared" si="2"/>
        <v>3.007641137282242</v>
      </c>
      <c r="J8">
        <f t="shared" si="3"/>
        <v>11.82400439924286</v>
      </c>
      <c r="K8">
        <f t="shared" si="4"/>
        <v>0.75073043804716566</v>
      </c>
      <c r="L8">
        <f t="shared" si="5"/>
        <v>2.5024347934905523E-2</v>
      </c>
      <c r="M8">
        <f t="shared" si="6"/>
        <v>39.961081207839889</v>
      </c>
      <c r="N8">
        <f t="shared" si="7"/>
        <v>5.8861019995088029</v>
      </c>
      <c r="O8">
        <f t="shared" si="8"/>
        <v>9.2418994883337713E-2</v>
      </c>
    </row>
    <row r="9" spans="1:15" x14ac:dyDescent="0.25">
      <c r="A9" t="s">
        <v>71</v>
      </c>
      <c r="B9" s="16">
        <v>45</v>
      </c>
      <c r="C9" t="s">
        <v>72</v>
      </c>
      <c r="E9">
        <v>35</v>
      </c>
      <c r="F9">
        <f t="shared" si="9"/>
        <v>7</v>
      </c>
      <c r="G9">
        <f t="shared" si="0"/>
        <v>0.94026081943083228</v>
      </c>
      <c r="H9">
        <f t="shared" si="1"/>
        <v>1.7352665394048459</v>
      </c>
      <c r="I9">
        <f t="shared" si="2"/>
        <v>3.5928781040365356</v>
      </c>
      <c r="J9">
        <f t="shared" si="3"/>
        <v>13.268405462872213</v>
      </c>
      <c r="K9">
        <f t="shared" si="4"/>
        <v>0.84243844208712471</v>
      </c>
      <c r="L9">
        <f t="shared" si="5"/>
        <v>2.4069669773917848E-2</v>
      </c>
      <c r="M9">
        <f t="shared" si="6"/>
        <v>41.546062301345351</v>
      </c>
      <c r="N9">
        <f t="shared" si="7"/>
        <v>5.6615473758720869</v>
      </c>
      <c r="O9">
        <f t="shared" si="8"/>
        <v>0.13078184445451915</v>
      </c>
    </row>
    <row r="10" spans="1:15" x14ac:dyDescent="0.25">
      <c r="A10" t="s">
        <v>66</v>
      </c>
      <c r="B10" s="15">
        <f>B6*B5</f>
        <v>0.54400000000000004</v>
      </c>
      <c r="C10" t="s">
        <v>67</v>
      </c>
      <c r="E10">
        <v>40</v>
      </c>
      <c r="F10">
        <f t="shared" si="9"/>
        <v>7</v>
      </c>
      <c r="G10">
        <f t="shared" si="0"/>
        <v>1.1986511858803874</v>
      </c>
      <c r="H10">
        <f t="shared" si="1"/>
        <v>2.5902520938054838</v>
      </c>
      <c r="I10">
        <f t="shared" si="2"/>
        <v>4.2021046261833774</v>
      </c>
      <c r="J10">
        <f t="shared" si="3"/>
        <v>14.991007905869248</v>
      </c>
      <c r="K10">
        <f t="shared" si="4"/>
        <v>0.95181002576947615</v>
      </c>
      <c r="L10">
        <f t="shared" si="5"/>
        <v>2.3795250644236904E-2</v>
      </c>
      <c r="M10">
        <f t="shared" si="6"/>
        <v>42.025192966067586</v>
      </c>
      <c r="N10">
        <f t="shared" si="7"/>
        <v>5.5969998802841836</v>
      </c>
      <c r="O10">
        <f t="shared" si="8"/>
        <v>0.1727870540840255</v>
      </c>
    </row>
    <row r="11" spans="1:15" x14ac:dyDescent="0.25">
      <c r="E11">
        <v>45</v>
      </c>
      <c r="F11">
        <f t="shared" si="9"/>
        <v>7</v>
      </c>
      <c r="G11">
        <f t="shared" si="0"/>
        <v>1.5041284386570277</v>
      </c>
      <c r="H11">
        <f t="shared" si="1"/>
        <v>3.6880737820003877</v>
      </c>
      <c r="I11">
        <f t="shared" si="2"/>
        <v>4.8353207037227675</v>
      </c>
      <c r="J11">
        <f t="shared" si="3"/>
        <v>17.027522924380182</v>
      </c>
      <c r="K11">
        <f t="shared" si="4"/>
        <v>1.0811125666273134</v>
      </c>
      <c r="L11">
        <f t="shared" si="5"/>
        <v>2.4024723702829185E-2</v>
      </c>
      <c r="M11">
        <f t="shared" si="6"/>
        <v>41.623787743383645</v>
      </c>
      <c r="N11">
        <f t="shared" si="7"/>
        <v>5.650975385760967</v>
      </c>
      <c r="O11">
        <f t="shared" si="8"/>
        <v>0.2165948504887793</v>
      </c>
    </row>
    <row r="12" spans="1:15" x14ac:dyDescent="0.25">
      <c r="E12">
        <v>50</v>
      </c>
      <c r="F12">
        <f t="shared" si="9"/>
        <v>7</v>
      </c>
      <c r="G12">
        <f t="shared" si="0"/>
        <v>1.8620492571826845</v>
      </c>
      <c r="H12">
        <f t="shared" si="1"/>
        <v>5.0590861207138378</v>
      </c>
      <c r="I12">
        <f t="shared" si="2"/>
        <v>5.4925263366547057</v>
      </c>
      <c r="J12">
        <f t="shared" si="3"/>
        <v>19.413661714551228</v>
      </c>
      <c r="K12">
        <f t="shared" si="4"/>
        <v>1.2326134421937287</v>
      </c>
      <c r="L12">
        <f t="shared" si="5"/>
        <v>2.4652268843874572E-2</v>
      </c>
      <c r="M12">
        <f t="shared" si="6"/>
        <v>40.564217692623174</v>
      </c>
      <c r="N12">
        <f t="shared" si="7"/>
        <v>5.798583416111958</v>
      </c>
      <c r="O12">
        <f t="shared" si="8"/>
        <v>0.26059412155728834</v>
      </c>
    </row>
    <row r="13" spans="1:15" x14ac:dyDescent="0.25">
      <c r="E13">
        <v>55</v>
      </c>
      <c r="F13">
        <f t="shared" si="9"/>
        <v>7</v>
      </c>
      <c r="G13">
        <f t="shared" si="0"/>
        <v>2.2777703208792905</v>
      </c>
      <c r="H13">
        <f t="shared" si="1"/>
        <v>6.7336436266701156</v>
      </c>
      <c r="I13">
        <f t="shared" si="2"/>
        <v>6.1737215249791948</v>
      </c>
      <c r="J13">
        <f t="shared" si="3"/>
        <v>22.1851354725286</v>
      </c>
      <c r="K13">
        <f t="shared" si="4"/>
        <v>1.4085800300018159</v>
      </c>
      <c r="L13">
        <f t="shared" si="5"/>
        <v>2.5610546000033017E-2</v>
      </c>
      <c r="M13">
        <f t="shared" si="6"/>
        <v>39.046414707390888</v>
      </c>
      <c r="N13">
        <f t="shared" si="7"/>
        <v>6.0239845773977656</v>
      </c>
      <c r="O13">
        <f t="shared" si="8"/>
        <v>0.30352050971283223</v>
      </c>
    </row>
    <row r="14" spans="1:15" x14ac:dyDescent="0.25">
      <c r="E14">
        <v>60</v>
      </c>
      <c r="F14">
        <f t="shared" si="9"/>
        <v>7</v>
      </c>
      <c r="G14">
        <f t="shared" si="0"/>
        <v>2.7566483091687775</v>
      </c>
      <c r="H14">
        <f t="shared" si="1"/>
        <v>8.7421008165935081</v>
      </c>
      <c r="I14">
        <f t="shared" si="2"/>
        <v>6.8789062686962277</v>
      </c>
      <c r="J14">
        <f t="shared" si="3"/>
        <v>25.377655394458515</v>
      </c>
      <c r="K14">
        <f t="shared" si="4"/>
        <v>1.6112797075846677</v>
      </c>
      <c r="L14">
        <f t="shared" si="5"/>
        <v>2.6854661793077793E-2</v>
      </c>
      <c r="M14">
        <f t="shared" si="6"/>
        <v>37.23748255350457</v>
      </c>
      <c r="N14">
        <f t="shared" si="7"/>
        <v>6.3166192736587927</v>
      </c>
      <c r="O14">
        <f t="shared" si="8"/>
        <v>0.34448023982950138</v>
      </c>
    </row>
    <row r="15" spans="1:15" x14ac:dyDescent="0.25">
      <c r="E15">
        <v>65</v>
      </c>
      <c r="F15">
        <f t="shared" si="9"/>
        <v>7</v>
      </c>
      <c r="G15">
        <f t="shared" si="0"/>
        <v>3.3040399014730801</v>
      </c>
      <c r="H15">
        <f t="shared" si="1"/>
        <v>11.114812207208301</v>
      </c>
      <c r="I15">
        <f t="shared" si="2"/>
        <v>7.6080805678058141</v>
      </c>
      <c r="J15">
        <f t="shared" si="3"/>
        <v>29.026932676487196</v>
      </c>
      <c r="K15">
        <f t="shared" si="4"/>
        <v>1.8429798524753775</v>
      </c>
      <c r="L15">
        <f t="shared" si="5"/>
        <v>2.8353536191928885E-2</v>
      </c>
      <c r="M15">
        <f t="shared" si="6"/>
        <v>35.26896938818728</v>
      </c>
      <c r="N15">
        <f t="shared" si="7"/>
        <v>6.6691770153845527</v>
      </c>
      <c r="O15">
        <f t="shared" si="8"/>
        <v>0.38291376946664701</v>
      </c>
    </row>
    <row r="16" spans="1:15" x14ac:dyDescent="0.25">
      <c r="E16">
        <v>70</v>
      </c>
      <c r="F16">
        <f t="shared" si="9"/>
        <v>7</v>
      </c>
      <c r="G16">
        <f t="shared" si="0"/>
        <v>3.9253017772141265</v>
      </c>
      <c r="H16">
        <f t="shared" si="1"/>
        <v>13.882132315238767</v>
      </c>
      <c r="I16">
        <f t="shared" si="2"/>
        <v>8.3612444223079461</v>
      </c>
      <c r="J16">
        <f t="shared" si="3"/>
        <v>33.168678514760842</v>
      </c>
      <c r="K16">
        <f t="shared" si="4"/>
        <v>2.1059478422070379</v>
      </c>
      <c r="L16">
        <f t="shared" si="5"/>
        <v>3.0084969174386255E-2</v>
      </c>
      <c r="M16">
        <f t="shared" si="6"/>
        <v>33.239189782895977</v>
      </c>
      <c r="N16">
        <f t="shared" si="7"/>
        <v>7.0764360243532627</v>
      </c>
      <c r="O16">
        <f t="shared" si="8"/>
        <v>0.41853136563945081</v>
      </c>
    </row>
    <row r="17" spans="1:17" x14ac:dyDescent="0.25">
      <c r="E17">
        <v>75</v>
      </c>
      <c r="F17">
        <f t="shared" si="9"/>
        <v>7</v>
      </c>
      <c r="G17">
        <f t="shared" si="0"/>
        <v>4.6257906158138526</v>
      </c>
      <c r="H17">
        <f t="shared" si="1"/>
        <v>17.074415657409197</v>
      </c>
      <c r="I17">
        <f t="shared" si="2"/>
        <v>9.1383978322026262</v>
      </c>
      <c r="J17">
        <f t="shared" si="3"/>
        <v>37.838604105425674</v>
      </c>
      <c r="K17">
        <f t="shared" si="4"/>
        <v>2.4024510543127411</v>
      </c>
      <c r="L17">
        <f t="shared" si="5"/>
        <v>3.2032680724169878E-2</v>
      </c>
      <c r="M17">
        <f t="shared" si="6"/>
        <v>31.218117790730574</v>
      </c>
      <c r="N17">
        <f t="shared" si="7"/>
        <v>7.5345669965356183</v>
      </c>
      <c r="O17">
        <f t="shared" si="8"/>
        <v>0.45124327551398491</v>
      </c>
    </row>
    <row r="18" spans="1:17" x14ac:dyDescent="0.25">
      <c r="A18" t="s">
        <v>68</v>
      </c>
      <c r="B18">
        <v>735.49900000000002</v>
      </c>
      <c r="C18" t="s">
        <v>69</v>
      </c>
    </row>
    <row r="19" spans="1:17" x14ac:dyDescent="0.25">
      <c r="A19" t="s">
        <v>81</v>
      </c>
      <c r="B19">
        <v>0.44703999999999999</v>
      </c>
      <c r="C19" t="s">
        <v>69</v>
      </c>
    </row>
    <row r="21" spans="1:17" x14ac:dyDescent="0.25">
      <c r="A21" s="1" t="s">
        <v>74</v>
      </c>
    </row>
    <row r="22" spans="1:17" x14ac:dyDescent="0.25">
      <c r="A22" t="s">
        <v>62</v>
      </c>
      <c r="B22" s="23">
        <v>24000</v>
      </c>
      <c r="C22" t="s">
        <v>63</v>
      </c>
      <c r="E22" s="1" t="s">
        <v>55</v>
      </c>
      <c r="F22" s="1" t="s">
        <v>87</v>
      </c>
      <c r="G22" s="1" t="s">
        <v>56</v>
      </c>
      <c r="H22" s="1" t="s">
        <v>23</v>
      </c>
      <c r="I22" s="1" t="s">
        <v>57</v>
      </c>
      <c r="J22" s="1" t="s">
        <v>58</v>
      </c>
      <c r="K22" s="1" t="s">
        <v>60</v>
      </c>
      <c r="L22" s="1" t="s">
        <v>59</v>
      </c>
      <c r="M22" s="1" t="s">
        <v>61</v>
      </c>
      <c r="N22" s="1" t="s">
        <v>85</v>
      </c>
    </row>
    <row r="23" spans="1:17" x14ac:dyDescent="0.25">
      <c r="A23" t="s">
        <v>64</v>
      </c>
      <c r="B23" s="16">
        <v>8.0000000000000002E-3</v>
      </c>
      <c r="E23">
        <v>5</v>
      </c>
      <c r="F23">
        <v>25</v>
      </c>
      <c r="G23">
        <f t="shared" ref="G23:G37" si="10">(1-$B$27)/$B$27*(H23+I23)</f>
        <v>0.66013948664001199</v>
      </c>
      <c r="H23">
        <f t="shared" ref="H23:H37" si="11">0.5*1.225*(E23*$B$19)^3*$B$30/$B$18</f>
        <v>5.7260254440075389E-2</v>
      </c>
      <c r="I23" s="22">
        <f t="shared" ref="I23:I29" si="12">$B$22*9.81*($B$23+$B$24*E23*$B$19)*E23*$B$19/$B$18</f>
        <v>5.883995125320034</v>
      </c>
      <c r="J23">
        <f>SUM(F23:I23)</f>
        <v>31.601394866400121</v>
      </c>
      <c r="K23">
        <f t="shared" ref="K23:K37" si="13">J23/$B$28/$B$29</f>
        <v>1.5662553709482423</v>
      </c>
      <c r="L23">
        <f>K23/E23</f>
        <v>0.31325107418964848</v>
      </c>
      <c r="M23">
        <f>1/L23</f>
        <v>3.1923274408137541</v>
      </c>
      <c r="N23">
        <f>L23*100*2.35215</f>
        <v>73.681351415518165</v>
      </c>
      <c r="O23">
        <f>H23/J23</f>
        <v>1.8119533863031091E-3</v>
      </c>
    </row>
    <row r="24" spans="1:17" x14ac:dyDescent="0.25">
      <c r="A24" t="s">
        <v>65</v>
      </c>
      <c r="B24" s="16">
        <v>1E-4</v>
      </c>
      <c r="E24">
        <v>10</v>
      </c>
      <c r="F24">
        <f t="shared" ref="F24:F29" si="14">F23</f>
        <v>25</v>
      </c>
      <c r="G24">
        <f t="shared" si="10"/>
        <v>1.3939925583031088</v>
      </c>
      <c r="H24">
        <f t="shared" si="11"/>
        <v>0.45808203552060311</v>
      </c>
      <c r="I24" s="22">
        <f t="shared" si="12"/>
        <v>12.08785098920738</v>
      </c>
      <c r="J24">
        <f t="shared" ref="J24:J29" si="15">SUM(F24:I24)</f>
        <v>38.939925583031091</v>
      </c>
      <c r="K24">
        <f t="shared" si="13"/>
        <v>1.9299739092717774</v>
      </c>
      <c r="L24">
        <f t="shared" ref="L24:L29" si="16">K24/E24</f>
        <v>0.19299739092717774</v>
      </c>
      <c r="M24">
        <f t="shared" ref="M24:M29" si="17">1/L24</f>
        <v>5.1814171953097672</v>
      </c>
      <c r="N24">
        <f t="shared" ref="N24:N29" si="18">L24*100*2.35215</f>
        <v>45.395881306936111</v>
      </c>
      <c r="O24">
        <f t="shared" ref="O24:O37" si="19">H24/J24</f>
        <v>1.1763813840471801E-2</v>
      </c>
    </row>
    <row r="25" spans="1:17" x14ac:dyDescent="0.25">
      <c r="A25" t="s">
        <v>75</v>
      </c>
      <c r="B25" s="16">
        <v>0.60799999999999998</v>
      </c>
      <c r="E25">
        <v>15</v>
      </c>
      <c r="F25">
        <f t="shared" si="14"/>
        <v>25</v>
      </c>
      <c r="G25">
        <f t="shared" si="10"/>
        <v>2.2397327179493409</v>
      </c>
      <c r="H25">
        <f t="shared" si="11"/>
        <v>1.5460268698820359</v>
      </c>
      <c r="I25" s="22">
        <f t="shared" si="12"/>
        <v>18.611567591662041</v>
      </c>
      <c r="J25">
        <f t="shared" si="15"/>
        <v>47.397327179493416</v>
      </c>
      <c r="K25">
        <f t="shared" si="13"/>
        <v>2.3491468834625309</v>
      </c>
      <c r="L25">
        <f t="shared" si="16"/>
        <v>0.1566097922308354</v>
      </c>
      <c r="M25">
        <f t="shared" si="17"/>
        <v>6.38529676692277</v>
      </c>
      <c r="N25">
        <f t="shared" si="18"/>
        <v>36.836972279575946</v>
      </c>
      <c r="O25">
        <f t="shared" si="19"/>
        <v>3.2618439939181391E-2</v>
      </c>
    </row>
    <row r="26" spans="1:17" x14ac:dyDescent="0.25">
      <c r="A26" t="s">
        <v>76</v>
      </c>
      <c r="B26" s="16">
        <v>10.126899999999999</v>
      </c>
      <c r="E26">
        <v>20</v>
      </c>
      <c r="F26">
        <f t="shared" si="14"/>
        <v>25</v>
      </c>
      <c r="G26">
        <f t="shared" si="10"/>
        <v>3.2355334685387587</v>
      </c>
      <c r="H26">
        <f t="shared" si="11"/>
        <v>3.6646562841648249</v>
      </c>
      <c r="I26" s="22">
        <f t="shared" si="12"/>
        <v>25.455144932684014</v>
      </c>
      <c r="J26">
        <f t="shared" si="15"/>
        <v>57.355334685387596</v>
      </c>
      <c r="K26">
        <f t="shared" si="13"/>
        <v>2.8426941716752041</v>
      </c>
      <c r="L26">
        <f t="shared" si="16"/>
        <v>0.14213470858376021</v>
      </c>
      <c r="M26">
        <f t="shared" si="17"/>
        <v>7.0355792048547974</v>
      </c>
      <c r="N26">
        <f t="shared" si="18"/>
        <v>33.432215479529155</v>
      </c>
      <c r="O26">
        <f t="shared" si="19"/>
        <v>6.3893904625727319E-2</v>
      </c>
    </row>
    <row r="27" spans="1:17" x14ac:dyDescent="0.25">
      <c r="A27" t="s">
        <v>86</v>
      </c>
      <c r="B27" s="29">
        <v>0.9</v>
      </c>
      <c r="E27">
        <v>25</v>
      </c>
      <c r="F27">
        <f t="shared" si="14"/>
        <v>25</v>
      </c>
      <c r="G27">
        <f t="shared" si="10"/>
        <v>4.4195683130314123</v>
      </c>
      <c r="H27">
        <f t="shared" si="11"/>
        <v>7.1575318050094268</v>
      </c>
      <c r="I27" s="22">
        <f t="shared" si="12"/>
        <v>32.618583012273298</v>
      </c>
      <c r="J27">
        <f t="shared" si="15"/>
        <v>69.195683130314137</v>
      </c>
      <c r="K27">
        <f t="shared" si="13"/>
        <v>3.429535652064498</v>
      </c>
      <c r="L27">
        <f t="shared" si="16"/>
        <v>0.13718142608257991</v>
      </c>
      <c r="M27">
        <f t="shared" si="17"/>
        <v>7.2896165942904263</v>
      </c>
      <c r="N27">
        <f t="shared" si="18"/>
        <v>32.267129136014034</v>
      </c>
      <c r="O27">
        <f t="shared" si="19"/>
        <v>0.10343899331884424</v>
      </c>
    </row>
    <row r="28" spans="1:17" x14ac:dyDescent="0.25">
      <c r="A28" t="s">
        <v>70</v>
      </c>
      <c r="B28" s="16">
        <v>0.4</v>
      </c>
      <c r="E28">
        <v>30</v>
      </c>
      <c r="F28">
        <f t="shared" si="14"/>
        <v>25</v>
      </c>
      <c r="G28">
        <f t="shared" si="10"/>
        <v>5.8300107543873523</v>
      </c>
      <c r="H28">
        <f t="shared" si="11"/>
        <v>12.368214959056287</v>
      </c>
      <c r="I28" s="22">
        <f t="shared" si="12"/>
        <v>40.101881830429896</v>
      </c>
      <c r="J28">
        <f t="shared" si="15"/>
        <v>83.300107543873537</v>
      </c>
      <c r="K28">
        <f t="shared" si="13"/>
        <v>4.1285912027851124</v>
      </c>
      <c r="L28">
        <f t="shared" si="16"/>
        <v>0.13761970675950375</v>
      </c>
      <c r="M28">
        <f t="shared" si="17"/>
        <v>7.2664011829900366</v>
      </c>
      <c r="N28">
        <f t="shared" si="18"/>
        <v>32.370219325436672</v>
      </c>
      <c r="O28">
        <f t="shared" si="19"/>
        <v>0.14847777900577189</v>
      </c>
    </row>
    <row r="29" spans="1:17" x14ac:dyDescent="0.25">
      <c r="A29" t="s">
        <v>71</v>
      </c>
      <c r="B29" s="16">
        <v>50.441000000000003</v>
      </c>
      <c r="C29" t="s">
        <v>72</v>
      </c>
      <c r="E29">
        <v>35</v>
      </c>
      <c r="F29">
        <f t="shared" si="14"/>
        <v>25</v>
      </c>
      <c r="G29">
        <f t="shared" si="10"/>
        <v>7.5050342955666274</v>
      </c>
      <c r="H29">
        <f t="shared" si="11"/>
        <v>19.640267272945863</v>
      </c>
      <c r="I29" s="22">
        <f t="shared" si="12"/>
        <v>47.905041387153801</v>
      </c>
      <c r="J29">
        <f t="shared" si="15"/>
        <v>100.0503429556663</v>
      </c>
      <c r="K29">
        <f t="shared" si="13"/>
        <v>4.9587807019917474</v>
      </c>
      <c r="L29">
        <f t="shared" si="16"/>
        <v>0.14167944862833565</v>
      </c>
      <c r="M29">
        <f t="shared" si="17"/>
        <v>7.0581867001986742</v>
      </c>
      <c r="N29">
        <f t="shared" si="18"/>
        <v>33.325131509113966</v>
      </c>
      <c r="O29">
        <f t="shared" si="19"/>
        <v>0.19630384757050498</v>
      </c>
    </row>
    <row r="30" spans="1:17" x14ac:dyDescent="0.25">
      <c r="A30" t="s">
        <v>66</v>
      </c>
      <c r="B30" s="15">
        <f>B26*B25</f>
        <v>6.1571551999999992</v>
      </c>
      <c r="C30" t="s">
        <v>67</v>
      </c>
      <c r="E30">
        <v>40</v>
      </c>
      <c r="F30">
        <f t="shared" ref="F30:F37" si="20">F29</f>
        <v>25</v>
      </c>
      <c r="G30">
        <f t="shared" si="10"/>
        <v>9.4828124395292903</v>
      </c>
      <c r="H30">
        <f t="shared" si="11"/>
        <v>29.317250273318599</v>
      </c>
      <c r="I30" s="22">
        <f t="shared" ref="I30:I37" si="21">$B$22*9.81*($B$23+$B$24*E30*$B$19)*E30*$B$19/$B$18</f>
        <v>56.028061682445035</v>
      </c>
      <c r="J30">
        <f t="shared" ref="J30:J37" si="22">SUM(F30:I30)</f>
        <v>119.82812439529292</v>
      </c>
      <c r="K30">
        <f t="shared" si="13"/>
        <v>5.9390240278391042</v>
      </c>
      <c r="L30">
        <f t="shared" ref="L30:L37" si="23">K30/E30</f>
        <v>0.14847560069597759</v>
      </c>
      <c r="M30">
        <f t="shared" ref="M30:M37" si="24">1/L30</f>
        <v>6.7351133473278573</v>
      </c>
      <c r="N30">
        <f t="shared" ref="N30:N37" si="25">L30*100*2.35215</f>
        <v>34.923688417704369</v>
      </c>
      <c r="O30">
        <f t="shared" si="19"/>
        <v>0.24466084586791911</v>
      </c>
      <c r="Q30" t="s">
        <v>95</v>
      </c>
    </row>
    <row r="31" spans="1:17" x14ac:dyDescent="0.25">
      <c r="E31">
        <v>45</v>
      </c>
      <c r="F31">
        <f t="shared" si="20"/>
        <v>25</v>
      </c>
      <c r="G31">
        <f t="shared" si="10"/>
        <v>11.80151868923539</v>
      </c>
      <c r="H31">
        <f t="shared" si="11"/>
        <v>41.742725486814983</v>
      </c>
      <c r="I31" s="22">
        <f t="shared" si="21"/>
        <v>64.470942716303568</v>
      </c>
      <c r="J31">
        <f t="shared" si="22"/>
        <v>143.01518689235394</v>
      </c>
      <c r="K31">
        <f t="shared" si="13"/>
        <v>7.088241058481886</v>
      </c>
      <c r="L31">
        <f t="shared" si="23"/>
        <v>0.15751646796626415</v>
      </c>
      <c r="M31">
        <f t="shared" si="24"/>
        <v>6.3485425550182697</v>
      </c>
      <c r="N31">
        <f t="shared" si="25"/>
        <v>37.05023601268482</v>
      </c>
      <c r="O31">
        <f t="shared" si="19"/>
        <v>0.29187617339013305</v>
      </c>
    </row>
    <row r="32" spans="1:17" x14ac:dyDescent="0.25">
      <c r="E32">
        <v>50</v>
      </c>
      <c r="F32">
        <f t="shared" si="20"/>
        <v>25</v>
      </c>
      <c r="G32">
        <f t="shared" si="10"/>
        <v>14.499326547644976</v>
      </c>
      <c r="H32">
        <f t="shared" si="11"/>
        <v>57.260254440075414</v>
      </c>
      <c r="I32" s="22">
        <f t="shared" si="21"/>
        <v>73.233684488729409</v>
      </c>
      <c r="J32">
        <f t="shared" si="22"/>
        <v>169.99326547644981</v>
      </c>
      <c r="K32">
        <f t="shared" si="13"/>
        <v>8.4253516720747896</v>
      </c>
      <c r="L32">
        <f t="shared" si="23"/>
        <v>0.16850703344149578</v>
      </c>
      <c r="M32">
        <f t="shared" si="24"/>
        <v>5.9344703872387115</v>
      </c>
      <c r="N32">
        <f t="shared" si="25"/>
        <v>39.63538187094143</v>
      </c>
      <c r="O32">
        <f t="shared" si="19"/>
        <v>0.33683836991770727</v>
      </c>
    </row>
    <row r="33" spans="5:15" x14ac:dyDescent="0.25">
      <c r="E33">
        <v>55</v>
      </c>
      <c r="F33">
        <f t="shared" si="20"/>
        <v>25</v>
      </c>
      <c r="G33">
        <f t="shared" si="10"/>
        <v>17.614409517718098</v>
      </c>
      <c r="H33">
        <f t="shared" si="11"/>
        <v>76.213398659740349</v>
      </c>
      <c r="I33" s="22">
        <f t="shared" si="21"/>
        <v>82.316286999722593</v>
      </c>
      <c r="J33">
        <f t="shared" si="22"/>
        <v>201.14409517718104</v>
      </c>
      <c r="K33">
        <f t="shared" si="13"/>
        <v>9.9692757467725173</v>
      </c>
      <c r="L33">
        <f t="shared" si="23"/>
        <v>0.1812595590322276</v>
      </c>
      <c r="M33">
        <f t="shared" si="24"/>
        <v>5.5169504181691291</v>
      </c>
      <c r="N33">
        <f t="shared" si="25"/>
        <v>42.634967177765411</v>
      </c>
      <c r="O33">
        <f t="shared" si="19"/>
        <v>0.37889950780114395</v>
      </c>
    </row>
    <row r="34" spans="5:15" x14ac:dyDescent="0.25">
      <c r="E34">
        <v>60</v>
      </c>
      <c r="F34">
        <f t="shared" si="20"/>
        <v>25</v>
      </c>
      <c r="G34">
        <f t="shared" si="10"/>
        <v>21.184941102414811</v>
      </c>
      <c r="H34">
        <f t="shared" si="11"/>
        <v>98.945719672450295</v>
      </c>
      <c r="I34" s="22">
        <f t="shared" si="21"/>
        <v>91.718750249283048</v>
      </c>
      <c r="J34">
        <f t="shared" si="22"/>
        <v>236.84941102414814</v>
      </c>
      <c r="K34">
        <f t="shared" si="13"/>
        <v>11.73893316072977</v>
      </c>
      <c r="L34">
        <f t="shared" si="23"/>
        <v>0.19564888601216285</v>
      </c>
      <c r="M34">
        <f t="shared" si="24"/>
        <v>5.1111970038911094</v>
      </c>
      <c r="N34">
        <f t="shared" si="25"/>
        <v>46.019552723350884</v>
      </c>
      <c r="O34">
        <f t="shared" si="19"/>
        <v>0.41775793000541689</v>
      </c>
    </row>
    <row r="35" spans="5:15" x14ac:dyDescent="0.25">
      <c r="E35">
        <v>65</v>
      </c>
      <c r="F35">
        <f t="shared" si="20"/>
        <v>25</v>
      </c>
      <c r="G35">
        <f t="shared" si="10"/>
        <v>25.249094804695162</v>
      </c>
      <c r="H35">
        <f t="shared" si="11"/>
        <v>125.80077900484568</v>
      </c>
      <c r="I35" s="22">
        <f t="shared" si="21"/>
        <v>101.44107423741085</v>
      </c>
      <c r="J35">
        <f t="shared" si="22"/>
        <v>277.49094804695164</v>
      </c>
      <c r="K35">
        <f t="shared" si="13"/>
        <v>13.753243792101248</v>
      </c>
      <c r="L35">
        <f t="shared" si="23"/>
        <v>0.21158836603232689</v>
      </c>
      <c r="M35">
        <f t="shared" si="24"/>
        <v>4.7261577692188332</v>
      </c>
      <c r="N35">
        <f t="shared" si="25"/>
        <v>49.768757516293768</v>
      </c>
      <c r="O35">
        <f t="shared" si="19"/>
        <v>0.45335092870690724</v>
      </c>
    </row>
    <row r="36" spans="5:15" x14ac:dyDescent="0.25">
      <c r="E36">
        <v>70</v>
      </c>
      <c r="F36">
        <f t="shared" si="20"/>
        <v>25</v>
      </c>
      <c r="G36">
        <f t="shared" si="10"/>
        <v>29.845044127519198</v>
      </c>
      <c r="H36">
        <f t="shared" si="11"/>
        <v>157.1221381835669</v>
      </c>
      <c r="I36" s="22">
        <f t="shared" si="21"/>
        <v>111.48325896410594</v>
      </c>
      <c r="J36">
        <f t="shared" si="22"/>
        <v>323.45044127519202</v>
      </c>
      <c r="K36">
        <f t="shared" si="13"/>
        <v>16.03112751904165</v>
      </c>
      <c r="L36">
        <f t="shared" si="23"/>
        <v>0.22901610741488071</v>
      </c>
      <c r="M36">
        <f t="shared" si="24"/>
        <v>4.3665050955932161</v>
      </c>
      <c r="N36">
        <f t="shared" si="25"/>
        <v>53.868023705591163</v>
      </c>
      <c r="O36">
        <f t="shared" si="19"/>
        <v>0.48576881689855911</v>
      </c>
    </row>
    <row r="37" spans="5:15" x14ac:dyDescent="0.25">
      <c r="E37">
        <v>75</v>
      </c>
      <c r="F37">
        <f t="shared" si="20"/>
        <v>25</v>
      </c>
      <c r="G37">
        <f t="shared" si="10"/>
        <v>35.010962573846975</v>
      </c>
      <c r="H37">
        <f t="shared" si="11"/>
        <v>193.25335873525447</v>
      </c>
      <c r="I37" s="22">
        <f t="shared" si="21"/>
        <v>121.84530442936837</v>
      </c>
      <c r="J37">
        <f t="shared" si="22"/>
        <v>375.10962573846979</v>
      </c>
      <c r="K37">
        <f t="shared" si="13"/>
        <v>18.591504219705683</v>
      </c>
      <c r="L37">
        <f t="shared" si="23"/>
        <v>0.24788672292940911</v>
      </c>
      <c r="M37">
        <f t="shared" si="24"/>
        <v>4.0341006899541396</v>
      </c>
      <c r="N37">
        <f t="shared" si="25"/>
        <v>58.306675533840966</v>
      </c>
      <c r="O37">
        <f t="shared" si="19"/>
        <v>0.51519168124465209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xmlns="" id="ms-officescript%3A%2F%2Fonedrive_business_itemlink%2F01CEFSIF4GKFKITXBIABF3LRNG7POCKF6I:ms-officescript%3A%2F%2Fonedrive_business_sharinglink%2Fu!aHR0cHM6Ly9jbGVtc29uLW15LnNoYXJlcG9pbnQuY29tLzp1Oi9nL3BlcnNvbmFsL3RjaGhhdGJfY2xlbXNvbl9lZHUvRVlaUlZJbmNLQUJMdGNXbS05d2xGOGdCcFQ3SEdwMTRMblgzeWhuQjlpb1Itdw"/>
  <scriptId xmlns="" id="ms-officescript%3A%2F%2Fonedrive_business_itemlink%2F01CEFSIF5GL5NRFKZDAZAKDNDQ5H7Z3MZ4:ms-officescript%3A%2F%2Fonedrive_business_sharinglink%2Fu!aHR0cHM6Ly9jbGVtc29uLW15LnNoYXJlcG9pbnQuY29tLzp1Oi9nL3BlcnNvbmFsL3RjaGhhdGJfY2xlbXNvbl9lZHUvRWFaZld4S3JJd1pBb2JSdzZmLWRzendCNFpuQkJMZjlCMVZZVl9ZRnhYeHFUQQ"/>
</scriptIds>
</file>

<file path=customXml/itemProps1.xml><?xml version="1.0" encoding="utf-8"?>
<ds:datastoreItem xmlns:ds="http://schemas.openxmlformats.org/officeDocument/2006/customXml" ds:itemID="{B054BBEB-49C6-46C3-A7D8-ECA1E17B2B3F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FormationSplitting</vt:lpstr>
      <vt:lpstr>Table - Considerations</vt:lpstr>
      <vt:lpstr>Table - References</vt:lpstr>
      <vt:lpstr>Charts -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Chhatbar</dc:creator>
  <cp:lastModifiedBy>Tanmay Chhatbar</cp:lastModifiedBy>
  <dcterms:created xsi:type="dcterms:W3CDTF">2024-06-13T15:31:32Z</dcterms:created>
  <dcterms:modified xsi:type="dcterms:W3CDTF">2024-09-04T12:38:39Z</dcterms:modified>
</cp:coreProperties>
</file>