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eaa824c69636118/Spring 2022/Financial Management/"/>
    </mc:Choice>
  </mc:AlternateContent>
  <xr:revisionPtr revIDLastSave="157" documentId="13_ncr:1_{E3FA241F-8D71-4327-8EFC-9A407A715BA4}" xr6:coauthVersionLast="47" xr6:coauthVersionMax="47" xr10:uidLastSave="{D90A52B9-3496-4712-9C80-F32C187AFD50}"/>
  <bookViews>
    <workbookView xWindow="-110" yWindow="-110" windowWidth="19420" windowHeight="11500" tabRatio="500" xr2:uid="{00000000-000D-0000-FFFF-FFFF00000000}"/>
  </bookViews>
  <sheets>
    <sheet name="Forecasts" sheetId="1" r:id="rId1"/>
    <sheet name="Amortization Table" sheetId="3" r:id="rId2"/>
    <sheet name="Sources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0" i="1" l="1"/>
  <c r="N83" i="1" l="1"/>
  <c r="J115" i="1" l="1"/>
  <c r="J111" i="1"/>
  <c r="J117" i="1"/>
  <c r="O75" i="1"/>
  <c r="K71" i="1"/>
  <c r="L83" i="1" s="1"/>
  <c r="O74" i="1"/>
  <c r="O73" i="1"/>
  <c r="K72" i="1" l="1"/>
  <c r="O76" i="1"/>
  <c r="D65" i="1" l="1"/>
  <c r="J116" i="1" l="1"/>
  <c r="J112" i="1"/>
  <c r="H117" i="1"/>
  <c r="H118" i="1" s="1"/>
  <c r="H113" i="1"/>
  <c r="J113" i="1" s="1"/>
  <c r="H114" i="1" s="1"/>
  <c r="H116" i="1"/>
  <c r="J65" i="1"/>
  <c r="D116" i="1"/>
  <c r="E116" i="1"/>
  <c r="F116" i="1"/>
  <c r="G116" i="1"/>
  <c r="C116" i="1"/>
  <c r="D112" i="1"/>
  <c r="E112" i="1"/>
  <c r="F112" i="1"/>
  <c r="G112" i="1"/>
  <c r="H112" i="1"/>
  <c r="C112" i="1"/>
  <c r="C110" i="1"/>
  <c r="C109" i="1"/>
  <c r="C106" i="1"/>
  <c r="D106" i="1"/>
  <c r="E106" i="1"/>
  <c r="F106" i="1"/>
  <c r="G106" i="1"/>
  <c r="H106" i="1"/>
  <c r="C107" i="1"/>
  <c r="C108" i="1"/>
  <c r="C105" i="1"/>
  <c r="D102" i="1"/>
  <c r="D101" i="1"/>
  <c r="D100" i="1"/>
  <c r="E99" i="1"/>
  <c r="F99" i="1"/>
  <c r="G99" i="1"/>
  <c r="H99" i="1"/>
  <c r="D99" i="1"/>
  <c r="D98" i="1"/>
  <c r="J84" i="1"/>
  <c r="K74" i="1"/>
  <c r="L84" i="1" l="1"/>
  <c r="M84" i="1" s="1"/>
  <c r="M83" i="1"/>
  <c r="C121" i="1"/>
  <c r="F9" i="1" l="1"/>
  <c r="G9" i="1"/>
  <c r="H9" i="1" s="1"/>
  <c r="D7" i="1"/>
  <c r="F28" i="1"/>
  <c r="G28" i="1" s="1"/>
  <c r="H28" i="1" s="1"/>
  <c r="F25" i="1"/>
  <c r="G25" i="1" s="1"/>
  <c r="H25" i="1" s="1"/>
  <c r="F24" i="1"/>
  <c r="G24" i="1" s="1"/>
  <c r="H24" i="1" s="1"/>
  <c r="E21" i="1"/>
  <c r="F21" i="1" s="1"/>
  <c r="G21" i="1" s="1"/>
  <c r="H21" i="1" s="1"/>
  <c r="J18" i="1"/>
  <c r="D20" i="1" s="1"/>
  <c r="E13" i="1"/>
  <c r="F13" i="1" s="1"/>
  <c r="G13" i="1" s="1"/>
  <c r="H13" i="1" s="1"/>
  <c r="E6" i="1"/>
  <c r="E9" i="1"/>
  <c r="E10" i="1"/>
  <c r="F10" i="1" s="1"/>
  <c r="G10" i="1" s="1"/>
  <c r="H10" i="1" s="1"/>
  <c r="E15" i="1"/>
  <c r="F15" i="1" s="1"/>
  <c r="G15" i="1" s="1"/>
  <c r="H15" i="1" s="1"/>
  <c r="E16" i="1"/>
  <c r="F16" i="1" s="1"/>
  <c r="G16" i="1" s="1"/>
  <c r="H16" i="1" s="1"/>
  <c r="E17" i="1"/>
  <c r="F17" i="1" s="1"/>
  <c r="G17" i="1" s="1"/>
  <c r="H17" i="1" s="1"/>
  <c r="E18" i="1"/>
  <c r="F18" i="1" s="1"/>
  <c r="G18" i="1" s="1"/>
  <c r="H18" i="1" s="1"/>
  <c r="E23" i="1"/>
  <c r="F23" i="1" s="1"/>
  <c r="G23" i="1" s="1"/>
  <c r="H23" i="1" s="1"/>
  <c r="E24" i="1"/>
  <c r="E25" i="1"/>
  <c r="E28" i="1"/>
  <c r="E29" i="1"/>
  <c r="F29" i="1" s="1"/>
  <c r="G29" i="1" s="1"/>
  <c r="H29" i="1" s="1"/>
  <c r="D49" i="1"/>
  <c r="J17" i="1"/>
  <c r="D71" i="1"/>
  <c r="D72" i="1"/>
  <c r="D50" i="1" s="1"/>
  <c r="D73" i="1" s="1"/>
  <c r="E20" i="1" l="1"/>
  <c r="F20" i="1" s="1"/>
  <c r="G20" i="1" s="1"/>
  <c r="H20" i="1" s="1"/>
  <c r="D48" i="1"/>
  <c r="E49" i="1"/>
  <c r="E71" i="1"/>
  <c r="E72" i="1"/>
  <c r="F6" i="1"/>
  <c r="D36" i="1"/>
  <c r="D56" i="1" s="1"/>
  <c r="D27" i="1"/>
  <c r="E27" i="1" s="1"/>
  <c r="F27" i="1" s="1"/>
  <c r="G27" i="1" s="1"/>
  <c r="H27" i="1" s="1"/>
  <c r="D12" i="1"/>
  <c r="E12" i="1" s="1"/>
  <c r="F12" i="1" s="1"/>
  <c r="G12" i="1" s="1"/>
  <c r="H12" i="1" s="1"/>
  <c r="E7" i="1"/>
  <c r="F7" i="1" s="1"/>
  <c r="G7" i="1" s="1"/>
  <c r="H7" i="1" s="1"/>
  <c r="I4" i="3"/>
  <c r="I5" i="3" s="1"/>
  <c r="G27" i="3"/>
  <c r="G41" i="3" s="1"/>
  <c r="G55" i="3" s="1"/>
  <c r="G69" i="3" s="1"/>
  <c r="G83" i="3" s="1"/>
  <c r="G97" i="3" s="1"/>
  <c r="G111" i="3" s="1"/>
  <c r="G125" i="3" s="1"/>
  <c r="G139" i="3" s="1"/>
  <c r="E48" i="1" l="1"/>
  <c r="E50" i="1"/>
  <c r="E73" i="1" s="1"/>
  <c r="F49" i="1"/>
  <c r="E56" i="1"/>
  <c r="F56" i="1"/>
  <c r="G56" i="1"/>
  <c r="H56" i="1"/>
  <c r="D41" i="1"/>
  <c r="E46" i="1"/>
  <c r="D46" i="1"/>
  <c r="F72" i="1"/>
  <c r="F71" i="1"/>
  <c r="G6" i="1"/>
  <c r="I2" i="3"/>
  <c r="B2" i="3"/>
  <c r="F50" i="1" l="1"/>
  <c r="F73" i="1" s="1"/>
  <c r="F48" i="1"/>
  <c r="H49" i="1"/>
  <c r="G49" i="1"/>
  <c r="F46" i="1"/>
  <c r="E41" i="1"/>
  <c r="F41" i="1"/>
  <c r="D42" i="1"/>
  <c r="D47" i="1"/>
  <c r="D51" i="1" s="1"/>
  <c r="H71" i="1"/>
  <c r="G71" i="1"/>
  <c r="G72" i="1"/>
  <c r="H6" i="1"/>
  <c r="H41" i="1" s="1"/>
  <c r="H67" i="1" s="1"/>
  <c r="G41" i="1"/>
  <c r="D2" i="3"/>
  <c r="I9" i="3"/>
  <c r="E5" i="3" s="1"/>
  <c r="F47" i="1" l="1"/>
  <c r="F67" i="1"/>
  <c r="G65" i="1"/>
  <c r="G67" i="1"/>
  <c r="G107" i="1" s="1"/>
  <c r="E65" i="1"/>
  <c r="D105" i="1" s="1"/>
  <c r="E67" i="1"/>
  <c r="D107" i="1" s="1"/>
  <c r="H107" i="1"/>
  <c r="E42" i="1"/>
  <c r="E79" i="1" s="1"/>
  <c r="D109" i="1" s="1"/>
  <c r="H72" i="1"/>
  <c r="H48" i="1" s="1"/>
  <c r="G50" i="1"/>
  <c r="G73" i="1" s="1"/>
  <c r="G48" i="1"/>
  <c r="E47" i="1"/>
  <c r="E51" i="1" s="1"/>
  <c r="H65" i="1"/>
  <c r="D67" i="1"/>
  <c r="D79" i="1"/>
  <c r="D43" i="1"/>
  <c r="D53" i="1" s="1"/>
  <c r="F42" i="1"/>
  <c r="F79" i="1" s="1"/>
  <c r="F65" i="1"/>
  <c r="D68" i="1"/>
  <c r="G47" i="1"/>
  <c r="H47" i="1"/>
  <c r="H46" i="1"/>
  <c r="G46" i="1"/>
  <c r="F51" i="1"/>
  <c r="G42" i="1"/>
  <c r="G79" i="1" s="1"/>
  <c r="F109" i="1" s="1"/>
  <c r="H42" i="1"/>
  <c r="H79" i="1" s="1"/>
  <c r="E123" i="3"/>
  <c r="E77" i="3"/>
  <c r="E6" i="3"/>
  <c r="E133" i="3"/>
  <c r="E20" i="3"/>
  <c r="E131" i="3"/>
  <c r="E135" i="3"/>
  <c r="E117" i="3"/>
  <c r="E2" i="3"/>
  <c r="C2" i="3" s="1"/>
  <c r="F2" i="3" s="1"/>
  <c r="B3" i="3" s="1"/>
  <c r="E21" i="3"/>
  <c r="E45" i="3"/>
  <c r="E88" i="3"/>
  <c r="E95" i="3"/>
  <c r="E18" i="3"/>
  <c r="E80" i="3"/>
  <c r="E75" i="3"/>
  <c r="E50" i="3"/>
  <c r="E96" i="3"/>
  <c r="E61" i="3"/>
  <c r="E51" i="3"/>
  <c r="E66" i="3"/>
  <c r="E19" i="3"/>
  <c r="E120" i="3"/>
  <c r="E104" i="3"/>
  <c r="E110" i="3"/>
  <c r="E129" i="3"/>
  <c r="E90" i="3"/>
  <c r="E121" i="3"/>
  <c r="E24" i="3"/>
  <c r="E103" i="3"/>
  <c r="E48" i="3"/>
  <c r="E38" i="3"/>
  <c r="E62" i="3"/>
  <c r="E13" i="3"/>
  <c r="E93" i="3"/>
  <c r="E91" i="3"/>
  <c r="E122" i="3"/>
  <c r="E114" i="3"/>
  <c r="E92" i="3"/>
  <c r="E52" i="3"/>
  <c r="E74" i="3"/>
  <c r="E134" i="3"/>
  <c r="E68" i="3"/>
  <c r="E17" i="3"/>
  <c r="E36" i="3"/>
  <c r="E108" i="3"/>
  <c r="E82" i="3"/>
  <c r="E54" i="3"/>
  <c r="E83" i="3"/>
  <c r="E119" i="3"/>
  <c r="E44" i="3"/>
  <c r="E138" i="3"/>
  <c r="E72" i="3"/>
  <c r="E46" i="3"/>
  <c r="E139" i="3"/>
  <c r="E86" i="3"/>
  <c r="E26" i="3"/>
  <c r="E16" i="3"/>
  <c r="E94" i="3"/>
  <c r="E130" i="3"/>
  <c r="E105" i="3"/>
  <c r="E35" i="3"/>
  <c r="E60" i="3"/>
  <c r="E34" i="3"/>
  <c r="E11" i="3"/>
  <c r="E53" i="3"/>
  <c r="E32" i="3"/>
  <c r="E9" i="3"/>
  <c r="E128" i="3"/>
  <c r="E97" i="3"/>
  <c r="E33" i="3"/>
  <c r="E89" i="3"/>
  <c r="E116" i="3"/>
  <c r="E39" i="3"/>
  <c r="E107" i="3"/>
  <c r="E118" i="3"/>
  <c r="E41" i="3"/>
  <c r="E111" i="3"/>
  <c r="E125" i="3"/>
  <c r="E63" i="3"/>
  <c r="E12" i="3"/>
  <c r="E106" i="3"/>
  <c r="E101" i="3"/>
  <c r="E87" i="3"/>
  <c r="E10" i="3"/>
  <c r="E55" i="3"/>
  <c r="E30" i="3"/>
  <c r="E3" i="3"/>
  <c r="E49" i="3"/>
  <c r="E27" i="3"/>
  <c r="E78" i="3"/>
  <c r="E81" i="3"/>
  <c r="E59" i="3"/>
  <c r="E102" i="3"/>
  <c r="E115" i="3"/>
  <c r="E100" i="3"/>
  <c r="E65" i="3"/>
  <c r="E8" i="3"/>
  <c r="E124" i="3"/>
  <c r="E137" i="3"/>
  <c r="E67" i="3"/>
  <c r="E73" i="3"/>
  <c r="E76" i="3"/>
  <c r="E79" i="3"/>
  <c r="E31" i="3"/>
  <c r="E37" i="3"/>
  <c r="E4" i="3"/>
  <c r="E109" i="3"/>
  <c r="E132" i="3"/>
  <c r="E136" i="3"/>
  <c r="E69" i="3"/>
  <c r="E22" i="3"/>
  <c r="E64" i="3"/>
  <c r="E47" i="3"/>
  <c r="E25" i="3"/>
  <c r="E7" i="3"/>
  <c r="E58" i="3"/>
  <c r="E40" i="3"/>
  <c r="E23" i="3"/>
  <c r="E109" i="1" l="1"/>
  <c r="F107" i="1"/>
  <c r="G109" i="1"/>
  <c r="H109" i="1"/>
  <c r="E107" i="1"/>
  <c r="E105" i="1"/>
  <c r="G105" i="1"/>
  <c r="H105" i="1"/>
  <c r="F105" i="1"/>
  <c r="E43" i="1"/>
  <c r="E68" i="1"/>
  <c r="H50" i="1"/>
  <c r="H73" i="1"/>
  <c r="D69" i="1"/>
  <c r="D75" i="1" s="1"/>
  <c r="D88" i="1" s="1"/>
  <c r="H68" i="1"/>
  <c r="G43" i="1"/>
  <c r="G98" i="1" s="1"/>
  <c r="G68" i="1"/>
  <c r="F68" i="1"/>
  <c r="F43" i="1"/>
  <c r="G51" i="1"/>
  <c r="H43" i="1"/>
  <c r="H98" i="1" s="1"/>
  <c r="D3" i="3"/>
  <c r="E108" i="1" l="1"/>
  <c r="E53" i="1"/>
  <c r="E98" i="1"/>
  <c r="H108" i="1"/>
  <c r="G108" i="1"/>
  <c r="H100" i="1"/>
  <c r="H101" i="1" s="1"/>
  <c r="H102" i="1" s="1"/>
  <c r="F108" i="1"/>
  <c r="G100" i="1"/>
  <c r="G101" i="1" s="1"/>
  <c r="F53" i="1"/>
  <c r="F98" i="1"/>
  <c r="E69" i="1"/>
  <c r="E75" i="1" s="1"/>
  <c r="D108" i="1"/>
  <c r="E88" i="1"/>
  <c r="F88" i="1" s="1"/>
  <c r="G88" i="1" s="1"/>
  <c r="H88" i="1" s="1"/>
  <c r="G69" i="1"/>
  <c r="G75" i="1" s="1"/>
  <c r="H69" i="1"/>
  <c r="H75" i="1" s="1"/>
  <c r="F69" i="1"/>
  <c r="F75" i="1" s="1"/>
  <c r="G53" i="1"/>
  <c r="H51" i="1"/>
  <c r="H53" i="1" s="1"/>
  <c r="C3" i="3"/>
  <c r="E100" i="1" l="1"/>
  <c r="E101" i="1" s="1"/>
  <c r="D110" i="1" s="1"/>
  <c r="D121" i="1" s="1"/>
  <c r="F100" i="1"/>
  <c r="F101" i="1" s="1"/>
  <c r="G102" i="1"/>
  <c r="G110" i="1"/>
  <c r="H110" i="1"/>
  <c r="H121" i="1" s="1"/>
  <c r="C126" i="1" s="1"/>
  <c r="D126" i="1" s="1"/>
  <c r="O69" i="1"/>
  <c r="O77" i="1" s="1"/>
  <c r="K67" i="1" s="1"/>
  <c r="J88" i="1"/>
  <c r="F3" i="3"/>
  <c r="B4" i="3" s="1"/>
  <c r="E110" i="1" l="1"/>
  <c r="F110" i="1"/>
  <c r="G121" i="1"/>
  <c r="F102" i="1"/>
  <c r="F121" i="1" s="1"/>
  <c r="E102" i="1"/>
  <c r="E121" i="1" s="1"/>
  <c r="C122" i="1" s="1"/>
  <c r="D4" i="3"/>
  <c r="C4" i="3" l="1"/>
  <c r="F4" i="3" l="1"/>
  <c r="B5" i="3" s="1"/>
  <c r="D5" i="3" l="1"/>
  <c r="C5" i="3" l="1"/>
  <c r="F5" i="3" l="1"/>
  <c r="B6" i="3" s="1"/>
  <c r="D6" i="3" l="1"/>
  <c r="C6" i="3" s="1"/>
  <c r="F6" i="3" s="1"/>
  <c r="B7" i="3" s="1"/>
  <c r="D7" i="3" l="1"/>
  <c r="C7" i="3" s="1"/>
  <c r="F7" i="3" s="1"/>
  <c r="B8" i="3" s="1"/>
  <c r="D8" i="3" l="1"/>
  <c r="C8" i="3" s="1"/>
  <c r="F8" i="3" s="1"/>
  <c r="B9" i="3" s="1"/>
  <c r="D9" i="3" l="1"/>
  <c r="C9" i="3" s="1"/>
  <c r="F9" i="3" s="1"/>
  <c r="B10" i="3" s="1"/>
  <c r="D10" i="3" l="1"/>
  <c r="C10" i="3" s="1"/>
  <c r="F10" i="3" s="1"/>
  <c r="B11" i="3" s="1"/>
  <c r="D11" i="3" l="1"/>
  <c r="C11" i="3" s="1"/>
  <c r="F11" i="3" s="1"/>
  <c r="B12" i="3" s="1"/>
  <c r="D12" i="3" l="1"/>
  <c r="C12" i="3" s="1"/>
  <c r="F12" i="3" s="1"/>
  <c r="B13" i="3" s="1"/>
  <c r="D13" i="3" l="1"/>
  <c r="C13" i="3" l="1"/>
  <c r="D14" i="3"/>
  <c r="D55" i="1" s="1"/>
  <c r="D58" i="1" l="1"/>
  <c r="D59" i="1" s="1"/>
  <c r="D80" i="1" s="1"/>
  <c r="C14" i="3"/>
  <c r="F13" i="3"/>
  <c r="D83" i="1" s="1"/>
  <c r="D81" i="1" l="1"/>
  <c r="D86" i="1" s="1"/>
  <c r="D60" i="1"/>
  <c r="D89" i="1" s="1"/>
  <c r="B16" i="3"/>
  <c r="D91" i="1" l="1"/>
  <c r="D93" i="1" s="1"/>
  <c r="D16" i="3"/>
  <c r="C16" i="3" l="1"/>
  <c r="F16" i="3" l="1"/>
  <c r="B17" i="3" s="1"/>
  <c r="D17" i="3" l="1"/>
  <c r="C17" i="3" l="1"/>
  <c r="F17" i="3" l="1"/>
  <c r="B18" i="3" s="1"/>
  <c r="D18" i="3" l="1"/>
  <c r="C18" i="3" l="1"/>
  <c r="F18" i="3" l="1"/>
  <c r="B19" i="3" s="1"/>
  <c r="D19" i="3" l="1"/>
  <c r="C19" i="3" l="1"/>
  <c r="F19" i="3" l="1"/>
  <c r="B20" i="3" s="1"/>
  <c r="D20" i="3" l="1"/>
  <c r="C20" i="3" l="1"/>
  <c r="F20" i="3" l="1"/>
  <c r="B21" i="3" s="1"/>
  <c r="D21" i="3" l="1"/>
  <c r="C21" i="3" s="1"/>
  <c r="F21" i="3" s="1"/>
  <c r="B22" i="3" s="1"/>
  <c r="D22" i="3" l="1"/>
  <c r="C22" i="3" s="1"/>
  <c r="F22" i="3" s="1"/>
  <c r="B23" i="3" s="1"/>
  <c r="D23" i="3" l="1"/>
  <c r="C23" i="3" s="1"/>
  <c r="F23" i="3" s="1"/>
  <c r="B24" i="3" s="1"/>
  <c r="D24" i="3" l="1"/>
  <c r="C24" i="3" s="1"/>
  <c r="F24" i="3" s="1"/>
  <c r="B25" i="3" s="1"/>
  <c r="D25" i="3" l="1"/>
  <c r="C25" i="3" s="1"/>
  <c r="F25" i="3" s="1"/>
  <c r="B26" i="3" s="1"/>
  <c r="D26" i="3" l="1"/>
  <c r="C26" i="3" s="1"/>
  <c r="F26" i="3" s="1"/>
  <c r="B27" i="3" s="1"/>
  <c r="D27" i="3" l="1"/>
  <c r="C27" i="3" l="1"/>
  <c r="D28" i="3"/>
  <c r="E55" i="1" s="1"/>
  <c r="E58" i="1" l="1"/>
  <c r="E59" i="1" s="1"/>
  <c r="C28" i="3"/>
  <c r="F27" i="3"/>
  <c r="E83" i="1" s="1"/>
  <c r="E60" i="1" l="1"/>
  <c r="E89" i="1" s="1"/>
  <c r="E80" i="1"/>
  <c r="E81" i="1" s="1"/>
  <c r="B30" i="3"/>
  <c r="E86" i="1" l="1"/>
  <c r="D30" i="3"/>
  <c r="E91" i="1" l="1"/>
  <c r="E93" i="1" s="1"/>
  <c r="C30" i="3"/>
  <c r="F30" i="3" l="1"/>
  <c r="B31" i="3" s="1"/>
  <c r="D31" i="3" l="1"/>
  <c r="C31" i="3" l="1"/>
  <c r="F31" i="3" l="1"/>
  <c r="B32" i="3" s="1"/>
  <c r="D32" i="3" l="1"/>
  <c r="C32" i="3" l="1"/>
  <c r="F32" i="3" l="1"/>
  <c r="B33" i="3" s="1"/>
  <c r="D33" i="3" l="1"/>
  <c r="C33" i="3" l="1"/>
  <c r="F33" i="3" l="1"/>
  <c r="B34" i="3" s="1"/>
  <c r="D34" i="3" l="1"/>
  <c r="C34" i="3" l="1"/>
  <c r="F34" i="3" l="1"/>
  <c r="B35" i="3" s="1"/>
  <c r="D35" i="3" l="1"/>
  <c r="C35" i="3" s="1"/>
  <c r="F35" i="3" s="1"/>
  <c r="B36" i="3" s="1"/>
  <c r="D36" i="3" l="1"/>
  <c r="C36" i="3" s="1"/>
  <c r="F36" i="3" s="1"/>
  <c r="B37" i="3" s="1"/>
  <c r="D37" i="3" l="1"/>
  <c r="C37" i="3" s="1"/>
  <c r="F37" i="3" s="1"/>
  <c r="B38" i="3" s="1"/>
  <c r="D38" i="3" l="1"/>
  <c r="C38" i="3" s="1"/>
  <c r="F38" i="3" s="1"/>
  <c r="B39" i="3" s="1"/>
  <c r="D39" i="3" l="1"/>
  <c r="C39" i="3" s="1"/>
  <c r="F39" i="3" s="1"/>
  <c r="B40" i="3" s="1"/>
  <c r="D40" i="3" l="1"/>
  <c r="C40" i="3" s="1"/>
  <c r="F40" i="3" s="1"/>
  <c r="B41" i="3" s="1"/>
  <c r="D41" i="3" l="1"/>
  <c r="C41" i="3" l="1"/>
  <c r="D42" i="3"/>
  <c r="F55" i="1" s="1"/>
  <c r="F58" i="1" l="1"/>
  <c r="F59" i="1" s="1"/>
  <c r="C42" i="3"/>
  <c r="F41" i="3"/>
  <c r="F83" i="1" s="1"/>
  <c r="F60" i="1" l="1"/>
  <c r="F89" i="1" s="1"/>
  <c r="F80" i="1"/>
  <c r="F81" i="1" s="1"/>
  <c r="B44" i="3"/>
  <c r="F86" i="1" l="1"/>
  <c r="F91" i="1" s="1"/>
  <c r="F93" i="1" s="1"/>
  <c r="D44" i="3"/>
  <c r="C44" i="3" l="1"/>
  <c r="F44" i="3" l="1"/>
  <c r="B45" i="3" s="1"/>
  <c r="D45" i="3" l="1"/>
  <c r="C45" i="3" l="1"/>
  <c r="F45" i="3" l="1"/>
  <c r="B46" i="3" s="1"/>
  <c r="D46" i="3" l="1"/>
  <c r="C46" i="3" l="1"/>
  <c r="F46" i="3" l="1"/>
  <c r="B47" i="3" s="1"/>
  <c r="D47" i="3" l="1"/>
  <c r="C47" i="3" l="1"/>
  <c r="F47" i="3" l="1"/>
  <c r="B48" i="3" s="1"/>
  <c r="D48" i="3" l="1"/>
  <c r="C48" i="3" l="1"/>
  <c r="F48" i="3" l="1"/>
  <c r="B49" i="3" s="1"/>
  <c r="D49" i="3" l="1"/>
  <c r="C49" i="3" s="1"/>
  <c r="F49" i="3" s="1"/>
  <c r="B50" i="3" s="1"/>
  <c r="D50" i="3" l="1"/>
  <c r="C50" i="3" s="1"/>
  <c r="F50" i="3" s="1"/>
  <c r="B51" i="3" s="1"/>
  <c r="D51" i="3" l="1"/>
  <c r="C51" i="3" s="1"/>
  <c r="F51" i="3" s="1"/>
  <c r="B52" i="3" s="1"/>
  <c r="D52" i="3" l="1"/>
  <c r="C52" i="3" s="1"/>
  <c r="F52" i="3" s="1"/>
  <c r="B53" i="3" s="1"/>
  <c r="D53" i="3" l="1"/>
  <c r="C53" i="3" s="1"/>
  <c r="F53" i="3" s="1"/>
  <c r="B54" i="3" s="1"/>
  <c r="D54" i="3" l="1"/>
  <c r="C54" i="3" s="1"/>
  <c r="F54" i="3" s="1"/>
  <c r="B55" i="3" s="1"/>
  <c r="D55" i="3" l="1"/>
  <c r="C55" i="3" l="1"/>
  <c r="D56" i="3"/>
  <c r="G55" i="1" s="1"/>
  <c r="G58" i="1" l="1"/>
  <c r="G59" i="1" s="1"/>
  <c r="C56" i="3"/>
  <c r="F55" i="3"/>
  <c r="G83" i="1" s="1"/>
  <c r="G80" i="1" l="1"/>
  <c r="G81" i="1" s="1"/>
  <c r="G60" i="1"/>
  <c r="G89" i="1" s="1"/>
  <c r="B58" i="3"/>
  <c r="G86" i="1" l="1"/>
  <c r="G91" i="1" s="1"/>
  <c r="G93" i="1" s="1"/>
  <c r="D58" i="3"/>
  <c r="C58" i="3" l="1"/>
  <c r="F58" i="3" l="1"/>
  <c r="B59" i="3" s="1"/>
  <c r="D59" i="3" l="1"/>
  <c r="C59" i="3" l="1"/>
  <c r="F59" i="3" l="1"/>
  <c r="B60" i="3" s="1"/>
  <c r="D60" i="3" l="1"/>
  <c r="C60" i="3" l="1"/>
  <c r="F60" i="3" l="1"/>
  <c r="B61" i="3" s="1"/>
  <c r="D61" i="3" l="1"/>
  <c r="C61" i="3" l="1"/>
  <c r="F61" i="3" l="1"/>
  <c r="B62" i="3" s="1"/>
  <c r="D62" i="3" l="1"/>
  <c r="C62" i="3" l="1"/>
  <c r="F62" i="3" l="1"/>
  <c r="B63" i="3" s="1"/>
  <c r="D63" i="3" l="1"/>
  <c r="C63" i="3" s="1"/>
  <c r="F63" i="3" s="1"/>
  <c r="B64" i="3" s="1"/>
  <c r="D64" i="3" l="1"/>
  <c r="C64" i="3" s="1"/>
  <c r="F64" i="3" s="1"/>
  <c r="B65" i="3" s="1"/>
  <c r="D65" i="3" l="1"/>
  <c r="C65" i="3" s="1"/>
  <c r="F65" i="3" s="1"/>
  <c r="B66" i="3" s="1"/>
  <c r="D66" i="3" l="1"/>
  <c r="C66" i="3" s="1"/>
  <c r="F66" i="3" s="1"/>
  <c r="B67" i="3" s="1"/>
  <c r="D67" i="3" l="1"/>
  <c r="C67" i="3" s="1"/>
  <c r="F67" i="3" s="1"/>
  <c r="B68" i="3" s="1"/>
  <c r="D68" i="3" l="1"/>
  <c r="C68" i="3" s="1"/>
  <c r="F68" i="3" s="1"/>
  <c r="B69" i="3" s="1"/>
  <c r="D69" i="3" l="1"/>
  <c r="C69" i="3" l="1"/>
  <c r="D70" i="3"/>
  <c r="H55" i="1" s="1"/>
  <c r="H58" i="1" l="1"/>
  <c r="H59" i="1" s="1"/>
  <c r="C70" i="3"/>
  <c r="F69" i="3"/>
  <c r="H83" i="1" s="1"/>
  <c r="J83" i="1" s="1"/>
  <c r="H80" i="1" l="1"/>
  <c r="H81" i="1" s="1"/>
  <c r="H86" i="1" s="1"/>
  <c r="H60" i="1"/>
  <c r="H89" i="1" s="1"/>
  <c r="J89" i="1" s="1"/>
  <c r="J91" i="1" s="1"/>
  <c r="K83" i="1" s="1"/>
  <c r="B72" i="3"/>
  <c r="K88" i="1" l="1"/>
  <c r="K77" i="1" s="1" a="1"/>
  <c r="K77" i="1" s="1"/>
  <c r="K84" i="1"/>
  <c r="N84" i="1" s="1"/>
  <c r="H91" i="1"/>
  <c r="H93" i="1" s="1"/>
  <c r="D72" i="3"/>
  <c r="K91" i="1" l="1"/>
  <c r="C72" i="3"/>
  <c r="F72" i="3" l="1"/>
  <c r="B73" i="3" s="1"/>
  <c r="D73" i="3" l="1"/>
  <c r="C73" i="3" l="1"/>
  <c r="F73" i="3" l="1"/>
  <c r="B74" i="3" s="1"/>
  <c r="D74" i="3" l="1"/>
  <c r="C74" i="3" l="1"/>
  <c r="F74" i="3" l="1"/>
  <c r="B75" i="3" s="1"/>
  <c r="D75" i="3" l="1"/>
  <c r="C75" i="3" l="1"/>
  <c r="F75" i="3" l="1"/>
  <c r="B76" i="3" s="1"/>
  <c r="D76" i="3" l="1"/>
  <c r="C76" i="3" l="1"/>
  <c r="F76" i="3" l="1"/>
  <c r="B77" i="3" s="1"/>
  <c r="D77" i="3" l="1"/>
  <c r="C77" i="3" s="1"/>
  <c r="F77" i="3" s="1"/>
  <c r="B78" i="3" s="1"/>
  <c r="D78" i="3" l="1"/>
  <c r="C78" i="3" s="1"/>
  <c r="F78" i="3" s="1"/>
  <c r="B79" i="3" s="1"/>
  <c r="D79" i="3" l="1"/>
  <c r="C79" i="3" s="1"/>
  <c r="F79" i="3" s="1"/>
  <c r="B80" i="3" s="1"/>
  <c r="D80" i="3" l="1"/>
  <c r="C80" i="3" s="1"/>
  <c r="F80" i="3" s="1"/>
  <c r="B81" i="3" s="1"/>
  <c r="D81" i="3" l="1"/>
  <c r="C81" i="3" s="1"/>
  <c r="F81" i="3" s="1"/>
  <c r="B82" i="3" s="1"/>
  <c r="D82" i="3" l="1"/>
  <c r="C82" i="3" s="1"/>
  <c r="F82" i="3" s="1"/>
  <c r="B83" i="3" s="1"/>
  <c r="D83" i="3" l="1"/>
  <c r="C83" i="3" l="1"/>
  <c r="D84" i="3"/>
  <c r="C84" i="3" l="1"/>
  <c r="F83" i="3"/>
  <c r="B86" i="3" s="1"/>
  <c r="D86" i="3" l="1"/>
  <c r="C86" i="3" l="1"/>
  <c r="F86" i="3" l="1"/>
  <c r="B87" i="3" s="1"/>
  <c r="D87" i="3" l="1"/>
  <c r="C87" i="3" l="1"/>
  <c r="F87" i="3" l="1"/>
  <c r="B88" i="3" s="1"/>
  <c r="D88" i="3" l="1"/>
  <c r="C88" i="3" l="1"/>
  <c r="F88" i="3" l="1"/>
  <c r="B89" i="3" s="1"/>
  <c r="D89" i="3" l="1"/>
  <c r="C89" i="3" l="1"/>
  <c r="F89" i="3" l="1"/>
  <c r="B90" i="3" s="1"/>
  <c r="D90" i="3" l="1"/>
  <c r="C90" i="3" l="1"/>
  <c r="F90" i="3" l="1"/>
  <c r="B91" i="3" s="1"/>
  <c r="D91" i="3" l="1"/>
  <c r="C91" i="3" s="1"/>
  <c r="F91" i="3" s="1"/>
  <c r="B92" i="3" s="1"/>
  <c r="D92" i="3" l="1"/>
  <c r="C92" i="3" s="1"/>
  <c r="F92" i="3" s="1"/>
  <c r="B93" i="3" s="1"/>
  <c r="D93" i="3" l="1"/>
  <c r="C93" i="3" s="1"/>
  <c r="F93" i="3" s="1"/>
  <c r="B94" i="3" s="1"/>
  <c r="D94" i="3" l="1"/>
  <c r="C94" i="3" s="1"/>
  <c r="F94" i="3" s="1"/>
  <c r="B95" i="3" s="1"/>
  <c r="D95" i="3" l="1"/>
  <c r="C95" i="3" s="1"/>
  <c r="F95" i="3" s="1"/>
  <c r="B96" i="3" s="1"/>
  <c r="D96" i="3" l="1"/>
  <c r="C96" i="3" s="1"/>
  <c r="F96" i="3" s="1"/>
  <c r="B97" i="3" s="1"/>
  <c r="D97" i="3" l="1"/>
  <c r="C97" i="3" l="1"/>
  <c r="D98" i="3"/>
  <c r="C98" i="3" l="1"/>
  <c r="F97" i="3"/>
  <c r="B100" i="3" s="1"/>
  <c r="D100" i="3" l="1"/>
  <c r="C100" i="3" l="1"/>
  <c r="F100" i="3" l="1"/>
  <c r="B101" i="3" s="1"/>
  <c r="D101" i="3" l="1"/>
  <c r="C101" i="3" l="1"/>
  <c r="F101" i="3" l="1"/>
  <c r="B102" i="3" s="1"/>
  <c r="D102" i="3" l="1"/>
  <c r="C102" i="3" l="1"/>
  <c r="F102" i="3" l="1"/>
  <c r="B103" i="3" s="1"/>
  <c r="D103" i="3" l="1"/>
  <c r="C103" i="3" l="1"/>
  <c r="F103" i="3" l="1"/>
  <c r="B104" i="3" s="1"/>
  <c r="D104" i="3" l="1"/>
  <c r="C104" i="3" l="1"/>
  <c r="F104" i="3" l="1"/>
  <c r="B105" i="3" s="1"/>
  <c r="D105" i="3" l="1"/>
  <c r="C105" i="3" s="1"/>
  <c r="F105" i="3" s="1"/>
  <c r="B106" i="3" s="1"/>
  <c r="D106" i="3" l="1"/>
  <c r="C106" i="3" s="1"/>
  <c r="F106" i="3" s="1"/>
  <c r="B107" i="3" s="1"/>
  <c r="D107" i="3" l="1"/>
  <c r="C107" i="3" s="1"/>
  <c r="F107" i="3" s="1"/>
  <c r="B108" i="3" s="1"/>
  <c r="D108" i="3" l="1"/>
  <c r="C108" i="3" s="1"/>
  <c r="F108" i="3" s="1"/>
  <c r="B109" i="3" s="1"/>
  <c r="D109" i="3" l="1"/>
  <c r="C109" i="3" s="1"/>
  <c r="F109" i="3" s="1"/>
  <c r="B110" i="3" s="1"/>
  <c r="D110" i="3" l="1"/>
  <c r="C110" i="3" s="1"/>
  <c r="F110" i="3" s="1"/>
  <c r="B111" i="3" s="1"/>
  <c r="D111" i="3" l="1"/>
  <c r="C111" i="3" l="1"/>
  <c r="D112" i="3"/>
  <c r="C112" i="3" l="1"/>
  <c r="F111" i="3"/>
  <c r="B114" i="3" s="1"/>
  <c r="D114" i="3" l="1"/>
  <c r="C114" i="3" l="1"/>
  <c r="F114" i="3" l="1"/>
  <c r="B115" i="3" s="1"/>
  <c r="D115" i="3" l="1"/>
  <c r="C115" i="3" l="1"/>
  <c r="F115" i="3" l="1"/>
  <c r="B116" i="3" s="1"/>
  <c r="D116" i="3" l="1"/>
  <c r="C116" i="3" l="1"/>
  <c r="F116" i="3" l="1"/>
  <c r="B117" i="3" s="1"/>
  <c r="D117" i="3" l="1"/>
  <c r="C117" i="3" l="1"/>
  <c r="F117" i="3" l="1"/>
  <c r="B118" i="3" s="1"/>
  <c r="D118" i="3" l="1"/>
  <c r="C118" i="3" l="1"/>
  <c r="F118" i="3" l="1"/>
  <c r="B119" i="3" s="1"/>
  <c r="D119" i="3" l="1"/>
  <c r="C119" i="3" s="1"/>
  <c r="F119" i="3" s="1"/>
  <c r="B120" i="3" s="1"/>
  <c r="D120" i="3" l="1"/>
  <c r="C120" i="3" s="1"/>
  <c r="F120" i="3" s="1"/>
  <c r="B121" i="3" s="1"/>
  <c r="D121" i="3" l="1"/>
  <c r="C121" i="3" s="1"/>
  <c r="F121" i="3" s="1"/>
  <c r="B122" i="3" s="1"/>
  <c r="D122" i="3" l="1"/>
  <c r="C122" i="3" s="1"/>
  <c r="F122" i="3" s="1"/>
  <c r="B123" i="3" s="1"/>
  <c r="D123" i="3" l="1"/>
  <c r="C123" i="3" s="1"/>
  <c r="F123" i="3" s="1"/>
  <c r="B124" i="3" s="1"/>
  <c r="D124" i="3" l="1"/>
  <c r="C124" i="3" s="1"/>
  <c r="F124" i="3" s="1"/>
  <c r="B125" i="3" s="1"/>
  <c r="D125" i="3" l="1"/>
  <c r="C125" i="3" l="1"/>
  <c r="D126" i="3"/>
  <c r="C126" i="3" l="1"/>
  <c r="F125" i="3"/>
  <c r="B128" i="3" s="1"/>
  <c r="D128" i="3" l="1"/>
  <c r="C128" i="3" l="1"/>
  <c r="F128" i="3" l="1"/>
  <c r="B129" i="3" s="1"/>
  <c r="D129" i="3" l="1"/>
  <c r="C129" i="3" l="1"/>
  <c r="F129" i="3" l="1"/>
  <c r="B130" i="3" s="1"/>
  <c r="D130" i="3" l="1"/>
  <c r="C130" i="3" l="1"/>
  <c r="F130" i="3" l="1"/>
  <c r="B131" i="3" s="1"/>
  <c r="D131" i="3" l="1"/>
  <c r="C131" i="3" l="1"/>
  <c r="F131" i="3" l="1"/>
  <c r="B132" i="3" s="1"/>
  <c r="D132" i="3" l="1"/>
  <c r="C132" i="3" l="1"/>
  <c r="F132" i="3" l="1"/>
  <c r="B133" i="3" s="1"/>
  <c r="D133" i="3" l="1"/>
  <c r="C133" i="3" s="1"/>
  <c r="F133" i="3" s="1"/>
  <c r="B134" i="3" s="1"/>
  <c r="D134" i="3" l="1"/>
  <c r="C134" i="3" s="1"/>
  <c r="F134" i="3" s="1"/>
  <c r="B135" i="3" s="1"/>
  <c r="D135" i="3" l="1"/>
  <c r="C135" i="3" s="1"/>
  <c r="F135" i="3" s="1"/>
  <c r="B136" i="3" s="1"/>
  <c r="D136" i="3" l="1"/>
  <c r="C136" i="3" s="1"/>
  <c r="F136" i="3" s="1"/>
  <c r="B137" i="3" s="1"/>
  <c r="D137" i="3" l="1"/>
  <c r="C137" i="3" s="1"/>
  <c r="F137" i="3" s="1"/>
  <c r="B138" i="3" s="1"/>
  <c r="D138" i="3" l="1"/>
  <c r="C138" i="3" s="1"/>
  <c r="F138" i="3" s="1"/>
  <c r="B139" i="3" s="1"/>
  <c r="D139" i="3" l="1"/>
  <c r="C139" i="3" l="1"/>
  <c r="D140" i="3"/>
  <c r="C140" i="3" l="1"/>
  <c r="F139" i="3"/>
  <c r="L88" i="1"/>
  <c r="M88" i="1" s="1"/>
  <c r="N88" i="1" s="1"/>
  <c r="N91" i="1" s="1"/>
  <c r="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<sst xmlns="http://schemas.openxmlformats.org/spreadsheetml/2006/main" count="286" uniqueCount="155">
  <si>
    <t>Year 1</t>
  </si>
  <si>
    <t>Cost per acre for land</t>
  </si>
  <si>
    <t>Cost per square foot for store building</t>
  </si>
  <si>
    <t>Square footage of building</t>
  </si>
  <si>
    <t>Days of receivables (credit card use assumed for all revenue)</t>
  </si>
  <si>
    <t>Beg Balance</t>
  </si>
  <si>
    <t>Principal</t>
  </si>
  <si>
    <t xml:space="preserve">Interest </t>
  </si>
  <si>
    <t>Payment</t>
  </si>
  <si>
    <t>End Balance</t>
  </si>
  <si>
    <t>Rate</t>
  </si>
  <si>
    <t>Jan</t>
  </si>
  <si>
    <t>Per Rate</t>
  </si>
  <si>
    <t>Feb</t>
  </si>
  <si>
    <t>FV</t>
  </si>
  <si>
    <t>Mar</t>
  </si>
  <si>
    <t>Years</t>
  </si>
  <si>
    <t>Apr</t>
  </si>
  <si>
    <t>Per</t>
  </si>
  <si>
    <t>May</t>
  </si>
  <si>
    <t>Type</t>
  </si>
  <si>
    <t>Jun</t>
  </si>
  <si>
    <t>PV</t>
  </si>
  <si>
    <t>Jul</t>
  </si>
  <si>
    <t>Aug</t>
  </si>
  <si>
    <t>Sep</t>
  </si>
  <si>
    <t>Oct</t>
  </si>
  <si>
    <t>Nov</t>
  </si>
  <si>
    <t>Dec</t>
  </si>
  <si>
    <t>TOTALS</t>
  </si>
  <si>
    <t>Average total cost per labor hour (wage + withholdings)</t>
  </si>
  <si>
    <t>Acres of land</t>
  </si>
  <si>
    <t>Mortgage loan interest rate</t>
  </si>
  <si>
    <t>Mortgage loan length (in years)</t>
  </si>
  <si>
    <t>Mortgage loan starting balance, % of total land and buildings</t>
  </si>
  <si>
    <t>Extra bank loan interest rate</t>
  </si>
  <si>
    <t>Days of inventory</t>
  </si>
  <si>
    <t>Days of accounts payable (COGS expense)</t>
  </si>
  <si>
    <t>General and Administrative as percent of sales</t>
  </si>
  <si>
    <t>COGS as percent of sales</t>
  </si>
  <si>
    <t>Income tax rate (state plus federal)</t>
  </si>
  <si>
    <t>Minimum cash as % of sales</t>
  </si>
  <si>
    <t>Average Price Per Item</t>
  </si>
  <si>
    <t>Average Quantity Sold Per Year</t>
  </si>
  <si>
    <t>BASIC FORECASTING RATIOS AND ASSUMPTIONS</t>
  </si>
  <si>
    <t>Average number of labor hours per year needed</t>
  </si>
  <si>
    <t>EXTRA RATIOS AND ASSUMPTIONS (WILL DO AT LATER TIME)</t>
  </si>
  <si>
    <t>Common stock starting balance, percent of total assets</t>
  </si>
  <si>
    <t>Depreciation years</t>
  </si>
  <si>
    <t>Year 2</t>
  </si>
  <si>
    <t>Year 3</t>
  </si>
  <si>
    <t>Year 4</t>
  </si>
  <si>
    <t>Year 5</t>
  </si>
  <si>
    <t>Percentage Growth</t>
  </si>
  <si>
    <t>Sales</t>
  </si>
  <si>
    <t>INCOME STATEMENT</t>
  </si>
  <si>
    <t>Gross Profit</t>
  </si>
  <si>
    <t>Taxable Income</t>
  </si>
  <si>
    <t>Net Income</t>
  </si>
  <si>
    <t>BALANCE SHEET</t>
  </si>
  <si>
    <t>Extra Cash</t>
  </si>
  <si>
    <t>Accounts Receivable</t>
  </si>
  <si>
    <t>Total Assets</t>
  </si>
  <si>
    <t>Retained Earnings</t>
  </si>
  <si>
    <t>DFN</t>
  </si>
  <si>
    <t>Sales Revenue</t>
  </si>
  <si>
    <t>Cost of Good Sold</t>
  </si>
  <si>
    <t xml:space="preserve">Expenses </t>
  </si>
  <si>
    <t>Salaries and Wages</t>
  </si>
  <si>
    <t>General and Administrative</t>
  </si>
  <si>
    <t>Building Insurance and Property Taxes</t>
  </si>
  <si>
    <t>Building Maintenance</t>
  </si>
  <si>
    <t>Depeciation Expense</t>
  </si>
  <si>
    <t>Total Expenses</t>
  </si>
  <si>
    <t>Income Before Interest and Taxes</t>
  </si>
  <si>
    <t>Mortgage Interest Expense</t>
  </si>
  <si>
    <t>Extra Bank Loan Interest Expense</t>
  </si>
  <si>
    <t>Income Tax Expense</t>
  </si>
  <si>
    <t xml:space="preserve">ASSETS </t>
  </si>
  <si>
    <t>Current Assets</t>
  </si>
  <si>
    <t>Minimum Cash Balance</t>
  </si>
  <si>
    <t xml:space="preserve">Inventory </t>
  </si>
  <si>
    <t>Total Current Assets</t>
  </si>
  <si>
    <t>Land</t>
  </si>
  <si>
    <t>Buildings</t>
  </si>
  <si>
    <t>Less Accumulated Depreciation</t>
  </si>
  <si>
    <t xml:space="preserve">LIABILITIES </t>
  </si>
  <si>
    <t>Current Liabilities</t>
  </si>
  <si>
    <t>Accounts Payable (COGS Expense)</t>
  </si>
  <si>
    <t>Income Taxes Payable</t>
  </si>
  <si>
    <t>Total Current Liabilities</t>
  </si>
  <si>
    <t>Mortgage Loan</t>
  </si>
  <si>
    <t>Extra Bank Loan</t>
  </si>
  <si>
    <t>Total Liabilities</t>
  </si>
  <si>
    <t>Common Stock</t>
  </si>
  <si>
    <t>Total Liabilities and Shareholders Equity</t>
  </si>
  <si>
    <t>Average cost of insurance and property tax, % of building value</t>
  </si>
  <si>
    <t>Average maintenance cost per year, per square foot of buildings</t>
  </si>
  <si>
    <t>Plan according to inflation rates. Price will rise little bit over time</t>
  </si>
  <si>
    <t>There is no marketing, but we will be marketing more which will bring in more customers. This will help us sell more products</t>
  </si>
  <si>
    <t>We will be increasing and revamping the training process and other procedures which we feel will increase this ratio slowly.</t>
  </si>
  <si>
    <t>We will be increasing the area that we can display certain products which will allow greater turnover and shorter time that the inventory will be kept on the shelf.</t>
  </si>
  <si>
    <t>Average</t>
  </si>
  <si>
    <t>Proportion</t>
  </si>
  <si>
    <t>WACC</t>
  </si>
  <si>
    <t>Round Bagels &amp; Donuts</t>
  </si>
  <si>
    <t>Tax Adjusted</t>
  </si>
  <si>
    <t>CREDIT RATING</t>
  </si>
  <si>
    <t>Coverage Ratio</t>
  </si>
  <si>
    <t>Credit Rating</t>
  </si>
  <si>
    <t>Spread Above T-Bill</t>
  </si>
  <si>
    <t>T-Bill Return</t>
  </si>
  <si>
    <t>Mortage Loan</t>
  </si>
  <si>
    <t>Average Tax Rate</t>
  </si>
  <si>
    <t>CAPM</t>
  </si>
  <si>
    <t>Beta</t>
  </si>
  <si>
    <t>S&amp;P 500 Return</t>
  </si>
  <si>
    <t>Equity Cost</t>
  </si>
  <si>
    <t>Weighted</t>
  </si>
  <si>
    <t>By increasing marketing we can increase our credit rating up to this industry credit rating.</t>
  </si>
  <si>
    <t xml:space="preserve">By increasing the hours that the store is open we also believe that our credit rating can increase. </t>
  </si>
  <si>
    <t>Cash from Operations</t>
  </si>
  <si>
    <t>Operating Profit</t>
  </si>
  <si>
    <t>Less: Depreciation</t>
  </si>
  <si>
    <t>Taxable Operating Profit</t>
  </si>
  <si>
    <t>Less: Taxes on Operations Only</t>
  </si>
  <si>
    <t>Cash in/out on Balance Sheet</t>
  </si>
  <si>
    <t>Minimum Cash</t>
  </si>
  <si>
    <t>Inventory</t>
  </si>
  <si>
    <t>Accounts Payable</t>
  </si>
  <si>
    <t>Income Tax Payable</t>
  </si>
  <si>
    <t>Adjustment on Sale</t>
  </si>
  <si>
    <t>Tax on Sale</t>
  </si>
  <si>
    <t>TOTAL FREE CASH FLOWS</t>
  </si>
  <si>
    <t>IRR</t>
  </si>
  <si>
    <t>WACC (COMPUTED ABOVE)</t>
  </si>
  <si>
    <t>NPV</t>
  </si>
  <si>
    <t>Free Cash Flows</t>
  </si>
  <si>
    <t>Book</t>
  </si>
  <si>
    <t>Gain</t>
  </si>
  <si>
    <t>of total valuation</t>
  </si>
  <si>
    <t>Because it is just off a strip mall it could be purchased for more.</t>
  </si>
  <si>
    <t>DEBT</t>
  </si>
  <si>
    <t xml:space="preserve">First: Compute EBIT </t>
  </si>
  <si>
    <t>EBIT</t>
  </si>
  <si>
    <t>Loan amount</t>
  </si>
  <si>
    <t>Assumed T-Bill rate</t>
  </si>
  <si>
    <t>Assumed interest rate (Assumed T-Bill rate + Spread from table)</t>
  </si>
  <si>
    <t xml:space="preserve">Interest expense </t>
  </si>
  <si>
    <t>EBIT Coverage (EBIT / Interest expense)</t>
  </si>
  <si>
    <t>A</t>
  </si>
  <si>
    <t>unlevered beta</t>
  </si>
  <si>
    <t>Goodwill</t>
  </si>
  <si>
    <t>the building will have aged for 5 years and decreased in value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</si>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</sst>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7" formatCode="[$$-409]#,##0.00;[Red]\-[$$-409]#,##0.00"/>
  </numFmts>
  <fonts count="26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u/>
      <sz val="12"/>
      <color rgb="FF000000"/>
      <name val="Calibri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u/>
      <sz val="11"/>
      <name val="Calibri"/>
      <family val="2"/>
    </font>
    <font>
      <sz val="11"/>
      <color indexed="8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</font>
    <font>
      <b/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0000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6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0" fontId="5" fillId="0" borderId="0"/>
  </cellStyleXfs>
  <cellXfs count="133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9" fillId="0" borderId="1" xfId="0" applyFont="1" applyBorder="1" applyAlignment="1">
      <alignment horizontal="center"/>
    </xf>
    <xf numFmtId="9" fontId="7" fillId="0" borderId="0" xfId="0" applyNumberFormat="1" applyFont="1" applyAlignment="1"/>
    <xf numFmtId="44" fontId="7" fillId="0" borderId="0" xfId="2" applyFont="1"/>
    <xf numFmtId="44" fontId="7" fillId="0" borderId="0" xfId="2" applyFont="1" applyAlignment="1"/>
    <xf numFmtId="2" fontId="7" fillId="0" borderId="0" xfId="0" applyNumberFormat="1" applyFont="1" applyAlignment="1"/>
    <xf numFmtId="0" fontId="8" fillId="0" borderId="0" xfId="0" applyFont="1"/>
    <xf numFmtId="164" fontId="7" fillId="0" borderId="0" xfId="3" applyNumberFormat="1" applyFont="1" applyAlignment="1"/>
    <xf numFmtId="10" fontId="7" fillId="0" borderId="0" xfId="3" applyNumberFormat="1" applyFont="1" applyAlignment="1"/>
    <xf numFmtId="43" fontId="7" fillId="0" borderId="0" xfId="1" applyFont="1" applyAlignment="1"/>
    <xf numFmtId="0" fontId="10" fillId="0" borderId="0" xfId="0" applyFont="1"/>
    <xf numFmtId="0" fontId="10" fillId="0" borderId="0" xfId="0" applyFont="1" applyFill="1"/>
    <xf numFmtId="10" fontId="10" fillId="0" borderId="0" xfId="0" applyNumberFormat="1" applyFont="1" applyFill="1"/>
    <xf numFmtId="0" fontId="0" fillId="0" borderId="0" xfId="0"/>
    <xf numFmtId="17" fontId="10" fillId="0" borderId="0" xfId="0" quotePrefix="1" applyNumberFormat="1" applyFont="1" applyAlignment="1">
      <alignment wrapText="1"/>
    </xf>
    <xf numFmtId="44" fontId="11" fillId="0" borderId="0" xfId="2" applyFont="1"/>
    <xf numFmtId="0" fontId="10" fillId="0" borderId="0" xfId="0" applyFont="1" applyAlignment="1">
      <alignment wrapText="1"/>
    </xf>
    <xf numFmtId="167" fontId="10" fillId="0" borderId="0" xfId="0" applyNumberFormat="1" applyFont="1" applyFill="1"/>
    <xf numFmtId="0" fontId="12" fillId="0" borderId="0" xfId="0" applyFont="1" applyAlignment="1">
      <alignment wrapText="1"/>
    </xf>
    <xf numFmtId="43" fontId="10" fillId="0" borderId="0" xfId="0" applyNumberFormat="1" applyFont="1" applyFill="1"/>
    <xf numFmtId="165" fontId="7" fillId="0" borderId="0" xfId="2" applyNumberFormat="1" applyFont="1" applyAlignment="1"/>
    <xf numFmtId="0" fontId="12" fillId="0" borderId="0" xfId="0" applyFont="1" applyFill="1"/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6" fillId="0" borderId="2" xfId="0" applyFont="1" applyBorder="1" applyAlignment="1"/>
    <xf numFmtId="0" fontId="9" fillId="0" borderId="2" xfId="0" applyFont="1" applyBorder="1" applyAlignment="1"/>
    <xf numFmtId="0" fontId="7" fillId="0" borderId="2" xfId="0" applyFont="1" applyBorder="1" applyAlignment="1"/>
    <xf numFmtId="44" fontId="7" fillId="0" borderId="0" xfId="0" applyNumberFormat="1" applyFont="1" applyAlignment="1"/>
    <xf numFmtId="9" fontId="7" fillId="0" borderId="0" xfId="3" applyFont="1" applyAlignment="1"/>
    <xf numFmtId="165" fontId="7" fillId="0" borderId="0" xfId="0" applyNumberFormat="1" applyFont="1" applyAlignment="1"/>
    <xf numFmtId="0" fontId="18" fillId="0" borderId="0" xfId="0" applyFont="1"/>
    <xf numFmtId="165" fontId="7" fillId="0" borderId="3" xfId="0" applyNumberFormat="1" applyFont="1" applyBorder="1" applyAlignment="1"/>
    <xf numFmtId="165" fontId="7" fillId="0" borderId="0" xfId="0" applyNumberFormat="1" applyFont="1"/>
    <xf numFmtId="165" fontId="7" fillId="0" borderId="4" xfId="0" applyNumberFormat="1" applyFont="1" applyBorder="1"/>
    <xf numFmtId="6" fontId="7" fillId="0" borderId="0" xfId="0" applyNumberFormat="1" applyFont="1"/>
    <xf numFmtId="165" fontId="8" fillId="2" borderId="3" xfId="2" applyNumberFormat="1" applyFont="1" applyFill="1" applyBorder="1" applyAlignment="1"/>
    <xf numFmtId="165" fontId="18" fillId="0" borderId="0" xfId="0" applyNumberFormat="1" applyFont="1"/>
    <xf numFmtId="165" fontId="7" fillId="0" borderId="3" xfId="0" applyNumberFormat="1" applyFont="1" applyBorder="1"/>
    <xf numFmtId="165" fontId="7" fillId="0" borderId="3" xfId="2" applyNumberFormat="1" applyFont="1" applyBorder="1" applyAlignment="1"/>
    <xf numFmtId="165" fontId="7" fillId="0" borderId="3" xfId="2" applyNumberFormat="1" applyFont="1" applyBorder="1"/>
    <xf numFmtId="44" fontId="7" fillId="0" borderId="5" xfId="2" applyFont="1" applyBorder="1"/>
    <xf numFmtId="44" fontId="7" fillId="0" borderId="5" xfId="0" applyNumberFormat="1" applyFont="1" applyBorder="1" applyAlignment="1"/>
    <xf numFmtId="9" fontId="7" fillId="0" borderId="5" xfId="0" applyNumberFormat="1" applyFont="1" applyBorder="1" applyAlignment="1"/>
    <xf numFmtId="166" fontId="7" fillId="0" borderId="5" xfId="1" applyNumberFormat="1" applyFont="1" applyBorder="1"/>
    <xf numFmtId="43" fontId="7" fillId="0" borderId="5" xfId="1" applyFont="1" applyBorder="1"/>
    <xf numFmtId="10" fontId="7" fillId="0" borderId="5" xfId="3" applyNumberFormat="1" applyFont="1" applyBorder="1" applyAlignment="1"/>
    <xf numFmtId="9" fontId="7" fillId="0" borderId="5" xfId="3" applyFont="1" applyBorder="1" applyAlignment="1"/>
    <xf numFmtId="0" fontId="7" fillId="0" borderId="5" xfId="1" applyNumberFormat="1" applyFont="1" applyBorder="1" applyAlignment="1"/>
    <xf numFmtId="44" fontId="7" fillId="0" borderId="5" xfId="2" applyFont="1" applyBorder="1" applyAlignment="1"/>
    <xf numFmtId="6" fontId="7" fillId="0" borderId="5" xfId="2" applyNumberFormat="1" applyFont="1" applyBorder="1" applyAlignment="1"/>
    <xf numFmtId="43" fontId="7" fillId="0" borderId="5" xfId="1" applyFont="1" applyBorder="1" applyAlignment="1"/>
    <xf numFmtId="10" fontId="7" fillId="0" borderId="5" xfId="1" applyNumberFormat="1" applyFont="1" applyBorder="1" applyAlignment="1"/>
    <xf numFmtId="0" fontId="7" fillId="0" borderId="5" xfId="3" applyNumberFormat="1" applyFont="1" applyBorder="1" applyAlignment="1"/>
    <xf numFmtId="2" fontId="7" fillId="0" borderId="5" xfId="3" applyNumberFormat="1" applyFont="1" applyBorder="1" applyAlignment="1"/>
    <xf numFmtId="1" fontId="7" fillId="0" borderId="5" xfId="0" applyNumberFormat="1" applyFont="1" applyBorder="1" applyAlignment="1"/>
    <xf numFmtId="165" fontId="7" fillId="0" borderId="5" xfId="2" applyNumberFormat="1" applyFont="1" applyBorder="1" applyAlignment="1"/>
    <xf numFmtId="164" fontId="7" fillId="0" borderId="5" xfId="3" applyNumberFormat="1" applyFont="1" applyBorder="1" applyAlignment="1"/>
    <xf numFmtId="0" fontId="7" fillId="0" borderId="5" xfId="2" applyNumberFormat="1" applyFont="1" applyBorder="1" applyAlignment="1"/>
    <xf numFmtId="164" fontId="7" fillId="0" borderId="5" xfId="0" applyNumberFormat="1" applyFont="1" applyBorder="1" applyAlignment="1"/>
    <xf numFmtId="0" fontId="7" fillId="3" borderId="5" xfId="0" applyFont="1" applyFill="1" applyBorder="1" applyAlignment="1"/>
    <xf numFmtId="0" fontId="7" fillId="3" borderId="5" xfId="0" applyFont="1" applyFill="1" applyBorder="1" applyAlignment="1">
      <alignment wrapText="1"/>
    </xf>
    <xf numFmtId="0" fontId="18" fillId="4" borderId="0" xfId="0" applyFont="1" applyFill="1"/>
    <xf numFmtId="0" fontId="7" fillId="4" borderId="0" xfId="0" applyFont="1" applyFill="1"/>
    <xf numFmtId="43" fontId="7" fillId="4" borderId="0" xfId="1" applyFont="1" applyFill="1" applyAlignment="1"/>
    <xf numFmtId="0" fontId="7" fillId="4" borderId="0" xfId="0" applyFont="1" applyFill="1" applyAlignment="1">
      <alignment horizontal="right"/>
    </xf>
    <xf numFmtId="10" fontId="7" fillId="4" borderId="0" xfId="0" applyNumberFormat="1" applyFont="1" applyFill="1"/>
    <xf numFmtId="10" fontId="7" fillId="4" borderId="0" xfId="3" applyNumberFormat="1" applyFont="1" applyFill="1" applyAlignment="1"/>
    <xf numFmtId="0" fontId="21" fillId="4" borderId="0" xfId="0" applyFont="1" applyFill="1" applyAlignment="1">
      <alignment horizontal="right"/>
    </xf>
    <xf numFmtId="165" fontId="7" fillId="4" borderId="0" xfId="0" applyNumberFormat="1" applyFont="1" applyFill="1"/>
    <xf numFmtId="164" fontId="7" fillId="4" borderId="0" xfId="0" applyNumberFormat="1" applyFont="1" applyFill="1"/>
    <xf numFmtId="10" fontId="18" fillId="4" borderId="0" xfId="3" applyNumberFormat="1" applyFont="1" applyFill="1" applyAlignment="1"/>
    <xf numFmtId="0" fontId="0" fillId="5" borderId="0" xfId="0" applyFill="1"/>
    <xf numFmtId="0" fontId="7" fillId="5" borderId="0" xfId="0" applyFont="1" applyFill="1" applyAlignment="1"/>
    <xf numFmtId="0" fontId="0" fillId="5" borderId="0" xfId="0" applyFill="1" applyBorder="1"/>
    <xf numFmtId="0" fontId="7" fillId="0" borderId="0" xfId="0" applyFont="1" applyBorder="1" applyAlignment="1"/>
    <xf numFmtId="0" fontId="7" fillId="5" borderId="0" xfId="0" applyFont="1" applyFill="1" applyBorder="1" applyAlignment="1"/>
    <xf numFmtId="0" fontId="8" fillId="3" borderId="0" xfId="0" applyFont="1" applyFill="1" applyAlignment="1"/>
    <xf numFmtId="10" fontId="3" fillId="3" borderId="0" xfId="3" applyNumberFormat="1" applyFont="1" applyFill="1" applyBorder="1"/>
    <xf numFmtId="0" fontId="3" fillId="3" borderId="0" xfId="0" applyFont="1" applyFill="1"/>
    <xf numFmtId="0" fontId="20" fillId="3" borderId="0" xfId="0" applyFont="1" applyFill="1" applyAlignment="1">
      <alignment horizontal="center"/>
    </xf>
    <xf numFmtId="10" fontId="20" fillId="3" borderId="0" xfId="0" applyNumberFormat="1" applyFont="1" applyFill="1" applyAlignment="1">
      <alignment horizontal="center"/>
    </xf>
    <xf numFmtId="10" fontId="20" fillId="3" borderId="0" xfId="3" applyNumberFormat="1" applyFont="1" applyFill="1" applyAlignment="1">
      <alignment horizontal="center"/>
    </xf>
    <xf numFmtId="0" fontId="20" fillId="3" borderId="0" xfId="0" applyFont="1" applyFill="1"/>
    <xf numFmtId="44" fontId="7" fillId="5" borderId="0" xfId="0" applyNumberFormat="1" applyFont="1" applyFill="1" applyBorder="1" applyAlignment="1"/>
    <xf numFmtId="9" fontId="7" fillId="5" borderId="0" xfId="0" applyNumberFormat="1" applyFont="1" applyFill="1" applyBorder="1" applyAlignment="1"/>
    <xf numFmtId="165" fontId="7" fillId="5" borderId="0" xfId="0" applyNumberFormat="1" applyFont="1" applyFill="1" applyBorder="1" applyAlignment="1"/>
    <xf numFmtId="0" fontId="7" fillId="3" borderId="0" xfId="0" applyFont="1" applyFill="1" applyBorder="1" applyAlignment="1"/>
    <xf numFmtId="9" fontId="7" fillId="5" borderId="0" xfId="3" applyFont="1" applyFill="1" applyBorder="1" applyAlignment="1"/>
    <xf numFmtId="165" fontId="7" fillId="5" borderId="0" xfId="0" applyNumberFormat="1" applyFont="1" applyFill="1" applyAlignment="1"/>
    <xf numFmtId="165" fontId="7" fillId="0" borderId="5" xfId="0" applyNumberFormat="1" applyFont="1" applyBorder="1" applyAlignment="1"/>
    <xf numFmtId="165" fontId="7" fillId="0" borderId="0" xfId="2" applyNumberFormat="1" applyFont="1"/>
    <xf numFmtId="0" fontId="25" fillId="4" borderId="0" xfId="0" applyFont="1" applyFill="1"/>
    <xf numFmtId="0" fontId="1" fillId="4" borderId="0" xfId="0" applyFont="1" applyFill="1"/>
    <xf numFmtId="165" fontId="1" fillId="4" borderId="5" xfId="0" applyNumberFormat="1" applyFont="1" applyFill="1" applyBorder="1"/>
    <xf numFmtId="165" fontId="1" fillId="4" borderId="0" xfId="2" applyNumberFormat="1" applyFont="1" applyFill="1"/>
    <xf numFmtId="10" fontId="1" fillId="4" borderId="0" xfId="3" applyNumberFormat="1" applyFont="1" applyFill="1"/>
    <xf numFmtId="10" fontId="1" fillId="6" borderId="5" xfId="3" applyNumberFormat="1" applyFont="1" applyFill="1" applyBorder="1"/>
    <xf numFmtId="165" fontId="1" fillId="4" borderId="5" xfId="2" applyNumberFormat="1" applyFont="1" applyFill="1" applyBorder="1"/>
    <xf numFmtId="43" fontId="20" fillId="4" borderId="5" xfId="1" applyFont="1" applyFill="1" applyBorder="1"/>
    <xf numFmtId="0" fontId="1" fillId="4" borderId="3" xfId="0" applyFont="1" applyFill="1" applyBorder="1"/>
    <xf numFmtId="0" fontId="19" fillId="4" borderId="0" xfId="0" applyFont="1" applyFill="1"/>
    <xf numFmtId="0" fontId="24" fillId="4" borderId="0" xfId="0" applyFont="1" applyFill="1"/>
    <xf numFmtId="0" fontId="0" fillId="4" borderId="0" xfId="0" applyFill="1"/>
    <xf numFmtId="44" fontId="0" fillId="4" borderId="0" xfId="2" applyFont="1" applyFill="1" applyBorder="1"/>
    <xf numFmtId="0" fontId="2" fillId="4" borderId="0" xfId="0" applyFont="1" applyFill="1"/>
    <xf numFmtId="0" fontId="7" fillId="4" borderId="0" xfId="0" applyFont="1" applyFill="1" applyAlignment="1"/>
    <xf numFmtId="44" fontId="2" fillId="4" borderId="0" xfId="2" applyFont="1" applyFill="1"/>
    <xf numFmtId="0" fontId="22" fillId="4" borderId="0" xfId="4" applyFont="1" applyFill="1"/>
    <xf numFmtId="0" fontId="23" fillId="4" borderId="0" xfId="4" applyFont="1" applyFill="1"/>
    <xf numFmtId="43" fontId="20" fillId="4" borderId="0" xfId="1" applyFont="1" applyFill="1" applyBorder="1"/>
    <xf numFmtId="0" fontId="7" fillId="4" borderId="0" xfId="5" applyFont="1" applyFill="1" applyAlignment="1"/>
    <xf numFmtId="165" fontId="20" fillId="4" borderId="0" xfId="2" applyNumberFormat="1" applyFont="1" applyFill="1" applyBorder="1"/>
    <xf numFmtId="165" fontId="2" fillId="4" borderId="0" xfId="3" applyNumberFormat="1" applyFont="1" applyFill="1" applyBorder="1"/>
    <xf numFmtId="165" fontId="7" fillId="4" borderId="0" xfId="0" applyNumberFormat="1" applyFont="1" applyFill="1" applyBorder="1" applyAlignment="1"/>
    <xf numFmtId="0" fontId="7" fillId="4" borderId="0" xfId="0" applyFont="1" applyFill="1" applyBorder="1" applyAlignment="1"/>
    <xf numFmtId="43" fontId="2" fillId="4" borderId="0" xfId="1" applyFont="1" applyFill="1" applyBorder="1"/>
    <xf numFmtId="0" fontId="2" fillId="4" borderId="0" xfId="0" applyFont="1" applyFill="1" applyBorder="1"/>
    <xf numFmtId="10" fontId="2" fillId="4" borderId="0" xfId="3" applyNumberFormat="1" applyFont="1" applyFill="1" applyBorder="1"/>
    <xf numFmtId="165" fontId="7" fillId="4" borderId="0" xfId="2" applyNumberFormat="1" applyFont="1" applyFill="1" applyAlignment="1"/>
    <xf numFmtId="165" fontId="7" fillId="4" borderId="0" xfId="5" applyNumberFormat="1" applyFont="1" applyFill="1" applyAlignment="1"/>
    <xf numFmtId="165" fontId="7" fillId="4" borderId="0" xfId="0" applyNumberFormat="1" applyFont="1" applyFill="1" applyAlignment="1"/>
    <xf numFmtId="10" fontId="7" fillId="4" borderId="0" xfId="5" applyNumberFormat="1" applyFont="1" applyFill="1" applyAlignment="1"/>
    <xf numFmtId="9" fontId="7" fillId="4" borderId="0" xfId="3" applyFont="1" applyFill="1" applyAlignment="1"/>
    <xf numFmtId="10" fontId="20" fillId="5" borderId="0" xfId="0" applyNumberFormat="1" applyFont="1" applyFill="1" applyBorder="1"/>
    <xf numFmtId="10" fontId="20" fillId="5" borderId="0" xfId="3" applyNumberFormat="1" applyFont="1" applyFill="1" applyBorder="1"/>
    <xf numFmtId="0" fontId="20" fillId="5" borderId="0" xfId="0" applyFont="1" applyFill="1" applyBorder="1"/>
    <xf numFmtId="0" fontId="8" fillId="5" borderId="0" xfId="0" applyFont="1" applyFill="1" applyBorder="1" applyAlignment="1"/>
  </cellXfs>
  <cellStyles count="6">
    <cellStyle name="Comma" xfId="1" builtinId="3"/>
    <cellStyle name="Currency" xfId="2" builtinId="4"/>
    <cellStyle name="Excel Built-in Normal" xfId="4" xr:uid="{00000000-0005-0000-0000-000002000000}"/>
    <cellStyle name="Normal" xfId="0" builtinId="0"/>
    <cellStyle name="Normal 2" xfId="5" xr:uid="{F7BD34B1-04BB-4A5D-88D4-C8D651FA0EEB}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showGridLines="0" tabSelected="1" topLeftCell="F1" zoomScale="85" zoomScaleNormal="85" zoomScaleSheetLayoutView="100" workbookViewId="0">
      <pane ySplit="2" topLeftCell="A63" activePane="bottomLeft" state="frozen"/>
      <selection pane="bottomLeft" activeCell="K81" sqref="K81"/>
    </sheetView>
  </sheetViews>
  <sheetFormatPr defaultColWidth="15.1796875" defaultRowHeight="15" customHeight="1" x14ac:dyDescent="0.35"/>
  <cols>
    <col min="1" max="1" width="3.7265625" style="4" customWidth="1"/>
    <col min="2" max="2" width="49.26953125" style="4" customWidth="1"/>
    <col min="3" max="3" width="13.7265625" style="4" bestFit="1" customWidth="1"/>
    <col min="4" max="4" width="14.1796875" style="4" bestFit="1" customWidth="1"/>
    <col min="5" max="6" width="14.6328125" style="4" bestFit="1" customWidth="1"/>
    <col min="7" max="7" width="15.1796875" style="4" bestFit="1" customWidth="1"/>
    <col min="8" max="8" width="14.6328125" style="4" bestFit="1" customWidth="1"/>
    <col min="9" max="9" width="18.1796875" style="4" bestFit="1" customWidth="1"/>
    <col min="10" max="10" width="15.1796875" style="4"/>
    <col min="11" max="11" width="17.6328125" style="4" customWidth="1"/>
    <col min="12" max="12" width="12.453125" style="4" bestFit="1" customWidth="1"/>
    <col min="13" max="13" width="14.90625" style="4" customWidth="1"/>
    <col min="14" max="16" width="15.1796875" style="4"/>
    <col min="17" max="17" width="59.36328125" style="4" bestFit="1" customWidth="1"/>
    <col min="18" max="18" width="10.26953125" style="4" bestFit="1" customWidth="1"/>
    <col min="19" max="16384" width="15.1796875" style="4"/>
  </cols>
  <sheetData>
    <row r="1" spans="1:11" ht="15" customHeight="1" thickBot="1" x14ac:dyDescent="0.4">
      <c r="A1" s="30"/>
      <c r="B1" s="4" t="s">
        <v>105</v>
      </c>
    </row>
    <row r="2" spans="1:11" ht="13.5" customHeight="1" thickBot="1" x14ac:dyDescent="0.4">
      <c r="A2" s="30"/>
      <c r="B2" s="5"/>
      <c r="D2" s="7" t="s">
        <v>0</v>
      </c>
      <c r="E2" s="7" t="s">
        <v>49</v>
      </c>
      <c r="F2" s="7" t="s">
        <v>50</v>
      </c>
      <c r="G2" s="7" t="s">
        <v>51</v>
      </c>
      <c r="H2" s="7" t="s">
        <v>52</v>
      </c>
      <c r="I2" s="7" t="s">
        <v>53</v>
      </c>
    </row>
    <row r="3" spans="1:11" ht="13.5" customHeight="1" thickBot="1" x14ac:dyDescent="0.4">
      <c r="A3" s="30"/>
      <c r="B3" s="5"/>
      <c r="C3" s="4" t="s">
        <v>54</v>
      </c>
      <c r="D3" s="10">
        <v>778000</v>
      </c>
      <c r="I3" s="8">
        <v>0</v>
      </c>
    </row>
    <row r="4" spans="1:11" ht="13.5" customHeight="1" thickBot="1" x14ac:dyDescent="0.4">
      <c r="A4" s="30"/>
      <c r="B4" s="5"/>
      <c r="D4" s="33"/>
      <c r="I4" s="8">
        <v>0</v>
      </c>
    </row>
    <row r="5" spans="1:11" ht="13.5" customHeight="1" thickBot="1" x14ac:dyDescent="0.4">
      <c r="A5" s="31" t="s">
        <v>44</v>
      </c>
      <c r="B5" s="5"/>
      <c r="C5" s="5"/>
      <c r="I5" s="8"/>
    </row>
    <row r="6" spans="1:11" ht="13.5" customHeight="1" thickBot="1" x14ac:dyDescent="0.4">
      <c r="A6" s="32" t="s">
        <v>42</v>
      </c>
      <c r="B6" s="5"/>
      <c r="C6" s="5"/>
      <c r="D6" s="46">
        <v>6.83</v>
      </c>
      <c r="E6" s="47">
        <f>D6*(1+$I6)</f>
        <v>6.9666000000000006</v>
      </c>
      <c r="F6" s="47">
        <f>E6*(1+$I$6)</f>
        <v>7.105932000000001</v>
      </c>
      <c r="G6" s="47">
        <f>F6*(1+$I$6)</f>
        <v>7.2480506400000015</v>
      </c>
      <c r="H6" s="47">
        <f>G6*(1+$I$6)</f>
        <v>7.3930116528000021</v>
      </c>
      <c r="I6" s="48">
        <v>0.02</v>
      </c>
      <c r="K6" s="65" t="s">
        <v>98</v>
      </c>
    </row>
    <row r="7" spans="1:11" ht="13.5" customHeight="1" thickBot="1" x14ac:dyDescent="0.4">
      <c r="A7" s="32" t="s">
        <v>43</v>
      </c>
      <c r="B7" s="5"/>
      <c r="C7" s="5"/>
      <c r="D7" s="49">
        <f>D3/D6</f>
        <v>113909.22401171303</v>
      </c>
      <c r="E7" s="47">
        <f t="shared" ref="E7:H29" si="0">D7*(1+$I7)</f>
        <v>117326.50073206442</v>
      </c>
      <c r="F7" s="47">
        <f t="shared" ref="F7" si="1">E7*(1+$I7)</f>
        <v>120846.29575402636</v>
      </c>
      <c r="G7" s="47">
        <f t="shared" ref="G7" si="2">F7*(1+$I7)</f>
        <v>124471.68462664715</v>
      </c>
      <c r="H7" s="47">
        <f t="shared" ref="H7" si="3">G7*(1+$I7)</f>
        <v>128205.83516544657</v>
      </c>
      <c r="I7" s="48">
        <v>0.03</v>
      </c>
      <c r="K7" s="65" t="s">
        <v>99</v>
      </c>
    </row>
    <row r="8" spans="1:11" ht="13.5" customHeight="1" thickBot="1" x14ac:dyDescent="0.4">
      <c r="A8" s="30"/>
      <c r="B8" s="5"/>
      <c r="C8" s="5"/>
      <c r="D8" s="50"/>
      <c r="E8" s="47"/>
      <c r="F8" s="47"/>
      <c r="G8" s="47"/>
      <c r="H8" s="47"/>
      <c r="I8" s="48"/>
      <c r="K8" s="65"/>
    </row>
    <row r="9" spans="1:11" ht="13.5" customHeight="1" thickBot="1" x14ac:dyDescent="0.4">
      <c r="A9" s="32" t="s">
        <v>39</v>
      </c>
      <c r="B9" s="5"/>
      <c r="C9" s="5"/>
      <c r="D9" s="51">
        <v>0.72</v>
      </c>
      <c r="E9" s="52">
        <f t="shared" si="0"/>
        <v>0.72</v>
      </c>
      <c r="F9" s="52">
        <f t="shared" ref="F9:F10" si="4">E9*(1+$I9)</f>
        <v>0.72</v>
      </c>
      <c r="G9" s="52">
        <f t="shared" ref="G9:G10" si="5">F9*(1+$I9)</f>
        <v>0.72</v>
      </c>
      <c r="H9" s="52">
        <f t="shared" ref="H9:H10" si="6">G9*(1+$I9)</f>
        <v>0.72</v>
      </c>
      <c r="I9" s="48">
        <v>0</v>
      </c>
      <c r="K9" s="65"/>
    </row>
    <row r="10" spans="1:11" ht="13.5" customHeight="1" thickBot="1" x14ac:dyDescent="0.4">
      <c r="A10" s="32" t="s">
        <v>38</v>
      </c>
      <c r="B10" s="5"/>
      <c r="C10" s="5"/>
      <c r="D10" s="51">
        <v>8.6499999999999994E-2</v>
      </c>
      <c r="E10" s="51">
        <f t="shared" si="0"/>
        <v>8.7364999999999998E-2</v>
      </c>
      <c r="F10" s="51">
        <f t="shared" si="4"/>
        <v>8.8238650000000002E-2</v>
      </c>
      <c r="G10" s="51">
        <f t="shared" si="5"/>
        <v>8.91210365E-2</v>
      </c>
      <c r="H10" s="51">
        <f t="shared" si="6"/>
        <v>9.0012246865000006E-2</v>
      </c>
      <c r="I10" s="48">
        <v>0.01</v>
      </c>
      <c r="K10" s="65" t="s">
        <v>100</v>
      </c>
    </row>
    <row r="11" spans="1:11" ht="13.5" customHeight="1" thickBot="1" x14ac:dyDescent="0.4">
      <c r="A11" s="30"/>
      <c r="B11" s="5"/>
      <c r="C11" s="5"/>
      <c r="D11" s="51"/>
      <c r="E11" s="47"/>
      <c r="F11" s="47"/>
      <c r="G11" s="47"/>
      <c r="H11" s="47"/>
      <c r="I11" s="48"/>
      <c r="K11" s="65"/>
    </row>
    <row r="12" spans="1:11" ht="13.5" customHeight="1" thickBot="1" x14ac:dyDescent="0.4">
      <c r="A12" s="32" t="s">
        <v>45</v>
      </c>
      <c r="B12" s="5"/>
      <c r="C12" s="5"/>
      <c r="D12" s="53">
        <f>(6648/2)*3</f>
        <v>9972</v>
      </c>
      <c r="E12" s="53">
        <f>D12*(1+$I12)</f>
        <v>9972</v>
      </c>
      <c r="F12" s="53">
        <f t="shared" ref="F12:H12" si="7">E12*(1+$I12)</f>
        <v>9972</v>
      </c>
      <c r="G12" s="53">
        <f t="shared" si="7"/>
        <v>9972</v>
      </c>
      <c r="H12" s="53">
        <f t="shared" si="7"/>
        <v>9972</v>
      </c>
      <c r="I12" s="48">
        <v>0</v>
      </c>
      <c r="K12" s="65"/>
    </row>
    <row r="13" spans="1:11" ht="13.5" customHeight="1" thickBot="1" x14ac:dyDescent="0.4">
      <c r="A13" s="32" t="s">
        <v>30</v>
      </c>
      <c r="B13" s="5"/>
      <c r="C13" s="5"/>
      <c r="D13" s="54">
        <v>8</v>
      </c>
      <c r="E13" s="47">
        <f>D13*(1+$I13)</f>
        <v>8</v>
      </c>
      <c r="F13" s="47">
        <f t="shared" ref="F13:H13" si="8">E13*(1+$I13)</f>
        <v>8</v>
      </c>
      <c r="G13" s="47">
        <f t="shared" si="8"/>
        <v>8</v>
      </c>
      <c r="H13" s="47">
        <f t="shared" si="8"/>
        <v>8</v>
      </c>
      <c r="I13" s="48">
        <v>0</v>
      </c>
      <c r="K13" s="65"/>
    </row>
    <row r="14" spans="1:11" ht="13.5" customHeight="1" thickBot="1" x14ac:dyDescent="0.4">
      <c r="A14" s="30"/>
      <c r="B14" s="5"/>
      <c r="C14" s="5"/>
      <c r="D14" s="48"/>
      <c r="E14" s="47"/>
      <c r="F14" s="47"/>
      <c r="G14" s="47"/>
      <c r="H14" s="47"/>
      <c r="I14" s="48"/>
      <c r="K14" s="65"/>
    </row>
    <row r="15" spans="1:11" ht="13.5" customHeight="1" thickBot="1" x14ac:dyDescent="0.4">
      <c r="A15" s="32" t="s">
        <v>1</v>
      </c>
      <c r="B15" s="5"/>
      <c r="C15" s="5"/>
      <c r="D15" s="55">
        <v>4180</v>
      </c>
      <c r="E15" s="95">
        <f t="shared" si="0"/>
        <v>4180</v>
      </c>
      <c r="F15" s="95">
        <f t="shared" si="0"/>
        <v>4180</v>
      </c>
      <c r="G15" s="95">
        <f t="shared" si="0"/>
        <v>4180</v>
      </c>
      <c r="H15" s="95">
        <f t="shared" si="0"/>
        <v>4180</v>
      </c>
      <c r="I15" s="48"/>
      <c r="J15" s="4">
        <v>280000</v>
      </c>
      <c r="K15" s="65"/>
    </row>
    <row r="16" spans="1:11" ht="13.5" customHeight="1" thickBot="1" x14ac:dyDescent="0.4">
      <c r="A16" s="32" t="s">
        <v>31</v>
      </c>
      <c r="B16" s="5"/>
      <c r="C16" s="5"/>
      <c r="D16" s="56">
        <v>0.25</v>
      </c>
      <c r="E16" s="56">
        <f t="shared" si="0"/>
        <v>0.25</v>
      </c>
      <c r="F16" s="56">
        <f t="shared" si="0"/>
        <v>0.25</v>
      </c>
      <c r="G16" s="56">
        <f t="shared" si="0"/>
        <v>0.25</v>
      </c>
      <c r="H16" s="56">
        <f t="shared" si="0"/>
        <v>0.25</v>
      </c>
      <c r="I16" s="48"/>
      <c r="J16" s="4">
        <v>100</v>
      </c>
      <c r="K16" s="65"/>
    </row>
    <row r="17" spans="1:11" ht="13.5" customHeight="1" thickBot="1" x14ac:dyDescent="0.4">
      <c r="A17" s="32" t="s">
        <v>2</v>
      </c>
      <c r="B17" s="5"/>
      <c r="C17" s="5"/>
      <c r="D17" s="54">
        <v>175</v>
      </c>
      <c r="E17" s="47">
        <f t="shared" si="0"/>
        <v>175</v>
      </c>
      <c r="F17" s="47">
        <f t="shared" si="0"/>
        <v>175</v>
      </c>
      <c r="G17" s="47">
        <f t="shared" si="0"/>
        <v>175</v>
      </c>
      <c r="H17" s="47">
        <f t="shared" si="0"/>
        <v>175</v>
      </c>
      <c r="I17" s="48"/>
      <c r="J17" s="4">
        <f>J15/J16</f>
        <v>2800</v>
      </c>
      <c r="K17" s="65"/>
    </row>
    <row r="18" spans="1:11" ht="13.5" customHeight="1" thickBot="1" x14ac:dyDescent="0.4">
      <c r="A18" s="32" t="s">
        <v>3</v>
      </c>
      <c r="B18" s="5"/>
      <c r="C18" s="5"/>
      <c r="D18" s="56">
        <v>1600</v>
      </c>
      <c r="E18" s="56">
        <f t="shared" si="0"/>
        <v>1600</v>
      </c>
      <c r="F18" s="56">
        <f t="shared" si="0"/>
        <v>1600</v>
      </c>
      <c r="G18" s="56">
        <f t="shared" si="0"/>
        <v>1600</v>
      </c>
      <c r="H18" s="56">
        <f t="shared" si="0"/>
        <v>1600</v>
      </c>
      <c r="I18" s="48"/>
      <c r="J18" s="4">
        <f>J17*0.381</f>
        <v>1066.8</v>
      </c>
      <c r="K18" s="65"/>
    </row>
    <row r="19" spans="1:11" ht="13.5" customHeight="1" thickBot="1" x14ac:dyDescent="0.4">
      <c r="A19" s="30"/>
      <c r="B19" s="5"/>
      <c r="C19" s="5"/>
      <c r="D19" s="56"/>
      <c r="E19" s="47"/>
      <c r="F19" s="47"/>
      <c r="G19" s="47"/>
      <c r="H19" s="47"/>
      <c r="I19" s="48"/>
      <c r="K19" s="65"/>
    </row>
    <row r="20" spans="1:11" ht="13.5" customHeight="1" x14ac:dyDescent="0.35">
      <c r="A20" s="5" t="s">
        <v>96</v>
      </c>
      <c r="B20" s="5"/>
      <c r="C20" s="5"/>
      <c r="D20" s="57">
        <f>(300+$J$18)/D72</f>
        <v>4.8814285714285713E-3</v>
      </c>
      <c r="E20" s="57">
        <f t="shared" si="0"/>
        <v>4.8814285714285713E-3</v>
      </c>
      <c r="F20" s="57">
        <f t="shared" ref="F20:H20" si="9">E20*(1+$I$6)</f>
        <v>4.9790571428571431E-3</v>
      </c>
      <c r="G20" s="57">
        <f t="shared" si="9"/>
        <v>5.0786382857142863E-3</v>
      </c>
      <c r="H20" s="57">
        <f t="shared" si="9"/>
        <v>5.180211051428572E-3</v>
      </c>
      <c r="I20" s="48">
        <v>0</v>
      </c>
      <c r="K20" s="65"/>
    </row>
    <row r="21" spans="1:11" ht="13.5" customHeight="1" thickBot="1" x14ac:dyDescent="0.4">
      <c r="A21" s="5" t="s">
        <v>97</v>
      </c>
      <c r="B21" s="5"/>
      <c r="C21" s="5"/>
      <c r="D21" s="54">
        <v>0.75</v>
      </c>
      <c r="E21" s="54">
        <f>D21*(1+$I21)</f>
        <v>0.75</v>
      </c>
      <c r="F21" s="54">
        <f t="shared" si="0"/>
        <v>0.75</v>
      </c>
      <c r="G21" s="54">
        <f t="shared" si="0"/>
        <v>0.75</v>
      </c>
      <c r="H21" s="54">
        <f t="shared" si="0"/>
        <v>0.75</v>
      </c>
      <c r="I21" s="48">
        <v>0</v>
      </c>
      <c r="K21" s="65"/>
    </row>
    <row r="22" spans="1:11" ht="13.5" customHeight="1" thickBot="1" x14ac:dyDescent="0.4">
      <c r="A22" s="30"/>
      <c r="B22" s="5"/>
      <c r="C22" s="5"/>
      <c r="D22" s="56"/>
      <c r="E22" s="47"/>
      <c r="F22" s="47"/>
      <c r="G22" s="47"/>
      <c r="H22" s="47"/>
      <c r="I22" s="48"/>
      <c r="K22" s="65"/>
    </row>
    <row r="23" spans="1:11" ht="171" thickBot="1" x14ac:dyDescent="0.4">
      <c r="A23" s="32" t="s">
        <v>36</v>
      </c>
      <c r="B23" s="5"/>
      <c r="C23" s="5"/>
      <c r="D23" s="58">
        <v>3.75</v>
      </c>
      <c r="E23" s="59">
        <f t="shared" si="0"/>
        <v>3.5625</v>
      </c>
      <c r="F23" s="59">
        <f t="shared" si="0"/>
        <v>3.3843749999999999</v>
      </c>
      <c r="G23" s="59">
        <f t="shared" si="0"/>
        <v>3.2151562499999997</v>
      </c>
      <c r="H23" s="59">
        <f t="shared" si="0"/>
        <v>3.0543984374999997</v>
      </c>
      <c r="I23" s="48">
        <v>-0.05</v>
      </c>
      <c r="K23" s="66" t="s">
        <v>101</v>
      </c>
    </row>
    <row r="24" spans="1:11" ht="13.5" customHeight="1" thickBot="1" x14ac:dyDescent="0.4">
      <c r="A24" s="32" t="s">
        <v>37</v>
      </c>
      <c r="B24" s="5"/>
      <c r="C24" s="5"/>
      <c r="D24" s="53">
        <v>15</v>
      </c>
      <c r="E24" s="53">
        <f t="shared" si="0"/>
        <v>15</v>
      </c>
      <c r="F24" s="53">
        <f t="shared" si="0"/>
        <v>15</v>
      </c>
      <c r="G24" s="53">
        <f t="shared" si="0"/>
        <v>15</v>
      </c>
      <c r="H24" s="53">
        <f t="shared" si="0"/>
        <v>15</v>
      </c>
      <c r="I24" s="48">
        <v>0</v>
      </c>
      <c r="K24" s="65"/>
    </row>
    <row r="25" spans="1:11" ht="13.5" customHeight="1" thickBot="1" x14ac:dyDescent="0.4">
      <c r="A25" s="32" t="s">
        <v>4</v>
      </c>
      <c r="B25" s="5"/>
      <c r="C25" s="5"/>
      <c r="D25" s="60">
        <v>2</v>
      </c>
      <c r="E25" s="60">
        <f t="shared" si="0"/>
        <v>2</v>
      </c>
      <c r="F25" s="60">
        <f t="shared" si="0"/>
        <v>2</v>
      </c>
      <c r="G25" s="60">
        <f t="shared" si="0"/>
        <v>2</v>
      </c>
      <c r="H25" s="60">
        <f t="shared" si="0"/>
        <v>2</v>
      </c>
      <c r="I25" s="48">
        <v>0</v>
      </c>
      <c r="K25" s="65"/>
    </row>
    <row r="26" spans="1:11" ht="13.5" customHeight="1" thickBot="1" x14ac:dyDescent="0.4">
      <c r="A26" s="30"/>
      <c r="B26" s="5"/>
      <c r="C26" s="5"/>
      <c r="D26" s="61"/>
      <c r="E26" s="47"/>
      <c r="F26" s="47"/>
      <c r="G26" s="47"/>
      <c r="H26" s="47"/>
      <c r="I26" s="48"/>
      <c r="K26" s="65"/>
    </row>
    <row r="27" spans="1:11" ht="13.5" customHeight="1" thickBot="1" x14ac:dyDescent="0.4">
      <c r="A27" s="32" t="s">
        <v>40</v>
      </c>
      <c r="B27" s="5"/>
      <c r="C27" s="5"/>
      <c r="D27" s="62">
        <f>15%+2.5%</f>
        <v>0.17499999999999999</v>
      </c>
      <c r="E27" s="62">
        <f t="shared" si="0"/>
        <v>0.17499999999999999</v>
      </c>
      <c r="F27" s="62">
        <f t="shared" si="0"/>
        <v>0.17499999999999999</v>
      </c>
      <c r="G27" s="62">
        <f t="shared" si="0"/>
        <v>0.17499999999999999</v>
      </c>
      <c r="H27" s="62">
        <f t="shared" si="0"/>
        <v>0.17499999999999999</v>
      </c>
      <c r="I27" s="48">
        <v>0</v>
      </c>
    </row>
    <row r="28" spans="1:11" ht="13.5" customHeight="1" thickBot="1" x14ac:dyDescent="0.4">
      <c r="A28" s="32" t="s">
        <v>48</v>
      </c>
      <c r="B28" s="5"/>
      <c r="C28" s="5"/>
      <c r="D28" s="63">
        <v>15</v>
      </c>
      <c r="E28" s="63">
        <f t="shared" si="0"/>
        <v>15</v>
      </c>
      <c r="F28" s="63">
        <f t="shared" si="0"/>
        <v>15</v>
      </c>
      <c r="G28" s="63">
        <f t="shared" si="0"/>
        <v>15</v>
      </c>
      <c r="H28" s="63">
        <f t="shared" si="0"/>
        <v>15</v>
      </c>
      <c r="I28" s="48">
        <v>0</v>
      </c>
    </row>
    <row r="29" spans="1:11" ht="13.5" customHeight="1" thickBot="1" x14ac:dyDescent="0.4">
      <c r="A29" s="32" t="s">
        <v>41</v>
      </c>
      <c r="B29" s="5"/>
      <c r="C29" s="5"/>
      <c r="D29" s="64">
        <v>0.05</v>
      </c>
      <c r="E29" s="64">
        <f t="shared" si="0"/>
        <v>0.05</v>
      </c>
      <c r="F29" s="64">
        <f t="shared" si="0"/>
        <v>0.05</v>
      </c>
      <c r="G29" s="64">
        <f t="shared" si="0"/>
        <v>0.05</v>
      </c>
      <c r="H29" s="64">
        <f t="shared" si="0"/>
        <v>0.05</v>
      </c>
      <c r="I29" s="48">
        <v>0</v>
      </c>
    </row>
    <row r="30" spans="1:11" ht="16.5" customHeight="1" thickBot="1" x14ac:dyDescent="0.4">
      <c r="A30" s="30"/>
      <c r="B30" s="12"/>
      <c r="C30" s="12"/>
      <c r="D30" s="15"/>
      <c r="E30" s="33"/>
      <c r="F30" s="33"/>
      <c r="G30" s="33"/>
      <c r="H30" s="33"/>
      <c r="I30" s="8"/>
    </row>
    <row r="31" spans="1:11" ht="16.5" customHeight="1" thickBot="1" x14ac:dyDescent="0.4">
      <c r="A31" s="31" t="s">
        <v>46</v>
      </c>
      <c r="B31" s="12"/>
      <c r="C31" s="12"/>
      <c r="D31" s="15"/>
      <c r="E31" s="33"/>
      <c r="F31" s="33"/>
      <c r="G31" s="33"/>
      <c r="H31" s="33"/>
    </row>
    <row r="32" spans="1:11" ht="16.5" customHeight="1" thickBot="1" x14ac:dyDescent="0.4">
      <c r="A32" s="32" t="s">
        <v>32</v>
      </c>
      <c r="B32" s="12"/>
      <c r="C32" s="12"/>
      <c r="D32" s="34">
        <v>4.4999999999999998E-2</v>
      </c>
      <c r="E32" s="34"/>
      <c r="F32" s="34"/>
      <c r="G32" s="34"/>
      <c r="H32" s="34"/>
      <c r="I32" s="8"/>
    </row>
    <row r="33" spans="1:9" ht="16.5" customHeight="1" thickBot="1" x14ac:dyDescent="0.4">
      <c r="A33" s="32" t="s">
        <v>33</v>
      </c>
      <c r="B33" s="12"/>
      <c r="C33" s="12"/>
      <c r="D33" s="11">
        <v>30</v>
      </c>
      <c r="E33" s="11"/>
      <c r="F33" s="11"/>
      <c r="G33" s="11"/>
      <c r="H33" s="11"/>
      <c r="I33" s="8"/>
    </row>
    <row r="34" spans="1:9" ht="16.5" customHeight="1" thickBot="1" x14ac:dyDescent="0.4">
      <c r="A34" s="32" t="s">
        <v>34</v>
      </c>
      <c r="B34" s="12"/>
      <c r="C34" s="12"/>
      <c r="D34" s="14">
        <v>0.75</v>
      </c>
      <c r="E34" s="14"/>
      <c r="F34" s="14"/>
      <c r="G34" s="14"/>
      <c r="H34" s="14"/>
      <c r="I34" s="8"/>
    </row>
    <row r="35" spans="1:9" ht="16.5" customHeight="1" thickBot="1" x14ac:dyDescent="0.4">
      <c r="A35" s="32"/>
      <c r="B35" s="12"/>
      <c r="C35" s="12"/>
      <c r="E35" s="33"/>
      <c r="F35" s="33"/>
      <c r="G35" s="33"/>
      <c r="H35" s="33"/>
      <c r="I35" s="8"/>
    </row>
    <row r="36" spans="1:9" ht="16.5" customHeight="1" thickBot="1" x14ac:dyDescent="0.4">
      <c r="A36" s="32" t="s">
        <v>35</v>
      </c>
      <c r="B36" s="12"/>
      <c r="C36" s="12"/>
      <c r="D36" s="13">
        <f>D32+3%</f>
        <v>7.4999999999999997E-2</v>
      </c>
      <c r="E36" s="13"/>
      <c r="F36" s="13"/>
      <c r="G36" s="13"/>
      <c r="H36" s="13"/>
      <c r="I36" s="8"/>
    </row>
    <row r="37" spans="1:9" ht="15" customHeight="1" thickBot="1" x14ac:dyDescent="0.4">
      <c r="A37" s="32" t="s">
        <v>47</v>
      </c>
      <c r="E37" s="33"/>
      <c r="F37" s="33"/>
      <c r="G37" s="33"/>
      <c r="H37" s="33"/>
    </row>
    <row r="38" spans="1:9" ht="15" customHeight="1" thickBot="1" x14ac:dyDescent="0.4">
      <c r="A38" s="30"/>
    </row>
    <row r="39" spans="1:9" ht="15" customHeight="1" thickBot="1" x14ac:dyDescent="0.4">
      <c r="A39" s="30"/>
    </row>
    <row r="40" spans="1:9" ht="15" customHeight="1" x14ac:dyDescent="0.35">
      <c r="A40" s="36" t="s">
        <v>55</v>
      </c>
      <c r="B40" s="5"/>
      <c r="C40" s="5"/>
    </row>
    <row r="41" spans="1:9" ht="15" customHeight="1" x14ac:dyDescent="0.35">
      <c r="A41" s="5" t="s">
        <v>65</v>
      </c>
      <c r="B41" s="5"/>
      <c r="C41" s="5"/>
      <c r="D41" s="26">
        <f>D6*D7</f>
        <v>778000</v>
      </c>
      <c r="E41" s="26">
        <f>E6*E7</f>
        <v>817366.8</v>
      </c>
      <c r="F41" s="26">
        <f>F6*F7</f>
        <v>858725.5600800002</v>
      </c>
      <c r="G41" s="26">
        <f>G6*G7</f>
        <v>902177.07342004823</v>
      </c>
      <c r="H41" s="26">
        <f>H6*H7</f>
        <v>947827.23333510279</v>
      </c>
    </row>
    <row r="42" spans="1:9" ht="15" customHeight="1" x14ac:dyDescent="0.35">
      <c r="A42" s="5" t="s">
        <v>66</v>
      </c>
      <c r="B42" s="5"/>
      <c r="C42" s="5"/>
      <c r="D42" s="37">
        <f>D9*D41</f>
        <v>560160</v>
      </c>
      <c r="E42" s="37">
        <f>E9*E41</f>
        <v>588504.09600000002</v>
      </c>
      <c r="F42" s="37">
        <f t="shared" ref="F42:H42" si="10">F9*F41</f>
        <v>618282.40325760015</v>
      </c>
      <c r="G42" s="37">
        <f t="shared" si="10"/>
        <v>649567.49286243471</v>
      </c>
      <c r="H42" s="37">
        <f t="shared" si="10"/>
        <v>682435.60800127394</v>
      </c>
    </row>
    <row r="43" spans="1:9" ht="15" customHeight="1" x14ac:dyDescent="0.35">
      <c r="A43" s="5" t="s">
        <v>56</v>
      </c>
      <c r="B43" s="5"/>
      <c r="C43" s="5"/>
      <c r="D43" s="35">
        <f>D41-D42</f>
        <v>217840</v>
      </c>
      <c r="E43" s="35">
        <f>E41-E42</f>
        <v>228862.70400000003</v>
      </c>
      <c r="F43" s="35">
        <f t="shared" ref="F43:H43" si="11">F41-F42</f>
        <v>240443.15682240005</v>
      </c>
      <c r="G43" s="35">
        <f t="shared" si="11"/>
        <v>252609.58055761352</v>
      </c>
      <c r="H43" s="35">
        <f t="shared" si="11"/>
        <v>265391.62533382885</v>
      </c>
    </row>
    <row r="44" spans="1:9" ht="15" customHeight="1" x14ac:dyDescent="0.35">
      <c r="A44" s="5"/>
      <c r="B44" s="5"/>
      <c r="C44" s="5"/>
    </row>
    <row r="45" spans="1:9" ht="15" customHeight="1" x14ac:dyDescent="0.35">
      <c r="A45" s="5" t="s">
        <v>67</v>
      </c>
      <c r="B45" s="5"/>
      <c r="C45" s="5"/>
    </row>
    <row r="46" spans="1:9" ht="15" customHeight="1" x14ac:dyDescent="0.35">
      <c r="A46" s="5"/>
      <c r="B46" s="5" t="s">
        <v>68</v>
      </c>
      <c r="C46" s="5"/>
      <c r="D46" s="33">
        <f>D12*D13</f>
        <v>79776</v>
      </c>
      <c r="E46" s="33">
        <f>E12*E13</f>
        <v>79776</v>
      </c>
      <c r="F46" s="33">
        <f t="shared" ref="F46:H46" si="12">F12*F13</f>
        <v>79776</v>
      </c>
      <c r="G46" s="33">
        <f t="shared" si="12"/>
        <v>79776</v>
      </c>
      <c r="H46" s="33">
        <f t="shared" si="12"/>
        <v>79776</v>
      </c>
    </row>
    <row r="47" spans="1:9" ht="15" customHeight="1" x14ac:dyDescent="0.35">
      <c r="A47" s="5"/>
      <c r="B47" s="5" t="s">
        <v>69</v>
      </c>
      <c r="C47" s="5"/>
      <c r="D47" s="33">
        <f>D10*D41</f>
        <v>67297</v>
      </c>
      <c r="E47" s="33">
        <f>E10*E41</f>
        <v>71409.250482000003</v>
      </c>
      <c r="F47" s="33">
        <f t="shared" ref="F47:H47" si="13">F10*F41</f>
        <v>75772.784141953118</v>
      </c>
      <c r="G47" s="33">
        <f t="shared" si="13"/>
        <v>80402.955889731296</v>
      </c>
      <c r="H47" s="33">
        <f t="shared" si="13"/>
        <v>85316.05891232923</v>
      </c>
    </row>
    <row r="48" spans="1:9" ht="15" customHeight="1" x14ac:dyDescent="0.35">
      <c r="A48" s="5"/>
      <c r="B48" s="5" t="s">
        <v>70</v>
      </c>
      <c r="D48" s="9">
        <f>D72*D20</f>
        <v>1366.8</v>
      </c>
      <c r="E48" s="9">
        <f t="shared" ref="E48:H48" si="14">E72*E20</f>
        <v>1366.8</v>
      </c>
      <c r="F48" s="9">
        <f t="shared" si="14"/>
        <v>1394.136</v>
      </c>
      <c r="G48" s="9">
        <f>G72*G20</f>
        <v>1422.0187200000003</v>
      </c>
      <c r="H48" s="9">
        <f t="shared" si="14"/>
        <v>1450.4590944000001</v>
      </c>
      <c r="I48" s="38"/>
    </row>
    <row r="49" spans="1:9" ht="15" customHeight="1" x14ac:dyDescent="0.35">
      <c r="A49" s="5"/>
      <c r="B49" s="5" t="s">
        <v>71</v>
      </c>
      <c r="D49" s="38">
        <f>D21*D18</f>
        <v>1200</v>
      </c>
      <c r="E49" s="38">
        <f t="shared" ref="E49:H49" si="15">E21*E18</f>
        <v>1200</v>
      </c>
      <c r="F49" s="38">
        <f t="shared" si="15"/>
        <v>1200</v>
      </c>
      <c r="G49" s="38">
        <f t="shared" si="15"/>
        <v>1200</v>
      </c>
      <c r="H49" s="38">
        <f t="shared" si="15"/>
        <v>1200</v>
      </c>
      <c r="I49" s="38"/>
    </row>
    <row r="50" spans="1:9" ht="15" customHeight="1" x14ac:dyDescent="0.35">
      <c r="A50" s="5"/>
      <c r="B50" s="5" t="s">
        <v>72</v>
      </c>
      <c r="C50" s="5"/>
      <c r="D50" s="39">
        <f>D72/D28</f>
        <v>18666.666666666668</v>
      </c>
      <c r="E50" s="39">
        <f>E72/E28</f>
        <v>18666.666666666668</v>
      </c>
      <c r="F50" s="39">
        <f t="shared" ref="F50:H50" si="16">F72/F28</f>
        <v>18666.666666666668</v>
      </c>
      <c r="G50" s="39">
        <f t="shared" si="16"/>
        <v>18666.666666666668</v>
      </c>
      <c r="H50" s="39">
        <f t="shared" si="16"/>
        <v>18666.666666666668</v>
      </c>
      <c r="I50" s="39"/>
    </row>
    <row r="51" spans="1:9" ht="15" customHeight="1" x14ac:dyDescent="0.35">
      <c r="A51" s="5" t="s">
        <v>73</v>
      </c>
      <c r="B51" s="5"/>
      <c r="C51" s="5"/>
      <c r="D51" s="38">
        <f>SUM(D46:D50)</f>
        <v>168306.46666666665</v>
      </c>
      <c r="E51" s="38">
        <f>SUM(E46:E50)</f>
        <v>172418.71714866665</v>
      </c>
      <c r="F51" s="38">
        <f>SUM(F46:F50)</f>
        <v>176809.58680861976</v>
      </c>
      <c r="G51" s="38">
        <f>SUM(G46:G50)</f>
        <v>181467.64127639795</v>
      </c>
      <c r="H51" s="38">
        <f>SUM(H46:H50)</f>
        <v>186409.18467339588</v>
      </c>
      <c r="I51" s="38"/>
    </row>
    <row r="52" spans="1:9" ht="15" customHeight="1" x14ac:dyDescent="0.35">
      <c r="A52" s="5"/>
      <c r="B52" s="5"/>
      <c r="C52" s="5"/>
      <c r="E52" s="38"/>
      <c r="F52" s="38"/>
      <c r="G52" s="38"/>
      <c r="H52" s="38"/>
      <c r="I52" s="38"/>
    </row>
    <row r="53" spans="1:9" ht="15" customHeight="1" x14ac:dyDescent="0.35">
      <c r="A53" s="5" t="s">
        <v>74</v>
      </c>
      <c r="B53" s="5"/>
      <c r="C53" s="5"/>
      <c r="D53" s="38">
        <f>D43-D51</f>
        <v>49533.533333333355</v>
      </c>
      <c r="E53" s="38">
        <f>E43-E51</f>
        <v>56443.986851333379</v>
      </c>
      <c r="F53" s="38">
        <f>F43-F51</f>
        <v>63633.570013780292</v>
      </c>
      <c r="G53" s="38">
        <f>G43-G51</f>
        <v>71141.939281215571</v>
      </c>
      <c r="H53" s="38">
        <f>H43-H51</f>
        <v>78982.440660432971</v>
      </c>
      <c r="I53" s="38"/>
    </row>
    <row r="54" spans="1:9" ht="15" customHeight="1" x14ac:dyDescent="0.35">
      <c r="A54" s="5"/>
      <c r="B54" s="5"/>
      <c r="C54" s="5"/>
      <c r="E54" s="38"/>
      <c r="F54" s="38"/>
      <c r="G54" s="38"/>
      <c r="H54" s="38"/>
      <c r="I54" s="38"/>
    </row>
    <row r="55" spans="1:9" ht="15" customHeight="1" x14ac:dyDescent="0.35">
      <c r="A55" s="5" t="s">
        <v>75</v>
      </c>
      <c r="B55" s="5"/>
      <c r="C55" s="5"/>
      <c r="D55" s="38">
        <f>'Amortization Table'!D14</f>
        <v>9279.2484550378376</v>
      </c>
      <c r="E55" s="38">
        <f>'Amortization Table'!D28</f>
        <v>8816.6100668481304</v>
      </c>
      <c r="F55" s="38">
        <f>'Amortization Table'!D42</f>
        <v>8332.7181520479298</v>
      </c>
      <c r="G55" s="38">
        <f>'Amortization Table'!D56</f>
        <v>7826.5963273432526</v>
      </c>
      <c r="H55" s="38">
        <f>'Amortization Table'!D70</f>
        <v>7297.2233545624158</v>
      </c>
      <c r="I55" s="38"/>
    </row>
    <row r="56" spans="1:9" ht="15" customHeight="1" x14ac:dyDescent="0.35">
      <c r="A56" s="5" t="s">
        <v>76</v>
      </c>
      <c r="B56" s="5"/>
      <c r="C56" s="5"/>
      <c r="D56" s="38">
        <f>$D$36*D84</f>
        <v>1224.7066793127399</v>
      </c>
      <c r="E56" s="38">
        <f t="shared" ref="E56:H56" si="17">$D$36*E84</f>
        <v>0</v>
      </c>
      <c r="F56" s="38">
        <f t="shared" si="17"/>
        <v>0</v>
      </c>
      <c r="G56" s="38">
        <f t="shared" si="17"/>
        <v>0</v>
      </c>
      <c r="H56" s="38">
        <f t="shared" si="17"/>
        <v>0</v>
      </c>
      <c r="I56" s="38"/>
    </row>
    <row r="57" spans="1:9" ht="15" customHeight="1" x14ac:dyDescent="0.35">
      <c r="A57" s="5"/>
      <c r="B57" s="5"/>
      <c r="C57" s="5"/>
      <c r="E57" s="38"/>
      <c r="F57" s="38"/>
      <c r="G57" s="38"/>
      <c r="H57" s="38"/>
      <c r="I57" s="38"/>
    </row>
    <row r="58" spans="1:9" ht="15" customHeight="1" x14ac:dyDescent="0.35">
      <c r="A58" s="5" t="s">
        <v>57</v>
      </c>
      <c r="B58" s="5"/>
      <c r="C58" s="5"/>
      <c r="D58" s="38">
        <f>D53-D55-D56</f>
        <v>39029.578198982781</v>
      </c>
      <c r="E58" s="38">
        <f>E53-E55-E56</f>
        <v>47627.376784485248</v>
      </c>
      <c r="F58" s="38">
        <f t="shared" ref="F58:H58" si="18">F53-F55-F56</f>
        <v>55300.851861732364</v>
      </c>
      <c r="G58" s="38">
        <f t="shared" si="18"/>
        <v>63315.342953872321</v>
      </c>
      <c r="H58" s="38">
        <f t="shared" si="18"/>
        <v>71685.217305870552</v>
      </c>
      <c r="I58" s="38"/>
    </row>
    <row r="59" spans="1:9" ht="15" customHeight="1" x14ac:dyDescent="0.35">
      <c r="A59" s="5" t="s">
        <v>77</v>
      </c>
      <c r="B59" s="5"/>
      <c r="C59" s="5"/>
      <c r="D59" s="39">
        <f>D58*D27</f>
        <v>6830.1761848219867</v>
      </c>
      <c r="E59" s="39">
        <f t="shared" ref="E59:G59" si="19">E58*E27</f>
        <v>8334.7909372849172</v>
      </c>
      <c r="F59" s="39">
        <f t="shared" si="19"/>
        <v>9677.6490758031632</v>
      </c>
      <c r="G59" s="39">
        <f t="shared" si="19"/>
        <v>11080.185016927655</v>
      </c>
      <c r="H59" s="39">
        <f>H58*H27</f>
        <v>12544.913028527346</v>
      </c>
      <c r="I59" s="39"/>
    </row>
    <row r="60" spans="1:9" ht="15" customHeight="1" x14ac:dyDescent="0.35">
      <c r="A60" s="5" t="s">
        <v>58</v>
      </c>
      <c r="B60" s="5"/>
      <c r="C60" s="5"/>
      <c r="D60" s="38">
        <f t="shared" ref="D60" si="20">D58-D59</f>
        <v>32199.402014160794</v>
      </c>
      <c r="E60" s="38">
        <f t="shared" ref="E60:H60" si="21">E58-E59</f>
        <v>39292.585847200331</v>
      </c>
      <c r="F60" s="38">
        <f t="shared" si="21"/>
        <v>45623.202785929199</v>
      </c>
      <c r="G60" s="38">
        <f t="shared" si="21"/>
        <v>52235.15793694467</v>
      </c>
      <c r="H60" s="38">
        <f t="shared" si="21"/>
        <v>59140.30427734321</v>
      </c>
      <c r="I60" s="38"/>
    </row>
    <row r="61" spans="1:9" ht="15" customHeight="1" x14ac:dyDescent="0.35">
      <c r="A61" s="5"/>
      <c r="B61" s="5"/>
      <c r="C61" s="5"/>
      <c r="E61" s="38"/>
      <c r="F61" s="38"/>
      <c r="G61" s="38"/>
      <c r="H61" s="38"/>
      <c r="I61" s="38"/>
    </row>
    <row r="62" spans="1:9" ht="15" customHeight="1" x14ac:dyDescent="0.35">
      <c r="A62" s="36" t="s">
        <v>59</v>
      </c>
      <c r="B62" s="5"/>
      <c r="C62" s="5"/>
      <c r="E62" s="5"/>
      <c r="F62" s="40"/>
      <c r="G62" s="5"/>
      <c r="H62" s="38"/>
      <c r="I62" s="38"/>
    </row>
    <row r="63" spans="1:9" ht="15" customHeight="1" x14ac:dyDescent="0.35">
      <c r="A63" s="5" t="s">
        <v>78</v>
      </c>
      <c r="B63" s="5"/>
      <c r="C63" s="5"/>
      <c r="E63" s="38"/>
      <c r="F63" s="38"/>
      <c r="G63" s="38"/>
      <c r="H63" s="38"/>
      <c r="I63" s="38"/>
    </row>
    <row r="64" spans="1:9" ht="15" customHeight="1" x14ac:dyDescent="0.35">
      <c r="A64" s="5" t="s">
        <v>79</v>
      </c>
      <c r="B64" s="5"/>
      <c r="C64" s="5"/>
      <c r="E64" s="38"/>
      <c r="F64" s="38"/>
      <c r="G64" s="38"/>
      <c r="H64" s="38"/>
      <c r="I64" s="38"/>
    </row>
    <row r="65" spans="1:15" ht="15" customHeight="1" x14ac:dyDescent="0.35">
      <c r="A65" s="5"/>
      <c r="B65" s="5" t="s">
        <v>80</v>
      </c>
      <c r="C65" s="5"/>
      <c r="D65" s="38">
        <f>D29*D41</f>
        <v>38900</v>
      </c>
      <c r="E65" s="38">
        <f t="shared" ref="E65:H65" si="22">E29*E41</f>
        <v>40868.340000000004</v>
      </c>
      <c r="F65" s="38">
        <f t="shared" si="22"/>
        <v>42936.278004000014</v>
      </c>
      <c r="G65" s="38">
        <f t="shared" si="22"/>
        <v>45108.853671002413</v>
      </c>
      <c r="H65" s="38">
        <f t="shared" si="22"/>
        <v>47391.36166675514</v>
      </c>
      <c r="I65" s="38"/>
      <c r="J65" s="33">
        <f>(E71+E72)*75%</f>
        <v>210783.75</v>
      </c>
    </row>
    <row r="66" spans="1:15" ht="15" customHeight="1" x14ac:dyDescent="0.35">
      <c r="A66" s="5"/>
      <c r="B66" s="5" t="s">
        <v>60</v>
      </c>
      <c r="C66" s="5"/>
      <c r="D66" s="9"/>
      <c r="E66" s="96">
        <v>30400</v>
      </c>
      <c r="F66" s="96">
        <v>83955</v>
      </c>
      <c r="G66" s="96">
        <v>143623</v>
      </c>
      <c r="H66" s="96">
        <v>209671</v>
      </c>
      <c r="I66" s="38"/>
      <c r="J66" s="67" t="s">
        <v>107</v>
      </c>
      <c r="K66" s="68"/>
      <c r="L66" s="68"/>
      <c r="M66" s="68"/>
      <c r="N66" s="68"/>
      <c r="O66" s="68"/>
    </row>
    <row r="67" spans="1:15" ht="15" customHeight="1" x14ac:dyDescent="0.35">
      <c r="A67" s="5"/>
      <c r="B67" s="5" t="s">
        <v>61</v>
      </c>
      <c r="C67" s="5"/>
      <c r="D67" s="38">
        <f>(D42/365)*D25</f>
        <v>3069.3698630136987</v>
      </c>
      <c r="E67" s="38">
        <f>(E41/365)*E25</f>
        <v>4478.722191780822</v>
      </c>
      <c r="F67" s="38">
        <f t="shared" ref="F67:H67" si="23">(F41/365)*F25</f>
        <v>4705.3455346849323</v>
      </c>
      <c r="G67" s="38">
        <f t="shared" si="23"/>
        <v>4943.4360187399907</v>
      </c>
      <c r="H67" s="38">
        <f t="shared" si="23"/>
        <v>5193.5738812882346</v>
      </c>
      <c r="I67" s="38"/>
      <c r="J67" s="68" t="s">
        <v>108</v>
      </c>
      <c r="K67" s="69">
        <f>O77</f>
        <v>6.7567421505951177</v>
      </c>
      <c r="L67" s="68"/>
      <c r="M67" s="97" t="s">
        <v>142</v>
      </c>
      <c r="N67" s="98"/>
      <c r="O67" s="98"/>
    </row>
    <row r="68" spans="1:15" ht="15" customHeight="1" x14ac:dyDescent="0.35">
      <c r="A68" s="5"/>
      <c r="B68" s="5" t="s">
        <v>81</v>
      </c>
      <c r="C68" s="5"/>
      <c r="D68" s="41">
        <f>(D42/365)*D23</f>
        <v>5755.0684931506848</v>
      </c>
      <c r="E68" s="41">
        <f t="shared" ref="E68:H68" si="24">(E42/365)*E23</f>
        <v>5743.9612109589043</v>
      </c>
      <c r="F68" s="41">
        <f t="shared" si="24"/>
        <v>5732.8753658217547</v>
      </c>
      <c r="G68" s="41">
        <f t="shared" si="24"/>
        <v>5721.8109163657182</v>
      </c>
      <c r="H68" s="41">
        <f t="shared" si="24"/>
        <v>5710.7678212971332</v>
      </c>
      <c r="I68" s="41"/>
      <c r="J68" s="68" t="s">
        <v>109</v>
      </c>
      <c r="K68" s="70" t="s">
        <v>150</v>
      </c>
      <c r="L68" s="68"/>
      <c r="M68" s="97" t="s">
        <v>143</v>
      </c>
      <c r="N68" s="98"/>
      <c r="O68" s="98"/>
    </row>
    <row r="69" spans="1:15" ht="15" customHeight="1" x14ac:dyDescent="0.35">
      <c r="A69" s="5" t="s">
        <v>82</v>
      </c>
      <c r="B69" s="5"/>
      <c r="C69" s="5"/>
      <c r="D69" s="38">
        <f>SUM(D65:D68)</f>
        <v>47724.438356164384</v>
      </c>
      <c r="E69" s="38">
        <f t="shared" ref="E69" si="25">SUM(E65:E68)</f>
        <v>81491.023402739724</v>
      </c>
      <c r="F69" s="38">
        <f t="shared" ref="F69:H69" si="26">SUM(F65:F68)</f>
        <v>137329.49890450671</v>
      </c>
      <c r="G69" s="38">
        <f t="shared" si="26"/>
        <v>199397.10060610811</v>
      </c>
      <c r="H69" s="38">
        <f t="shared" si="26"/>
        <v>267966.70336934051</v>
      </c>
      <c r="I69" s="38"/>
      <c r="J69" s="68" t="s">
        <v>110</v>
      </c>
      <c r="K69" s="71">
        <v>1.14E-2</v>
      </c>
      <c r="L69" s="68"/>
      <c r="M69" s="97"/>
      <c r="N69" s="98" t="s">
        <v>144</v>
      </c>
      <c r="O69" s="99">
        <f>AVERAGE(D53:H53)</f>
        <v>63947.094028019113</v>
      </c>
    </row>
    <row r="70" spans="1:15" ht="15" customHeight="1" x14ac:dyDescent="0.35">
      <c r="A70" s="5"/>
      <c r="B70" s="5"/>
      <c r="C70" s="5"/>
      <c r="D70" s="38"/>
      <c r="E70" s="38"/>
      <c r="F70" s="38"/>
      <c r="G70" s="38"/>
      <c r="H70" s="42"/>
      <c r="I70" s="42"/>
      <c r="J70" s="68" t="s">
        <v>111</v>
      </c>
      <c r="K70" s="71">
        <v>3.3500000000000002E-2</v>
      </c>
      <c r="L70" s="68"/>
      <c r="M70" s="97"/>
      <c r="N70" s="98"/>
      <c r="O70" s="98"/>
    </row>
    <row r="71" spans="1:15" ht="15" customHeight="1" x14ac:dyDescent="0.35">
      <c r="A71" s="5"/>
      <c r="B71" s="5" t="s">
        <v>83</v>
      </c>
      <c r="C71" s="5"/>
      <c r="D71" s="38">
        <f>D15*D16</f>
        <v>1045</v>
      </c>
      <c r="E71" s="38">
        <f>E15*E16</f>
        <v>1045</v>
      </c>
      <c r="F71" s="38">
        <f t="shared" ref="F71:H71" si="27">F15*F16</f>
        <v>1045</v>
      </c>
      <c r="G71" s="38">
        <f t="shared" si="27"/>
        <v>1045</v>
      </c>
      <c r="H71" s="38">
        <f t="shared" si="27"/>
        <v>1045</v>
      </c>
      <c r="I71" s="38"/>
      <c r="J71" s="68" t="s">
        <v>112</v>
      </c>
      <c r="K71" s="71">
        <f>K69+K70</f>
        <v>4.4900000000000002E-2</v>
      </c>
      <c r="L71" s="68"/>
      <c r="M71" s="97"/>
      <c r="N71" s="98"/>
      <c r="O71" s="98"/>
    </row>
    <row r="72" spans="1:15" ht="15" customHeight="1" x14ac:dyDescent="0.35">
      <c r="A72" s="5"/>
      <c r="B72" s="5" t="s">
        <v>84</v>
      </c>
      <c r="C72" s="5"/>
      <c r="D72" s="38">
        <f>D17*D18</f>
        <v>280000</v>
      </c>
      <c r="E72" s="38">
        <f>E17*E18</f>
        <v>280000</v>
      </c>
      <c r="F72" s="38">
        <f t="shared" ref="F72:H72" si="28">F17*F18</f>
        <v>280000</v>
      </c>
      <c r="G72" s="38">
        <f t="shared" si="28"/>
        <v>280000</v>
      </c>
      <c r="H72" s="38">
        <f t="shared" si="28"/>
        <v>280000</v>
      </c>
      <c r="J72" s="68" t="s">
        <v>92</v>
      </c>
      <c r="K72" s="71">
        <f>K71+3%</f>
        <v>7.4899999999999994E-2</v>
      </c>
      <c r="L72" s="68"/>
      <c r="M72" s="97"/>
      <c r="N72" s="98"/>
      <c r="O72" s="98"/>
    </row>
    <row r="73" spans="1:15" ht="15" customHeight="1" x14ac:dyDescent="0.35">
      <c r="A73" s="5"/>
      <c r="B73" s="5" t="s">
        <v>85</v>
      </c>
      <c r="C73" s="5"/>
      <c r="D73" s="43">
        <f>C73+D50</f>
        <v>18666.666666666668</v>
      </c>
      <c r="E73" s="43">
        <f>D73+E50</f>
        <v>37333.333333333336</v>
      </c>
      <c r="F73" s="43">
        <f t="shared" ref="F73:H73" si="29">E73+F50</f>
        <v>56000</v>
      </c>
      <c r="G73" s="43">
        <f t="shared" si="29"/>
        <v>74666.666666666672</v>
      </c>
      <c r="H73" s="43">
        <f t="shared" si="29"/>
        <v>93333.333333333343</v>
      </c>
      <c r="I73" s="43"/>
      <c r="J73" s="68"/>
      <c r="K73" s="68"/>
      <c r="L73" s="68"/>
      <c r="M73" s="98"/>
      <c r="N73" s="98" t="s">
        <v>145</v>
      </c>
      <c r="O73" s="100">
        <f>'Amortization Table'!I7</f>
        <v>210783.75</v>
      </c>
    </row>
    <row r="74" spans="1:15" ht="15" customHeight="1" x14ac:dyDescent="0.35">
      <c r="A74" s="5"/>
      <c r="B74" s="5"/>
      <c r="C74" s="5"/>
      <c r="D74" s="38"/>
      <c r="E74" s="38"/>
      <c r="F74" s="38"/>
      <c r="G74" s="38"/>
      <c r="H74" s="42"/>
      <c r="I74" s="42"/>
      <c r="J74" s="68" t="s">
        <v>113</v>
      </c>
      <c r="K74" s="71">
        <f>D27</f>
        <v>0.17499999999999999</v>
      </c>
      <c r="L74" s="68"/>
      <c r="M74" s="98"/>
      <c r="N74" s="98" t="s">
        <v>146</v>
      </c>
      <c r="O74" s="101">
        <f>K70</f>
        <v>3.3500000000000002E-2</v>
      </c>
    </row>
    <row r="75" spans="1:15" ht="15" customHeight="1" x14ac:dyDescent="0.35">
      <c r="A75" s="5" t="s">
        <v>62</v>
      </c>
      <c r="B75" s="5"/>
      <c r="C75" s="5"/>
      <c r="D75" s="38">
        <f>D69+D71+D72-D73</f>
        <v>310102.77168949769</v>
      </c>
      <c r="E75" s="38">
        <f t="shared" ref="E75:H75" si="30">E69+E71+E72-E73</f>
        <v>325202.69006940641</v>
      </c>
      <c r="F75" s="38">
        <f t="shared" si="30"/>
        <v>362374.49890450668</v>
      </c>
      <c r="G75" s="38">
        <f t="shared" si="30"/>
        <v>405775.4339394414</v>
      </c>
      <c r="H75" s="38">
        <f t="shared" si="30"/>
        <v>455678.37003600714</v>
      </c>
      <c r="I75" s="38"/>
      <c r="J75" s="68" t="s">
        <v>151</v>
      </c>
      <c r="K75" s="68">
        <v>1.3</v>
      </c>
      <c r="L75" s="68"/>
      <c r="M75" s="98"/>
      <c r="N75" s="98" t="s">
        <v>147</v>
      </c>
      <c r="O75" s="102">
        <f>O74+K69</f>
        <v>4.4900000000000002E-2</v>
      </c>
    </row>
    <row r="76" spans="1:15" ht="15" customHeight="1" x14ac:dyDescent="0.35">
      <c r="A76" s="5"/>
      <c r="B76" s="5"/>
      <c r="C76" s="5"/>
      <c r="D76" s="5"/>
      <c r="E76" s="5"/>
      <c r="F76" s="5"/>
      <c r="G76" s="5"/>
      <c r="H76" s="38"/>
      <c r="I76" s="38"/>
      <c r="J76" s="67" t="s">
        <v>114</v>
      </c>
      <c r="K76" s="68"/>
      <c r="L76" s="68"/>
      <c r="M76" s="98"/>
      <c r="N76" s="98" t="s">
        <v>148</v>
      </c>
      <c r="O76" s="103">
        <f>O73*O75</f>
        <v>9464.1903750000001</v>
      </c>
    </row>
    <row r="77" spans="1:15" ht="15" customHeight="1" x14ac:dyDescent="0.35">
      <c r="A77" s="5" t="s">
        <v>86</v>
      </c>
      <c r="B77" s="5"/>
      <c r="C77" s="5"/>
      <c r="D77" s="38"/>
      <c r="E77" s="38"/>
      <c r="F77" s="38"/>
      <c r="G77" s="38"/>
      <c r="H77" s="38"/>
      <c r="I77" s="38"/>
      <c r="J77" s="68" t="s">
        <v>115</v>
      </c>
      <c r="K77" s="69" cm="1">
        <f t="array" ref="K77">K75*(1+(1-K74)*(SUM(K83:K84/K88)))</f>
        <v>2.651446670767768</v>
      </c>
      <c r="L77" s="68"/>
      <c r="M77" s="98"/>
      <c r="N77" s="98" t="s">
        <v>149</v>
      </c>
      <c r="O77" s="104">
        <f>O69/O76</f>
        <v>6.7567421505951177</v>
      </c>
    </row>
    <row r="78" spans="1:15" ht="15" customHeight="1" x14ac:dyDescent="0.35">
      <c r="A78" s="5" t="s">
        <v>87</v>
      </c>
      <c r="B78" s="5"/>
      <c r="C78" s="5"/>
      <c r="D78" s="38"/>
      <c r="E78" s="38"/>
      <c r="F78" s="38"/>
      <c r="G78" s="38"/>
      <c r="H78" s="38"/>
      <c r="I78" s="38"/>
      <c r="J78" s="68" t="s">
        <v>116</v>
      </c>
      <c r="K78" s="71">
        <v>0.1</v>
      </c>
      <c r="L78" s="68"/>
      <c r="M78" s="98"/>
      <c r="N78" s="98"/>
      <c r="O78" s="98"/>
    </row>
    <row r="79" spans="1:15" ht="15" customHeight="1" x14ac:dyDescent="0.35">
      <c r="A79" s="5"/>
      <c r="B79" s="5" t="s">
        <v>88</v>
      </c>
      <c r="C79" s="5"/>
      <c r="D79" s="38">
        <f>(D42/365)*D24</f>
        <v>23020.273972602739</v>
      </c>
      <c r="E79" s="38">
        <f t="shared" ref="E79:H79" si="31">(E42/365)*E24</f>
        <v>24185.099835616442</v>
      </c>
      <c r="F79" s="38">
        <f t="shared" si="31"/>
        <v>25408.865887298634</v>
      </c>
      <c r="G79" s="38">
        <f t="shared" si="31"/>
        <v>26694.554501195948</v>
      </c>
      <c r="H79" s="38">
        <f t="shared" si="31"/>
        <v>28045.298958956464</v>
      </c>
      <c r="I79" s="38"/>
      <c r="J79" s="68" t="s">
        <v>111</v>
      </c>
      <c r="K79" s="71">
        <v>3.3500000000000002E-2</v>
      </c>
      <c r="L79" s="68"/>
      <c r="M79" s="97"/>
      <c r="N79" s="98"/>
      <c r="O79" s="98"/>
    </row>
    <row r="80" spans="1:15" ht="15" customHeight="1" x14ac:dyDescent="0.35">
      <c r="A80" s="5"/>
      <c r="B80" s="5" t="s">
        <v>89</v>
      </c>
      <c r="C80" s="5"/>
      <c r="D80" s="43">
        <f>D59</f>
        <v>6830.1761848219867</v>
      </c>
      <c r="E80" s="43">
        <f t="shared" ref="E80:H80" si="32">E59</f>
        <v>8334.7909372849172</v>
      </c>
      <c r="F80" s="43">
        <f t="shared" si="32"/>
        <v>9677.6490758031632</v>
      </c>
      <c r="G80" s="43">
        <f t="shared" si="32"/>
        <v>11080.185016927655</v>
      </c>
      <c r="H80" s="43">
        <f t="shared" si="32"/>
        <v>12544.913028527346</v>
      </c>
      <c r="I80" s="43"/>
      <c r="J80" s="68" t="s">
        <v>117</v>
      </c>
      <c r="K80" s="72">
        <f>K79+K77*(K78-K79)</f>
        <v>0.20982120360605658</v>
      </c>
      <c r="L80" s="71"/>
      <c r="M80" s="105"/>
      <c r="N80" s="105"/>
      <c r="O80" s="105"/>
    </row>
    <row r="81" spans="1:15" ht="15" customHeight="1" x14ac:dyDescent="0.35">
      <c r="A81" s="5" t="s">
        <v>90</v>
      </c>
      <c r="B81" s="5"/>
      <c r="C81" s="5"/>
      <c r="D81" s="38">
        <f>SUM(D79:D80)</f>
        <v>29850.450157424726</v>
      </c>
      <c r="E81" s="38">
        <f>SUM(E79:E80)</f>
        <v>32519.890772901359</v>
      </c>
      <c r="F81" s="38">
        <f t="shared" ref="F81:H81" si="33">SUM(F79:F80)</f>
        <v>35086.514963101799</v>
      </c>
      <c r="G81" s="38">
        <f t="shared" si="33"/>
        <v>37774.739518123606</v>
      </c>
      <c r="H81" s="38">
        <f t="shared" si="33"/>
        <v>40590.21198748381</v>
      </c>
      <c r="I81" s="38"/>
      <c r="J81" s="68"/>
      <c r="K81" s="68"/>
      <c r="L81" s="68"/>
      <c r="M81" s="68"/>
      <c r="N81" s="68"/>
      <c r="O81" s="68"/>
    </row>
    <row r="82" spans="1:15" ht="15" customHeight="1" x14ac:dyDescent="0.35">
      <c r="A82" s="5"/>
      <c r="B82" s="5"/>
      <c r="C82" s="5"/>
      <c r="D82" s="38"/>
      <c r="E82" s="38"/>
      <c r="F82" s="38"/>
      <c r="G82" s="38"/>
      <c r="H82" s="38"/>
      <c r="I82" s="38"/>
      <c r="J82" s="73" t="s">
        <v>102</v>
      </c>
      <c r="K82" s="73" t="s">
        <v>103</v>
      </c>
      <c r="L82" s="73" t="s">
        <v>10</v>
      </c>
      <c r="M82" s="73" t="s">
        <v>106</v>
      </c>
      <c r="N82" s="73" t="s">
        <v>118</v>
      </c>
      <c r="O82" s="68"/>
    </row>
    <row r="83" spans="1:15" ht="15" customHeight="1" x14ac:dyDescent="0.35">
      <c r="A83" s="5" t="s">
        <v>91</v>
      </c>
      <c r="B83" s="5"/>
      <c r="C83" s="5"/>
      <c r="D83" s="38">
        <f>'Amortization Table'!F13</f>
        <v>200713.2199581259</v>
      </c>
      <c r="E83" s="38">
        <f>'Amortization Table'!F27</f>
        <v>190180.05152806212</v>
      </c>
      <c r="F83" s="38">
        <f>'Amortization Table'!F41</f>
        <v>179162.99118319817</v>
      </c>
      <c r="G83" s="38">
        <f>'Amortization Table'!F55</f>
        <v>167639.80901362948</v>
      </c>
      <c r="H83" s="38">
        <f>'Amortization Table'!F69</f>
        <v>155587.25387128006</v>
      </c>
      <c r="I83" s="38"/>
      <c r="J83" s="74">
        <f>AVERAGE(D83:H83)</f>
        <v>178656.66511085915</v>
      </c>
      <c r="K83" s="72">
        <f>J83/J91</f>
        <v>0.51084770897460574</v>
      </c>
      <c r="L83" s="75">
        <f>K71</f>
        <v>4.4900000000000002E-2</v>
      </c>
      <c r="M83" s="72">
        <f>L83*(1-$K$74)</f>
        <v>3.7042499999999999E-2</v>
      </c>
      <c r="N83" s="72">
        <f>K83*M83</f>
        <v>1.8923076259691831E-2</v>
      </c>
      <c r="O83" s="68"/>
    </row>
    <row r="84" spans="1:15" ht="15" customHeight="1" x14ac:dyDescent="0.35">
      <c r="A84" s="5" t="s">
        <v>92</v>
      </c>
      <c r="B84" s="5"/>
      <c r="C84" s="5"/>
      <c r="D84" s="43">
        <v>16329.422390836533</v>
      </c>
      <c r="E84" s="43"/>
      <c r="F84" s="43"/>
      <c r="G84" s="43"/>
      <c r="H84" s="44"/>
      <c r="I84" s="45"/>
      <c r="J84" s="74">
        <f>AVERAGE(D84:H84)</f>
        <v>16329.422390836533</v>
      </c>
      <c r="K84" s="72">
        <f>J84/J91</f>
        <v>4.6692061625919351E-2</v>
      </c>
      <c r="L84" s="75">
        <f>K72</f>
        <v>7.4899999999999994E-2</v>
      </c>
      <c r="M84" s="72">
        <f>L84*(1-$K$74)</f>
        <v>6.1792499999999993E-2</v>
      </c>
      <c r="N84" s="72">
        <f>K84*M84</f>
        <v>2.8852192180196211E-3</v>
      </c>
      <c r="O84" s="68"/>
    </row>
    <row r="85" spans="1:15" ht="15" customHeight="1" x14ac:dyDescent="0.35">
      <c r="A85" s="5"/>
      <c r="B85" s="5"/>
      <c r="C85" s="5"/>
      <c r="D85" s="38"/>
      <c r="E85" s="38"/>
      <c r="F85" s="38"/>
      <c r="G85" s="38"/>
      <c r="H85" s="42"/>
      <c r="I85" s="42"/>
      <c r="J85" s="68"/>
      <c r="K85" s="72"/>
      <c r="L85" s="68"/>
      <c r="M85" s="72"/>
      <c r="N85" s="72"/>
      <c r="O85" s="68"/>
    </row>
    <row r="86" spans="1:15" ht="15" customHeight="1" x14ac:dyDescent="0.35">
      <c r="A86" s="5" t="s">
        <v>93</v>
      </c>
      <c r="B86" s="5"/>
      <c r="C86" s="5"/>
      <c r="D86" s="38">
        <f>SUM(D81,D83,D84)</f>
        <v>246893.09250638715</v>
      </c>
      <c r="E86" s="38">
        <f t="shared" ref="E86:H86" si="34">SUM(E81,E83,E84)</f>
        <v>222699.94230096348</v>
      </c>
      <c r="F86" s="38">
        <f t="shared" si="34"/>
        <v>214249.50614629997</v>
      </c>
      <c r="G86" s="38">
        <f t="shared" si="34"/>
        <v>205414.54853175307</v>
      </c>
      <c r="H86" s="38">
        <f t="shared" si="34"/>
        <v>196177.46585876387</v>
      </c>
      <c r="I86" s="38"/>
      <c r="J86" s="68"/>
      <c r="K86" s="72"/>
      <c r="L86" s="68"/>
      <c r="M86" s="72"/>
      <c r="N86" s="72"/>
      <c r="O86" s="68"/>
    </row>
    <row r="87" spans="1:15" ht="15" customHeight="1" x14ac:dyDescent="0.35">
      <c r="A87" s="5"/>
      <c r="B87" s="5"/>
      <c r="C87" s="5"/>
      <c r="D87" s="38"/>
      <c r="E87" s="38"/>
      <c r="F87" s="38"/>
      <c r="G87" s="38"/>
      <c r="H87" s="38"/>
      <c r="I87" s="38"/>
      <c r="J87" s="68"/>
      <c r="K87" s="72"/>
      <c r="L87" s="68"/>
      <c r="M87" s="72"/>
      <c r="N87" s="72"/>
      <c r="O87" s="68"/>
    </row>
    <row r="88" spans="1:15" ht="15" customHeight="1" x14ac:dyDescent="0.35">
      <c r="A88" s="5" t="s">
        <v>94</v>
      </c>
      <c r="B88" s="5"/>
      <c r="C88" s="5"/>
      <c r="D88" s="38">
        <f>D75*10%</f>
        <v>31010.277168949771</v>
      </c>
      <c r="E88" s="38">
        <f>D88</f>
        <v>31010.277168949771</v>
      </c>
      <c r="F88" s="38">
        <f t="shared" ref="F88:H88" si="35">E88</f>
        <v>31010.277168949771</v>
      </c>
      <c r="G88" s="38">
        <f t="shared" si="35"/>
        <v>31010.277168949771</v>
      </c>
      <c r="H88" s="38">
        <f t="shared" si="35"/>
        <v>31010.277168949771</v>
      </c>
      <c r="I88" s="38"/>
      <c r="J88" s="74">
        <f>AVERAGE(D88:H88)</f>
        <v>31010.277168949768</v>
      </c>
      <c r="K88" s="72">
        <f>SUM(J88:J89)/J91</f>
        <v>0.44246022939947488</v>
      </c>
      <c r="L88" s="71">
        <f>K80</f>
        <v>0.20982120360605658</v>
      </c>
      <c r="M88" s="72">
        <f>L88</f>
        <v>0.20982120360605658</v>
      </c>
      <c r="N88" s="72">
        <f>K88*M88</f>
        <v>9.2837537880409715E-2</v>
      </c>
      <c r="O88" s="68"/>
    </row>
    <row r="89" spans="1:15" ht="15" customHeight="1" x14ac:dyDescent="0.35">
      <c r="A89" s="5" t="s">
        <v>63</v>
      </c>
      <c r="B89" s="5"/>
      <c r="C89" s="5"/>
      <c r="D89" s="39">
        <f>C89+D60</f>
        <v>32199.402014160794</v>
      </c>
      <c r="E89" s="39">
        <f>D89+E60</f>
        <v>71491.987861361122</v>
      </c>
      <c r="F89" s="39">
        <f t="shared" ref="F89:H89" si="36">E89+F60</f>
        <v>117115.19064729032</v>
      </c>
      <c r="G89" s="39">
        <f t="shared" si="36"/>
        <v>169350.34858423501</v>
      </c>
      <c r="H89" s="39">
        <f t="shared" si="36"/>
        <v>228490.65286157822</v>
      </c>
      <c r="I89" s="39"/>
      <c r="J89" s="74">
        <f>AVERAGE(D89:H89)</f>
        <v>123729.51639372511</v>
      </c>
      <c r="K89" s="72"/>
      <c r="L89" s="68"/>
      <c r="M89" s="68"/>
      <c r="N89" s="72"/>
      <c r="O89" s="68"/>
    </row>
    <row r="90" spans="1:15" ht="15" customHeight="1" x14ac:dyDescent="0.35">
      <c r="A90" s="5"/>
      <c r="B90" s="5"/>
      <c r="C90" s="5"/>
      <c r="D90" s="38"/>
      <c r="E90" s="38"/>
      <c r="F90" s="38"/>
      <c r="G90" s="38"/>
      <c r="H90" s="38"/>
      <c r="I90" s="38"/>
      <c r="J90" s="68"/>
      <c r="K90" s="72"/>
      <c r="L90" s="68"/>
      <c r="M90" s="68"/>
      <c r="N90" s="72"/>
      <c r="O90" s="68"/>
    </row>
    <row r="91" spans="1:15" ht="15" customHeight="1" x14ac:dyDescent="0.35">
      <c r="A91" s="5" t="s">
        <v>95</v>
      </c>
      <c r="B91" s="5"/>
      <c r="C91" s="5"/>
      <c r="D91" s="38">
        <f>D86+D89+D88</f>
        <v>310102.77168949775</v>
      </c>
      <c r="E91" s="38">
        <f t="shared" ref="E91:H91" si="37">E86+E89+E88</f>
        <v>325202.20733127435</v>
      </c>
      <c r="F91" s="38">
        <f t="shared" si="37"/>
        <v>362374.9739625401</v>
      </c>
      <c r="G91" s="38">
        <f t="shared" si="37"/>
        <v>405775.17428493785</v>
      </c>
      <c r="H91" s="38">
        <f t="shared" si="37"/>
        <v>455678.39588929183</v>
      </c>
      <c r="I91" s="38"/>
      <c r="J91" s="74">
        <f>SUM(J83:J89)</f>
        <v>349725.88106437057</v>
      </c>
      <c r="K91" s="72">
        <f>SUM(K83:K89)</f>
        <v>1</v>
      </c>
      <c r="L91" s="68"/>
      <c r="M91" s="68"/>
      <c r="N91" s="76">
        <f>SUM(N83:N88)</f>
        <v>0.11464583335812117</v>
      </c>
      <c r="O91" s="67" t="s">
        <v>104</v>
      </c>
    </row>
    <row r="92" spans="1:15" ht="15" customHeight="1" x14ac:dyDescent="0.35">
      <c r="A92" s="5"/>
      <c r="B92" s="5"/>
      <c r="C92" s="5"/>
      <c r="D92" s="5"/>
      <c r="E92" s="5"/>
      <c r="F92" s="5"/>
      <c r="G92" s="5"/>
      <c r="H92" s="38"/>
      <c r="I92" s="38"/>
      <c r="J92" s="68"/>
      <c r="K92" s="68"/>
      <c r="L92" s="68"/>
      <c r="M92" s="68"/>
      <c r="N92" s="72"/>
      <c r="O92" s="68"/>
    </row>
    <row r="93" spans="1:15" ht="15" customHeight="1" x14ac:dyDescent="0.35">
      <c r="A93" s="5" t="s">
        <v>64</v>
      </c>
      <c r="B93" s="5"/>
      <c r="C93" s="5"/>
      <c r="D93" s="38">
        <f>D75-D91</f>
        <v>0</v>
      </c>
      <c r="E93" s="38">
        <f>E75-E91</f>
        <v>0.4827381320646964</v>
      </c>
      <c r="F93" s="38">
        <f t="shared" ref="F93:H93" si="38">F75-F91</f>
        <v>-0.47505803342210129</v>
      </c>
      <c r="G93" s="38">
        <f t="shared" si="38"/>
        <v>0.25965450354851782</v>
      </c>
      <c r="H93" s="38">
        <f t="shared" si="38"/>
        <v>-2.5853284692857414E-2</v>
      </c>
      <c r="I93" s="38"/>
    </row>
    <row r="94" spans="1:15" ht="15" customHeight="1" x14ac:dyDescent="0.35">
      <c r="A94" s="19"/>
      <c r="B94" s="19"/>
      <c r="J94" s="82" t="s">
        <v>119</v>
      </c>
      <c r="K94" s="82"/>
      <c r="L94" s="82"/>
      <c r="M94" s="82"/>
      <c r="N94" s="82"/>
      <c r="O94" s="82"/>
    </row>
    <row r="95" spans="1:15" ht="15" customHeight="1" x14ac:dyDescent="0.5">
      <c r="A95" s="106"/>
      <c r="B95" s="107" t="s">
        <v>137</v>
      </c>
      <c r="C95" s="108"/>
      <c r="D95" s="109"/>
      <c r="E95" s="109"/>
      <c r="F95" s="110"/>
      <c r="G95" s="108"/>
      <c r="H95" s="108"/>
      <c r="I95" s="77"/>
      <c r="J95" s="88" t="s">
        <v>120</v>
      </c>
      <c r="K95" s="83"/>
      <c r="L95" s="84"/>
      <c r="M95" s="84"/>
      <c r="N95" s="84"/>
      <c r="O95" s="82"/>
    </row>
    <row r="96" spans="1:15" ht="15" customHeight="1" x14ac:dyDescent="0.35">
      <c r="A96" s="110"/>
      <c r="B96" s="110"/>
      <c r="C96" s="111"/>
      <c r="D96" s="112"/>
      <c r="E96" s="112"/>
      <c r="F96" s="110"/>
      <c r="G96" s="111"/>
      <c r="H96" s="111"/>
      <c r="I96" s="77"/>
      <c r="J96" s="85"/>
      <c r="K96" s="86"/>
      <c r="L96" s="87"/>
      <c r="M96" s="88"/>
      <c r="N96" s="88"/>
      <c r="O96" s="82"/>
    </row>
    <row r="97" spans="1:15" ht="15" customHeight="1" x14ac:dyDescent="0.35">
      <c r="A97" s="113" t="s">
        <v>121</v>
      </c>
      <c r="B97" s="114"/>
      <c r="C97" s="110"/>
      <c r="D97" s="115"/>
      <c r="E97" s="115"/>
      <c r="F97" s="115"/>
      <c r="G97" s="115"/>
      <c r="H97" s="115"/>
      <c r="I97" s="79"/>
      <c r="J97" s="129"/>
      <c r="K97" s="129"/>
      <c r="L97" s="130"/>
      <c r="M97" s="131"/>
      <c r="N97" s="131"/>
      <c r="O97" s="132"/>
    </row>
    <row r="98" spans="1:15" ht="15" customHeight="1" x14ac:dyDescent="0.35">
      <c r="A98" s="114"/>
      <c r="B98" s="114" t="s">
        <v>122</v>
      </c>
      <c r="C98" s="116"/>
      <c r="D98" s="117">
        <f>D43-SUM(D46:D49)</f>
        <v>68200.200000000012</v>
      </c>
      <c r="E98" s="117">
        <f t="shared" ref="E98:H98" si="39">E43-SUM(E46:E49)</f>
        <v>75110.653518000036</v>
      </c>
      <c r="F98" s="117">
        <f t="shared" si="39"/>
        <v>82300.236680446949</v>
      </c>
      <c r="G98" s="117">
        <f t="shared" si="39"/>
        <v>89808.605947882228</v>
      </c>
      <c r="H98" s="117">
        <f t="shared" si="39"/>
        <v>97649.107327099628</v>
      </c>
      <c r="I98" s="79"/>
      <c r="J98" s="129"/>
      <c r="K98" s="129"/>
      <c r="L98" s="130"/>
      <c r="M98" s="131"/>
      <c r="N98" s="131"/>
      <c r="O98" s="132"/>
    </row>
    <row r="99" spans="1:15" ht="15" customHeight="1" x14ac:dyDescent="0.35">
      <c r="A99" s="114"/>
      <c r="B99" s="114" t="s">
        <v>123</v>
      </c>
      <c r="C99" s="116"/>
      <c r="D99" s="118">
        <f>D50</f>
        <v>18666.666666666668</v>
      </c>
      <c r="E99" s="118">
        <f t="shared" ref="E99:H99" si="40">E50</f>
        <v>18666.666666666668</v>
      </c>
      <c r="F99" s="118">
        <f t="shared" si="40"/>
        <v>18666.666666666668</v>
      </c>
      <c r="G99" s="118">
        <f t="shared" si="40"/>
        <v>18666.666666666668</v>
      </c>
      <c r="H99" s="118">
        <f t="shared" si="40"/>
        <v>18666.666666666668</v>
      </c>
      <c r="I99" s="79"/>
      <c r="J99" s="129"/>
      <c r="K99" s="129"/>
      <c r="L99" s="130"/>
      <c r="M99" s="131"/>
      <c r="N99" s="131"/>
      <c r="O99" s="132"/>
    </row>
    <row r="100" spans="1:15" ht="15" customHeight="1" x14ac:dyDescent="0.35">
      <c r="A100" s="114"/>
      <c r="B100" s="114" t="s">
        <v>124</v>
      </c>
      <c r="C100" s="116"/>
      <c r="D100" s="118">
        <f>D98-D99</f>
        <v>49533.53333333334</v>
      </c>
      <c r="E100" s="118">
        <f t="shared" ref="E100:H100" si="41">E98-E99</f>
        <v>56443.986851333364</v>
      </c>
      <c r="F100" s="118">
        <f t="shared" si="41"/>
        <v>63633.570013780278</v>
      </c>
      <c r="G100" s="118">
        <f t="shared" si="41"/>
        <v>71141.939281215557</v>
      </c>
      <c r="H100" s="118">
        <f t="shared" si="41"/>
        <v>78982.440660432956</v>
      </c>
      <c r="I100" s="79"/>
      <c r="J100" s="129"/>
      <c r="K100" s="129"/>
      <c r="L100" s="130"/>
      <c r="M100" s="131"/>
      <c r="N100" s="131"/>
      <c r="O100" s="132"/>
    </row>
    <row r="101" spans="1:15" ht="15" customHeight="1" x14ac:dyDescent="0.35">
      <c r="A101" s="114"/>
      <c r="B101" s="114" t="s">
        <v>125</v>
      </c>
      <c r="C101" s="116"/>
      <c r="D101" s="119">
        <f>D100*D27</f>
        <v>8668.3683333333338</v>
      </c>
      <c r="E101" s="119">
        <f t="shared" ref="E101:H101" si="42">E100*E27</f>
        <v>9877.6976989833383</v>
      </c>
      <c r="F101" s="119">
        <f t="shared" si="42"/>
        <v>11135.874752411548</v>
      </c>
      <c r="G101" s="119">
        <f t="shared" si="42"/>
        <v>12449.839374212721</v>
      </c>
      <c r="H101" s="119">
        <f t="shared" si="42"/>
        <v>13821.927115575767</v>
      </c>
      <c r="I101" s="81"/>
      <c r="J101" s="132"/>
      <c r="K101" s="132"/>
      <c r="L101" s="132"/>
      <c r="M101" s="132"/>
      <c r="N101" s="132"/>
      <c r="O101" s="132"/>
    </row>
    <row r="102" spans="1:15" ht="15" customHeight="1" x14ac:dyDescent="0.35">
      <c r="A102" s="114"/>
      <c r="B102" s="113" t="s">
        <v>121</v>
      </c>
      <c r="C102" s="116"/>
      <c r="D102" s="119">
        <f>D98-D101</f>
        <v>59531.83166666668</v>
      </c>
      <c r="E102" s="119">
        <f t="shared" ref="E102:H102" si="43">E98-E101</f>
        <v>65232.955819016701</v>
      </c>
      <c r="F102" s="119">
        <f t="shared" si="43"/>
        <v>71164.361928035403</v>
      </c>
      <c r="G102" s="119">
        <f t="shared" si="43"/>
        <v>77358.766573669505</v>
      </c>
      <c r="H102" s="119">
        <f t="shared" si="43"/>
        <v>83827.180211523868</v>
      </c>
      <c r="I102" s="81"/>
      <c r="J102" s="132"/>
      <c r="K102" s="132"/>
      <c r="L102" s="132"/>
      <c r="M102" s="132"/>
      <c r="N102" s="132"/>
      <c r="O102" s="132"/>
    </row>
    <row r="103" spans="1:15" ht="15" customHeight="1" x14ac:dyDescent="0.35">
      <c r="A103" s="114"/>
      <c r="B103" s="114"/>
      <c r="C103" s="116"/>
      <c r="D103" s="120"/>
      <c r="E103" s="120"/>
      <c r="F103" s="121"/>
      <c r="G103" s="122"/>
      <c r="H103" s="120"/>
      <c r="I103" s="81"/>
      <c r="J103" s="132"/>
      <c r="K103" s="132"/>
      <c r="L103" s="132"/>
      <c r="M103" s="132"/>
      <c r="N103" s="132"/>
      <c r="O103" s="132"/>
    </row>
    <row r="104" spans="1:15" ht="15" customHeight="1" x14ac:dyDescent="0.35">
      <c r="A104" s="113" t="s">
        <v>126</v>
      </c>
      <c r="B104" s="114"/>
      <c r="C104" s="116"/>
      <c r="D104" s="120"/>
      <c r="E104" s="120"/>
      <c r="F104" s="123"/>
      <c r="G104" s="122"/>
      <c r="H104" s="120"/>
      <c r="I104" s="81"/>
      <c r="J104" s="132"/>
      <c r="K104" s="132"/>
      <c r="L104" s="132"/>
      <c r="M104" s="132"/>
      <c r="N104" s="132"/>
      <c r="O104" s="132"/>
    </row>
    <row r="105" spans="1:15" ht="15" customHeight="1" x14ac:dyDescent="0.35">
      <c r="A105" s="114"/>
      <c r="B105" s="114" t="s">
        <v>127</v>
      </c>
      <c r="C105" s="124">
        <f>-(D65-C65)</f>
        <v>-38900</v>
      </c>
      <c r="D105" s="124">
        <f t="shared" ref="D105:H105" si="44">-(E65-D65)</f>
        <v>-1968.3400000000038</v>
      </c>
      <c r="E105" s="124">
        <f t="shared" si="44"/>
        <v>-2067.9380040000106</v>
      </c>
      <c r="F105" s="124">
        <f t="shared" si="44"/>
        <v>-2172.5756670023984</v>
      </c>
      <c r="G105" s="124">
        <f t="shared" si="44"/>
        <v>-2282.5079957527269</v>
      </c>
      <c r="H105" s="124">
        <f t="shared" si="44"/>
        <v>47391.36166675514</v>
      </c>
      <c r="I105" s="81"/>
      <c r="J105" s="81"/>
      <c r="K105" s="81"/>
      <c r="L105" s="81"/>
      <c r="M105" s="81"/>
      <c r="N105" s="81"/>
      <c r="O105" s="80"/>
    </row>
    <row r="106" spans="1:15" ht="15" customHeight="1" x14ac:dyDescent="0.35">
      <c r="A106" s="114"/>
      <c r="B106" s="114" t="s">
        <v>60</v>
      </c>
      <c r="C106" s="124">
        <f t="shared" ref="C106:H106" si="45">-(D66-C66)</f>
        <v>0</v>
      </c>
      <c r="D106" s="124">
        <f t="shared" si="45"/>
        <v>-30400</v>
      </c>
      <c r="E106" s="124">
        <f t="shared" si="45"/>
        <v>-53555</v>
      </c>
      <c r="F106" s="124">
        <f t="shared" si="45"/>
        <v>-59668</v>
      </c>
      <c r="G106" s="124">
        <f t="shared" si="45"/>
        <v>-66048</v>
      </c>
      <c r="H106" s="124">
        <f t="shared" si="45"/>
        <v>209671</v>
      </c>
      <c r="I106" s="81"/>
      <c r="J106" s="81"/>
      <c r="K106" s="81"/>
      <c r="L106" s="81"/>
      <c r="M106" s="81"/>
      <c r="N106" s="81"/>
      <c r="O106" s="80"/>
    </row>
    <row r="107" spans="1:15" ht="15" customHeight="1" x14ac:dyDescent="0.35">
      <c r="A107" s="114"/>
      <c r="B107" s="114" t="s">
        <v>61</v>
      </c>
      <c r="C107" s="124">
        <f t="shared" ref="C107:H107" si="46">-(D67-C67)</f>
        <v>-3069.3698630136987</v>
      </c>
      <c r="D107" s="124">
        <f t="shared" si="46"/>
        <v>-1409.3523287671233</v>
      </c>
      <c r="E107" s="124">
        <f t="shared" si="46"/>
        <v>-226.62334290411036</v>
      </c>
      <c r="F107" s="124">
        <f t="shared" si="46"/>
        <v>-238.09048405505837</v>
      </c>
      <c r="G107" s="124">
        <f t="shared" si="46"/>
        <v>-250.1378625482439</v>
      </c>
      <c r="H107" s="124">
        <f t="shared" si="46"/>
        <v>5193.5738812882346</v>
      </c>
      <c r="I107" s="81"/>
      <c r="J107" s="81"/>
      <c r="K107" s="81"/>
      <c r="L107" s="81"/>
      <c r="M107" s="81"/>
      <c r="N107" s="81"/>
      <c r="O107" s="80"/>
    </row>
    <row r="108" spans="1:15" ht="15" customHeight="1" x14ac:dyDescent="0.35">
      <c r="A108" s="114"/>
      <c r="B108" s="114" t="s">
        <v>128</v>
      </c>
      <c r="C108" s="124">
        <f t="shared" ref="C108:H108" si="47">-(D68-C68)</f>
        <v>-5755.0684931506848</v>
      </c>
      <c r="D108" s="124">
        <f t="shared" si="47"/>
        <v>11.107282191780541</v>
      </c>
      <c r="E108" s="124">
        <f t="shared" si="47"/>
        <v>11.08584513714959</v>
      </c>
      <c r="F108" s="124">
        <f t="shared" si="47"/>
        <v>11.064449456036527</v>
      </c>
      <c r="G108" s="124">
        <f t="shared" si="47"/>
        <v>11.043095068584989</v>
      </c>
      <c r="H108" s="124">
        <f t="shared" si="47"/>
        <v>5710.7678212971332</v>
      </c>
      <c r="I108" s="81"/>
      <c r="J108" s="81"/>
      <c r="K108" s="81"/>
      <c r="L108" s="81"/>
      <c r="M108" s="81"/>
      <c r="N108" s="81"/>
      <c r="O108" s="80"/>
    </row>
    <row r="109" spans="1:15" ht="15" customHeight="1" x14ac:dyDescent="0.35">
      <c r="A109" s="114"/>
      <c r="B109" s="114" t="s">
        <v>129</v>
      </c>
      <c r="C109" s="125">
        <f>D79-C79</f>
        <v>23020.273972602739</v>
      </c>
      <c r="D109" s="125">
        <f t="shared" ref="D109:H109" si="48">E79-D79</f>
        <v>1164.8258630137025</v>
      </c>
      <c r="E109" s="125">
        <f t="shared" si="48"/>
        <v>1223.7660516821925</v>
      </c>
      <c r="F109" s="125">
        <f t="shared" si="48"/>
        <v>1285.6886138973132</v>
      </c>
      <c r="G109" s="125">
        <f t="shared" si="48"/>
        <v>1350.7444577605165</v>
      </c>
      <c r="H109" s="125">
        <f t="shared" si="48"/>
        <v>-28045.298958956464</v>
      </c>
      <c r="I109" s="81"/>
      <c r="J109" s="81"/>
      <c r="K109" s="81"/>
      <c r="L109" s="81"/>
      <c r="M109" s="81"/>
      <c r="N109" s="81"/>
      <c r="O109" s="80"/>
    </row>
    <row r="110" spans="1:15" ht="15" customHeight="1" x14ac:dyDescent="0.35">
      <c r="A110" s="114"/>
      <c r="B110" s="114" t="s">
        <v>130</v>
      </c>
      <c r="C110" s="125">
        <f>D101-C101</f>
        <v>8668.3683333333338</v>
      </c>
      <c r="D110" s="125">
        <f t="shared" ref="D110:H110" si="49">E101-D101</f>
        <v>1209.3293656500045</v>
      </c>
      <c r="E110" s="125">
        <f t="shared" si="49"/>
        <v>1258.1770534282095</v>
      </c>
      <c r="F110" s="125">
        <f t="shared" si="49"/>
        <v>1313.9646218011731</v>
      </c>
      <c r="G110" s="125">
        <f t="shared" si="49"/>
        <v>1372.087741363046</v>
      </c>
      <c r="H110" s="125">
        <f t="shared" si="49"/>
        <v>-13821.927115575767</v>
      </c>
      <c r="I110" s="81"/>
      <c r="J110" s="81"/>
      <c r="K110" s="81"/>
      <c r="L110" s="81"/>
      <c r="M110" s="81"/>
      <c r="N110" s="81"/>
      <c r="O110" s="80"/>
    </row>
    <row r="111" spans="1:15" ht="15" customHeight="1" x14ac:dyDescent="0.35">
      <c r="A111" s="114"/>
      <c r="B111" s="114"/>
      <c r="C111" s="116"/>
      <c r="D111" s="120"/>
      <c r="E111" s="120"/>
      <c r="F111" s="120"/>
      <c r="G111" s="120"/>
      <c r="H111" s="120"/>
      <c r="I111" s="81"/>
      <c r="J111" s="91">
        <f>H112+H113</f>
        <v>1149.5</v>
      </c>
      <c r="K111" s="81" t="s">
        <v>154</v>
      </c>
      <c r="L111" s="81"/>
      <c r="M111" s="81"/>
      <c r="N111" s="81"/>
      <c r="O111" s="80"/>
    </row>
    <row r="112" spans="1:15" ht="15" customHeight="1" x14ac:dyDescent="0.35">
      <c r="A112" s="114"/>
      <c r="B112" s="114" t="s">
        <v>83</v>
      </c>
      <c r="C112" s="125">
        <f>-(D71-C71)</f>
        <v>-1045</v>
      </c>
      <c r="D112" s="125">
        <f t="shared" ref="D112:H112" si="50">-(E71-D71)</f>
        <v>0</v>
      </c>
      <c r="E112" s="125">
        <f t="shared" si="50"/>
        <v>0</v>
      </c>
      <c r="F112" s="125">
        <f t="shared" si="50"/>
        <v>0</v>
      </c>
      <c r="G112" s="125">
        <f t="shared" si="50"/>
        <v>0</v>
      </c>
      <c r="H112" s="125">
        <f t="shared" si="50"/>
        <v>1045</v>
      </c>
      <c r="I112" s="81"/>
      <c r="J112" s="91">
        <f>H71</f>
        <v>1045</v>
      </c>
      <c r="K112" s="81" t="s">
        <v>138</v>
      </c>
      <c r="N112" s="81"/>
      <c r="O112" s="80"/>
    </row>
    <row r="113" spans="1:15" ht="15" customHeight="1" x14ac:dyDescent="0.35">
      <c r="A113" s="114"/>
      <c r="B113" s="114" t="s">
        <v>131</v>
      </c>
      <c r="C113" s="116"/>
      <c r="D113" s="120"/>
      <c r="E113" s="120"/>
      <c r="F113" s="120"/>
      <c r="G113" s="120"/>
      <c r="H113" s="119">
        <f>H112*I113</f>
        <v>104.5</v>
      </c>
      <c r="I113" s="93">
        <v>0.1</v>
      </c>
      <c r="J113" s="89">
        <f>H112+H113-J112</f>
        <v>104.5</v>
      </c>
      <c r="K113" s="81" t="s">
        <v>139</v>
      </c>
      <c r="L113" s="92" t="s">
        <v>141</v>
      </c>
      <c r="M113" s="92"/>
      <c r="N113" s="92"/>
      <c r="O113" s="92"/>
    </row>
    <row r="114" spans="1:15" ht="15" customHeight="1" x14ac:dyDescent="0.35">
      <c r="A114" s="114"/>
      <c r="B114" s="114" t="s">
        <v>132</v>
      </c>
      <c r="C114" s="116"/>
      <c r="D114" s="120"/>
      <c r="E114" s="120"/>
      <c r="F114" s="120"/>
      <c r="G114" s="120"/>
      <c r="H114" s="119">
        <f>-(J113*H27)</f>
        <v>-18.287499999999998</v>
      </c>
      <c r="I114" s="89"/>
      <c r="J114" s="89"/>
      <c r="K114" s="81"/>
      <c r="L114" s="81"/>
      <c r="M114" s="81"/>
      <c r="N114" s="81"/>
      <c r="O114" s="80"/>
    </row>
    <row r="115" spans="1:15" ht="15" customHeight="1" x14ac:dyDescent="0.35">
      <c r="A115" s="114"/>
      <c r="B115" s="114"/>
      <c r="C115" s="116"/>
      <c r="D115" s="120"/>
      <c r="E115" s="120"/>
      <c r="F115" s="120"/>
      <c r="G115" s="120"/>
      <c r="H115" s="120"/>
      <c r="I115" s="81"/>
      <c r="J115" s="91">
        <f>H116+H117</f>
        <v>252000</v>
      </c>
      <c r="K115" s="81" t="s">
        <v>154</v>
      </c>
      <c r="L115" s="81"/>
      <c r="M115" s="81"/>
      <c r="N115" s="81"/>
      <c r="O115" s="80"/>
    </row>
    <row r="116" spans="1:15" ht="15" customHeight="1" x14ac:dyDescent="0.35">
      <c r="A116" s="114"/>
      <c r="B116" s="114" t="s">
        <v>84</v>
      </c>
      <c r="C116" s="124">
        <f>-(D72-C72)</f>
        <v>-280000</v>
      </c>
      <c r="D116" s="124">
        <f t="shared" ref="D116:G116" si="51">-(E72-D72)</f>
        <v>0</v>
      </c>
      <c r="E116" s="124">
        <f t="shared" si="51"/>
        <v>0</v>
      </c>
      <c r="F116" s="124">
        <f t="shared" si="51"/>
        <v>0</v>
      </c>
      <c r="G116" s="124">
        <f t="shared" si="51"/>
        <v>0</v>
      </c>
      <c r="H116" s="124">
        <f>-(I72-H72)</f>
        <v>280000</v>
      </c>
      <c r="I116" s="81"/>
      <c r="J116" s="91">
        <f>H72-H73</f>
        <v>186666.66666666666</v>
      </c>
      <c r="K116" s="81" t="s">
        <v>138</v>
      </c>
      <c r="L116" s="81"/>
      <c r="M116" s="81"/>
      <c r="N116" s="81"/>
      <c r="O116" s="80"/>
    </row>
    <row r="117" spans="1:15" ht="15" customHeight="1" x14ac:dyDescent="0.35">
      <c r="A117" s="114"/>
      <c r="B117" s="114" t="s">
        <v>131</v>
      </c>
      <c r="C117" s="125"/>
      <c r="D117" s="119"/>
      <c r="E117" s="119"/>
      <c r="F117" s="119"/>
      <c r="G117" s="119"/>
      <c r="H117" s="119">
        <f>H116*I117</f>
        <v>-28000</v>
      </c>
      <c r="I117" s="90">
        <v>-0.1</v>
      </c>
      <c r="J117" s="91">
        <f>H116+H117-J116</f>
        <v>65333.333333333343</v>
      </c>
      <c r="K117" s="81" t="s">
        <v>139</v>
      </c>
      <c r="L117" s="92" t="s">
        <v>153</v>
      </c>
      <c r="M117" s="92"/>
      <c r="N117" s="92"/>
      <c r="O117" s="92"/>
    </row>
    <row r="118" spans="1:15" ht="15" customHeight="1" x14ac:dyDescent="0.35">
      <c r="A118" s="114"/>
      <c r="B118" s="114" t="s">
        <v>132</v>
      </c>
      <c r="C118" s="125"/>
      <c r="D118" s="126"/>
      <c r="E118" s="126"/>
      <c r="F118" s="126"/>
      <c r="G118" s="126"/>
      <c r="H118" s="126">
        <f>-(J117*H27)</f>
        <v>-11433.333333333334</v>
      </c>
      <c r="I118" s="78"/>
      <c r="J118" s="78"/>
      <c r="K118" s="78"/>
      <c r="L118" s="78"/>
      <c r="M118" s="78"/>
      <c r="N118" s="78"/>
    </row>
    <row r="119" spans="1:15" ht="15" customHeight="1" x14ac:dyDescent="0.35">
      <c r="A119" s="114"/>
      <c r="B119" s="114"/>
      <c r="C119" s="116"/>
      <c r="D119" s="111"/>
      <c r="E119" s="111"/>
      <c r="F119" s="111"/>
      <c r="G119" s="111"/>
      <c r="H119" s="111"/>
      <c r="I119" s="78"/>
      <c r="J119" s="94"/>
      <c r="K119" s="78"/>
      <c r="L119" s="78"/>
      <c r="M119" s="78"/>
      <c r="N119" s="78"/>
    </row>
    <row r="120" spans="1:15" ht="15" customHeight="1" x14ac:dyDescent="0.35">
      <c r="A120" s="114"/>
      <c r="B120" s="114" t="s">
        <v>152</v>
      </c>
      <c r="C120" s="124">
        <v>-74224</v>
      </c>
      <c r="D120" s="111"/>
      <c r="E120" s="111"/>
      <c r="F120" s="111"/>
      <c r="G120" s="111"/>
      <c r="H120" s="111"/>
      <c r="I120" s="78"/>
      <c r="J120" s="78"/>
      <c r="K120" s="78"/>
      <c r="L120" s="78"/>
      <c r="M120" s="78"/>
      <c r="N120" s="78"/>
    </row>
    <row r="121" spans="1:15" ht="15" customHeight="1" x14ac:dyDescent="0.35">
      <c r="A121" s="113" t="s">
        <v>133</v>
      </c>
      <c r="B121" s="114"/>
      <c r="C121" s="124">
        <f>SUM(C102:C120)</f>
        <v>-371304.79605022829</v>
      </c>
      <c r="D121" s="124">
        <f t="shared" ref="D121:H121" si="52">SUM(D102:D120)</f>
        <v>28139.401848755042</v>
      </c>
      <c r="E121" s="124">
        <f t="shared" si="52"/>
        <v>11876.423422360132</v>
      </c>
      <c r="F121" s="124">
        <f t="shared" si="52"/>
        <v>11696.41346213247</v>
      </c>
      <c r="G121" s="124">
        <f t="shared" si="52"/>
        <v>11511.996009560675</v>
      </c>
      <c r="H121" s="124">
        <f t="shared" si="52"/>
        <v>551624.5366729988</v>
      </c>
      <c r="I121" s="78"/>
      <c r="J121" s="78"/>
      <c r="K121" s="78"/>
      <c r="L121" s="78"/>
      <c r="M121" s="78"/>
      <c r="N121" s="78"/>
    </row>
    <row r="122" spans="1:15" ht="15" customHeight="1" x14ac:dyDescent="0.35">
      <c r="A122" s="113" t="s">
        <v>134</v>
      </c>
      <c r="B122" s="114"/>
      <c r="C122" s="127">
        <f>IRR(C121:H121)</f>
        <v>0.11464554885424616</v>
      </c>
      <c r="D122" s="111"/>
      <c r="E122" s="111"/>
      <c r="F122" s="111"/>
      <c r="G122" s="111"/>
      <c r="H122" s="111"/>
      <c r="I122" s="78"/>
      <c r="J122" s="78"/>
      <c r="K122" s="78"/>
      <c r="L122" s="78"/>
      <c r="M122" s="78"/>
      <c r="N122" s="78"/>
    </row>
    <row r="123" spans="1:15" ht="15" customHeight="1" x14ac:dyDescent="0.35">
      <c r="A123" s="113"/>
      <c r="B123" s="114"/>
      <c r="C123" s="116"/>
      <c r="D123" s="111"/>
      <c r="E123" s="111"/>
      <c r="F123" s="111"/>
      <c r="G123" s="111"/>
      <c r="H123" s="111"/>
      <c r="I123" s="78"/>
      <c r="J123" s="78"/>
      <c r="K123" s="78"/>
      <c r="L123" s="78"/>
      <c r="M123" s="78"/>
      <c r="N123" s="78"/>
    </row>
    <row r="124" spans="1:15" ht="15" customHeight="1" x14ac:dyDescent="0.35">
      <c r="A124" s="114"/>
      <c r="B124" s="114"/>
      <c r="C124" s="116"/>
      <c r="D124" s="111"/>
      <c r="E124" s="111"/>
      <c r="F124" s="111"/>
      <c r="G124" s="111"/>
      <c r="H124" s="111"/>
      <c r="I124" s="78"/>
      <c r="J124" s="78"/>
      <c r="K124" s="78"/>
      <c r="L124" s="78"/>
      <c r="M124" s="78"/>
      <c r="N124" s="78"/>
    </row>
    <row r="125" spans="1:15" ht="15" customHeight="1" x14ac:dyDescent="0.35">
      <c r="A125" s="113" t="s">
        <v>135</v>
      </c>
      <c r="B125" s="114"/>
      <c r="C125" s="127">
        <f>N91</f>
        <v>0.11464583335812117</v>
      </c>
      <c r="D125" s="111"/>
      <c r="E125" s="111"/>
      <c r="F125" s="111"/>
      <c r="G125" s="111"/>
      <c r="H125" s="111"/>
      <c r="I125" s="78"/>
      <c r="J125" s="78"/>
      <c r="K125" s="78"/>
      <c r="L125" s="78"/>
      <c r="M125" s="78"/>
      <c r="N125" s="78"/>
    </row>
    <row r="126" spans="1:15" ht="15" customHeight="1" thickBot="1" x14ac:dyDescent="0.4">
      <c r="A126" s="113" t="s">
        <v>136</v>
      </c>
      <c r="B126" s="114"/>
      <c r="C126" s="125">
        <f>NPV(C125,D121:H121)+C121</f>
        <v>-0.43455278972396627</v>
      </c>
      <c r="D126" s="128">
        <f>C126/(-C121+C126)</f>
        <v>-1.1703411938697737E-6</v>
      </c>
      <c r="E126" s="111" t="s">
        <v>140</v>
      </c>
      <c r="F126" s="111"/>
      <c r="G126" s="111"/>
      <c r="H126" s="111"/>
    </row>
    <row r="127" spans="1:15" ht="15" customHeight="1" thickBot="1" x14ac:dyDescent="0.4">
      <c r="A127" s="30"/>
    </row>
    <row r="128" spans="1:15" ht="15" customHeight="1" thickBot="1" x14ac:dyDescent="0.4">
      <c r="A128" s="30"/>
    </row>
    <row r="129" spans="1:6" ht="15" customHeight="1" thickBot="1" x14ac:dyDescent="0.4">
      <c r="A129" s="30"/>
    </row>
    <row r="130" spans="1:6" ht="15" customHeight="1" thickBot="1" x14ac:dyDescent="0.4">
      <c r="A130" s="30"/>
    </row>
    <row r="131" spans="1:6" ht="15" customHeight="1" thickBot="1" x14ac:dyDescent="0.4">
      <c r="A131" s="30"/>
      <c r="E131" s="35"/>
      <c r="F131" s="34"/>
    </row>
    <row r="132" spans="1:6" ht="15" customHeight="1" thickBot="1" x14ac:dyDescent="0.4">
      <c r="A132" s="30"/>
    </row>
    <row r="133" spans="1:6" ht="15" customHeight="1" thickBot="1" x14ac:dyDescent="0.4">
      <c r="A133" s="30"/>
    </row>
    <row r="134" spans="1:6" ht="15" customHeight="1" thickBot="1" x14ac:dyDescent="0.4">
      <c r="A134" s="30"/>
    </row>
    <row r="135" spans="1:6" ht="15" customHeight="1" thickBot="1" x14ac:dyDescent="0.4">
      <c r="A135" s="30"/>
    </row>
    <row r="136" spans="1:6" ht="15" customHeight="1" thickBot="1" x14ac:dyDescent="0.4">
      <c r="A136" s="30"/>
    </row>
    <row r="137" spans="1:6" ht="15" customHeight="1" thickBot="1" x14ac:dyDescent="0.4">
      <c r="A137" s="30"/>
    </row>
    <row r="138" spans="1:6" ht="15" customHeight="1" thickBot="1" x14ac:dyDescent="0.4">
      <c r="A138" s="30"/>
    </row>
    <row r="139" spans="1:6" ht="15" customHeight="1" thickBot="1" x14ac:dyDescent="0.4">
      <c r="A139" s="30"/>
    </row>
    <row r="140" spans="1:6" ht="15" customHeight="1" thickBot="1" x14ac:dyDescent="0.4">
      <c r="A140" s="30"/>
    </row>
    <row r="141" spans="1:6" ht="15" customHeight="1" thickBot="1" x14ac:dyDescent="0.4">
      <c r="A141" s="30"/>
    </row>
    <row r="142" spans="1:6" ht="15" customHeight="1" thickBot="1" x14ac:dyDescent="0.4">
      <c r="A142" s="30"/>
    </row>
    <row r="143" spans="1:6" ht="15" customHeight="1" thickBot="1" x14ac:dyDescent="0.4">
      <c r="A143" s="30"/>
    </row>
    <row r="144" spans="1:6" ht="15" customHeight="1" thickBot="1" x14ac:dyDescent="0.4">
      <c r="A144" s="30"/>
    </row>
    <row r="145" spans="1:1" ht="15" customHeight="1" thickBot="1" x14ac:dyDescent="0.4">
      <c r="A145" s="30"/>
    </row>
    <row r="146" spans="1:1" ht="15" customHeight="1" thickBot="1" x14ac:dyDescent="0.4">
      <c r="A146" s="30"/>
    </row>
    <row r="147" spans="1:1" ht="15" customHeight="1" thickBot="1" x14ac:dyDescent="0.4">
      <c r="A147" s="30"/>
    </row>
    <row r="148" spans="1:1" ht="15" customHeight="1" thickBot="1" x14ac:dyDescent="0.4">
      <c r="A148" s="30"/>
    </row>
    <row r="149" spans="1:1" ht="15" customHeight="1" thickBot="1" x14ac:dyDescent="0.4">
      <c r="A149" s="30"/>
    </row>
    <row r="150" spans="1:1" ht="15" customHeight="1" thickBot="1" x14ac:dyDescent="0.4">
      <c r="A150" s="30"/>
    </row>
    <row r="151" spans="1:1" ht="15" customHeight="1" thickBot="1" x14ac:dyDescent="0.4">
      <c r="A151" s="30"/>
    </row>
    <row r="152" spans="1:1" ht="15" customHeight="1" thickBot="1" x14ac:dyDescent="0.4">
      <c r="A152" s="30"/>
    </row>
    <row r="153" spans="1:1" ht="15" customHeight="1" thickBot="1" x14ac:dyDescent="0.4">
      <c r="A153" s="30"/>
    </row>
    <row r="154" spans="1:1" ht="15" customHeight="1" thickBot="1" x14ac:dyDescent="0.4">
      <c r="A154" s="30"/>
    </row>
    <row r="155" spans="1:1" ht="15" customHeight="1" thickBot="1" x14ac:dyDescent="0.4">
      <c r="A155" s="30"/>
    </row>
    <row r="156" spans="1:1" ht="15" customHeight="1" thickBot="1" x14ac:dyDescent="0.4">
      <c r="A156" s="30"/>
    </row>
    <row r="157" spans="1:1" ht="15" customHeight="1" thickBot="1" x14ac:dyDescent="0.4">
      <c r="A157" s="30"/>
    </row>
    <row r="158" spans="1:1" ht="15" customHeight="1" thickBot="1" x14ac:dyDescent="0.4">
      <c r="A158" s="30"/>
    </row>
    <row r="159" spans="1:1" ht="15" customHeight="1" thickBot="1" x14ac:dyDescent="0.4">
      <c r="A159" s="30"/>
    </row>
    <row r="160" spans="1:1" ht="15" customHeight="1" thickBot="1" x14ac:dyDescent="0.4">
      <c r="A160" s="30"/>
    </row>
    <row r="161" spans="1:1" ht="15" customHeight="1" thickBot="1" x14ac:dyDescent="0.4">
      <c r="A161" s="30"/>
    </row>
    <row r="162" spans="1:1" ht="15" customHeight="1" thickBot="1" x14ac:dyDescent="0.4">
      <c r="A162" s="30"/>
    </row>
    <row r="163" spans="1:1" ht="15" customHeight="1" thickBot="1" x14ac:dyDescent="0.4">
      <c r="A163" s="30"/>
    </row>
    <row r="164" spans="1:1" ht="15" customHeight="1" thickBot="1" x14ac:dyDescent="0.4">
      <c r="A164" s="30"/>
    </row>
    <row r="165" spans="1:1" ht="15" customHeight="1" thickBot="1" x14ac:dyDescent="0.4">
      <c r="A165" s="30"/>
    </row>
    <row r="166" spans="1:1" ht="15" customHeight="1" thickBot="1" x14ac:dyDescent="0.4">
      <c r="A166" s="30"/>
    </row>
    <row r="167" spans="1:1" ht="15" customHeight="1" thickBot="1" x14ac:dyDescent="0.4">
      <c r="A167" s="30"/>
    </row>
    <row r="168" spans="1:1" ht="15" customHeight="1" thickBot="1" x14ac:dyDescent="0.4">
      <c r="A168" s="30"/>
    </row>
    <row r="169" spans="1:1" ht="15" customHeight="1" thickBot="1" x14ac:dyDescent="0.4">
      <c r="A169" s="30"/>
    </row>
    <row r="170" spans="1:1" ht="15" customHeight="1" thickBot="1" x14ac:dyDescent="0.4">
      <c r="A170" s="30"/>
    </row>
    <row r="171" spans="1:1" ht="15" customHeight="1" thickBot="1" x14ac:dyDescent="0.4">
      <c r="A171" s="30"/>
    </row>
    <row r="172" spans="1:1" ht="15" customHeight="1" thickBot="1" x14ac:dyDescent="0.4">
      <c r="A172" s="30"/>
    </row>
    <row r="173" spans="1:1" ht="15" customHeight="1" thickBot="1" x14ac:dyDescent="0.4">
      <c r="A173" s="30"/>
    </row>
    <row r="174" spans="1:1" ht="15" customHeight="1" thickBot="1" x14ac:dyDescent="0.4">
      <c r="A174" s="30"/>
    </row>
    <row r="175" spans="1:1" ht="15" customHeight="1" thickBot="1" x14ac:dyDescent="0.4">
      <c r="A175" s="30"/>
    </row>
    <row r="176" spans="1:1" ht="15" customHeight="1" thickBot="1" x14ac:dyDescent="0.4">
      <c r="A176" s="30"/>
    </row>
    <row r="177" spans="1:1" ht="15" customHeight="1" thickBot="1" x14ac:dyDescent="0.4">
      <c r="A177" s="30"/>
    </row>
    <row r="178" spans="1:1" ht="15" customHeight="1" thickBot="1" x14ac:dyDescent="0.4">
      <c r="A178" s="30"/>
    </row>
    <row r="179" spans="1:1" ht="15" customHeight="1" thickBot="1" x14ac:dyDescent="0.4">
      <c r="A179" s="30"/>
    </row>
    <row r="180" spans="1:1" ht="15" customHeight="1" thickBot="1" x14ac:dyDescent="0.4">
      <c r="A180" s="30"/>
    </row>
    <row r="181" spans="1:1" ht="15" customHeight="1" thickBot="1" x14ac:dyDescent="0.4">
      <c r="A181" s="30"/>
    </row>
    <row r="182" spans="1:1" ht="15" customHeight="1" thickBot="1" x14ac:dyDescent="0.4">
      <c r="A182" s="30"/>
    </row>
    <row r="183" spans="1:1" ht="15" customHeight="1" thickBot="1" x14ac:dyDescent="0.4">
      <c r="A183" s="30"/>
    </row>
    <row r="184" spans="1:1" ht="15" customHeight="1" thickBot="1" x14ac:dyDescent="0.4">
      <c r="A184" s="30"/>
    </row>
    <row r="185" spans="1:1" ht="15" customHeight="1" thickBot="1" x14ac:dyDescent="0.4">
      <c r="A185" s="30"/>
    </row>
    <row r="186" spans="1:1" ht="15" customHeight="1" thickBot="1" x14ac:dyDescent="0.4">
      <c r="A186" s="30"/>
    </row>
    <row r="187" spans="1:1" ht="15" customHeight="1" thickBot="1" x14ac:dyDescent="0.4">
      <c r="A187" s="30"/>
    </row>
    <row r="188" spans="1:1" ht="15" customHeight="1" thickBot="1" x14ac:dyDescent="0.4">
      <c r="A188" s="30"/>
    </row>
    <row r="189" spans="1:1" ht="15" customHeight="1" thickBot="1" x14ac:dyDescent="0.4">
      <c r="A189" s="30"/>
    </row>
    <row r="190" spans="1:1" ht="15" customHeight="1" thickBot="1" x14ac:dyDescent="0.4">
      <c r="A190" s="30"/>
    </row>
    <row r="191" spans="1:1" ht="15" customHeight="1" thickBot="1" x14ac:dyDescent="0.4">
      <c r="A191" s="30"/>
    </row>
    <row r="192" spans="1:1" ht="15" customHeight="1" thickBot="1" x14ac:dyDescent="0.4">
      <c r="A192" s="30"/>
    </row>
    <row r="193" spans="1:1" ht="15" customHeight="1" thickBot="1" x14ac:dyDescent="0.4">
      <c r="A193" s="30"/>
    </row>
    <row r="194" spans="1:1" ht="15" customHeight="1" thickBot="1" x14ac:dyDescent="0.4">
      <c r="A194" s="30"/>
    </row>
    <row r="195" spans="1:1" ht="15" customHeight="1" thickBot="1" x14ac:dyDescent="0.4">
      <c r="A195" s="30"/>
    </row>
    <row r="196" spans="1:1" ht="15" customHeight="1" thickBot="1" x14ac:dyDescent="0.4">
      <c r="A196" s="30"/>
    </row>
    <row r="197" spans="1:1" ht="15" customHeight="1" thickBot="1" x14ac:dyDescent="0.4">
      <c r="A197" s="30"/>
    </row>
    <row r="198" spans="1:1" ht="15" customHeight="1" thickBot="1" x14ac:dyDescent="0.4">
      <c r="A198" s="30"/>
    </row>
    <row r="199" spans="1:1" ht="15" customHeight="1" thickBot="1" x14ac:dyDescent="0.4">
      <c r="A199" s="30"/>
    </row>
    <row r="200" spans="1:1" ht="15" customHeight="1" thickBot="1" x14ac:dyDescent="0.4">
      <c r="A200" s="30"/>
    </row>
    <row r="201" spans="1:1" ht="15" customHeight="1" thickBot="1" x14ac:dyDescent="0.4">
      <c r="A201" s="30"/>
    </row>
    <row r="202" spans="1:1" ht="15" customHeight="1" thickBot="1" x14ac:dyDescent="0.4">
      <c r="A202" s="30"/>
    </row>
    <row r="203" spans="1:1" ht="15" customHeight="1" thickBot="1" x14ac:dyDescent="0.4">
      <c r="A203" s="30"/>
    </row>
    <row r="204" spans="1:1" ht="15" customHeight="1" thickBot="1" x14ac:dyDescent="0.4">
      <c r="A204" s="30"/>
    </row>
    <row r="205" spans="1:1" ht="15" customHeight="1" thickBot="1" x14ac:dyDescent="0.4">
      <c r="A205" s="30"/>
    </row>
    <row r="206" spans="1:1" ht="15" customHeight="1" thickBot="1" x14ac:dyDescent="0.4">
      <c r="A206" s="30"/>
    </row>
    <row r="207" spans="1:1" ht="15" customHeight="1" thickBot="1" x14ac:dyDescent="0.4">
      <c r="A207" s="30"/>
    </row>
    <row r="208" spans="1:1" ht="15" customHeight="1" thickBot="1" x14ac:dyDescent="0.4">
      <c r="A208" s="30"/>
    </row>
    <row r="209" spans="1:1" ht="15" customHeight="1" thickBot="1" x14ac:dyDescent="0.4">
      <c r="A209" s="30"/>
    </row>
    <row r="210" spans="1:1" ht="15" customHeight="1" thickBot="1" x14ac:dyDescent="0.4">
      <c r="A210" s="30"/>
    </row>
    <row r="211" spans="1:1" ht="15" customHeight="1" thickBot="1" x14ac:dyDescent="0.4">
      <c r="A211" s="30"/>
    </row>
    <row r="212" spans="1:1" ht="15" customHeight="1" thickBot="1" x14ac:dyDescent="0.4">
      <c r="A212" s="30"/>
    </row>
    <row r="213" spans="1:1" ht="15" customHeight="1" thickBot="1" x14ac:dyDescent="0.4">
      <c r="A213" s="30"/>
    </row>
    <row r="214" spans="1:1" ht="15" customHeight="1" thickBot="1" x14ac:dyDescent="0.4">
      <c r="A214" s="30"/>
    </row>
    <row r="215" spans="1:1" ht="15" customHeight="1" thickBot="1" x14ac:dyDescent="0.4">
      <c r="A215" s="30"/>
    </row>
    <row r="216" spans="1:1" ht="15" customHeight="1" thickBot="1" x14ac:dyDescent="0.4">
      <c r="A216" s="30"/>
    </row>
    <row r="217" spans="1:1" ht="15" customHeight="1" thickBot="1" x14ac:dyDescent="0.4">
      <c r="A217" s="30"/>
    </row>
    <row r="218" spans="1:1" ht="15" customHeight="1" thickBot="1" x14ac:dyDescent="0.4">
      <c r="A218" s="30"/>
    </row>
    <row r="219" spans="1:1" ht="15" customHeight="1" thickBot="1" x14ac:dyDescent="0.4">
      <c r="A219" s="30"/>
    </row>
    <row r="220" spans="1:1" ht="15" customHeight="1" thickBot="1" x14ac:dyDescent="0.4">
      <c r="A220" s="30"/>
    </row>
    <row r="221" spans="1:1" ht="15" customHeight="1" thickBot="1" x14ac:dyDescent="0.4">
      <c r="A221" s="30"/>
    </row>
    <row r="222" spans="1:1" ht="15" customHeight="1" thickBot="1" x14ac:dyDescent="0.4">
      <c r="A222" s="30"/>
    </row>
    <row r="223" spans="1:1" ht="15" customHeight="1" thickBot="1" x14ac:dyDescent="0.4">
      <c r="A223" s="30"/>
    </row>
    <row r="224" spans="1:1" ht="15" customHeight="1" thickBot="1" x14ac:dyDescent="0.4">
      <c r="A224" s="30"/>
    </row>
    <row r="225" spans="1:1" ht="15" customHeight="1" thickBot="1" x14ac:dyDescent="0.4">
      <c r="A225" s="30"/>
    </row>
    <row r="226" spans="1:1" ht="15" customHeight="1" thickBot="1" x14ac:dyDescent="0.4">
      <c r="A226" s="30"/>
    </row>
    <row r="227" spans="1:1" ht="15" customHeight="1" thickBot="1" x14ac:dyDescent="0.4">
      <c r="A227" s="30"/>
    </row>
    <row r="228" spans="1:1" ht="15" customHeight="1" thickBot="1" x14ac:dyDescent="0.4">
      <c r="A228" s="30"/>
    </row>
    <row r="229" spans="1:1" ht="15" customHeight="1" thickBot="1" x14ac:dyDescent="0.4">
      <c r="A229" s="30"/>
    </row>
    <row r="230" spans="1:1" ht="15" customHeight="1" thickBot="1" x14ac:dyDescent="0.4">
      <c r="A230" s="30"/>
    </row>
    <row r="231" spans="1:1" ht="15" customHeight="1" thickBot="1" x14ac:dyDescent="0.4">
      <c r="A231" s="30"/>
    </row>
    <row r="232" spans="1:1" ht="15" customHeight="1" thickBot="1" x14ac:dyDescent="0.4">
      <c r="A232" s="30"/>
    </row>
    <row r="233" spans="1:1" ht="15" customHeight="1" thickBot="1" x14ac:dyDescent="0.4">
      <c r="A233" s="30"/>
    </row>
    <row r="234" spans="1:1" ht="15" customHeight="1" thickBot="1" x14ac:dyDescent="0.4">
      <c r="A234" s="30"/>
    </row>
    <row r="235" spans="1:1" ht="15" customHeight="1" thickBot="1" x14ac:dyDescent="0.4">
      <c r="A235" s="30"/>
    </row>
    <row r="236" spans="1:1" ht="15" customHeight="1" thickBot="1" x14ac:dyDescent="0.4">
      <c r="A236" s="30"/>
    </row>
    <row r="237" spans="1:1" ht="15" customHeight="1" thickBot="1" x14ac:dyDescent="0.4">
      <c r="A237" s="30"/>
    </row>
    <row r="238" spans="1:1" ht="15" customHeight="1" thickBot="1" x14ac:dyDescent="0.4">
      <c r="A238" s="30"/>
    </row>
    <row r="239" spans="1:1" ht="15" customHeight="1" thickBot="1" x14ac:dyDescent="0.4">
      <c r="A239" s="30"/>
    </row>
    <row r="240" spans="1:1" ht="15" customHeight="1" thickBot="1" x14ac:dyDescent="0.4">
      <c r="A240" s="30"/>
    </row>
    <row r="241" spans="1:1" ht="15" customHeight="1" thickBot="1" x14ac:dyDescent="0.4">
      <c r="A241" s="30"/>
    </row>
    <row r="242" spans="1:1" ht="15" customHeight="1" thickBot="1" x14ac:dyDescent="0.4">
      <c r="A242" s="30"/>
    </row>
    <row r="243" spans="1:1" ht="15" customHeight="1" thickBot="1" x14ac:dyDescent="0.4">
      <c r="A243" s="30"/>
    </row>
    <row r="244" spans="1:1" ht="15" customHeight="1" thickBot="1" x14ac:dyDescent="0.4">
      <c r="A244" s="30"/>
    </row>
    <row r="245" spans="1:1" ht="15" customHeight="1" thickBot="1" x14ac:dyDescent="0.4">
      <c r="A245" s="30"/>
    </row>
    <row r="246" spans="1:1" ht="15" customHeight="1" thickBot="1" x14ac:dyDescent="0.4">
      <c r="A246" s="30"/>
    </row>
    <row r="247" spans="1:1" ht="15" customHeight="1" thickBot="1" x14ac:dyDescent="0.4">
      <c r="A247" s="30"/>
    </row>
    <row r="248" spans="1:1" ht="15" customHeight="1" thickBot="1" x14ac:dyDescent="0.4">
      <c r="A248" s="30"/>
    </row>
    <row r="249" spans="1:1" ht="15" customHeight="1" thickBot="1" x14ac:dyDescent="0.4">
      <c r="A249" s="30"/>
    </row>
    <row r="250" spans="1:1" ht="15" customHeight="1" thickBot="1" x14ac:dyDescent="0.4">
      <c r="A250" s="30"/>
    </row>
    <row r="251" spans="1:1" ht="15" customHeight="1" thickBot="1" x14ac:dyDescent="0.4">
      <c r="A251" s="30"/>
    </row>
    <row r="252" spans="1:1" ht="15" customHeight="1" thickBot="1" x14ac:dyDescent="0.4">
      <c r="A252" s="30"/>
    </row>
    <row r="253" spans="1:1" ht="15" customHeight="1" thickBot="1" x14ac:dyDescent="0.4">
      <c r="A253" s="30"/>
    </row>
    <row r="254" spans="1:1" ht="15" customHeight="1" thickBot="1" x14ac:dyDescent="0.4">
      <c r="A254" s="30"/>
    </row>
    <row r="255" spans="1:1" ht="15" customHeight="1" thickBot="1" x14ac:dyDescent="0.4">
      <c r="A255" s="30"/>
    </row>
    <row r="256" spans="1:1" ht="15" customHeight="1" thickBot="1" x14ac:dyDescent="0.4">
      <c r="A256" s="30"/>
    </row>
    <row r="257" spans="1:1" ht="15" customHeight="1" thickBot="1" x14ac:dyDescent="0.4">
      <c r="A257" s="30"/>
    </row>
    <row r="258" spans="1:1" ht="15" customHeight="1" thickBot="1" x14ac:dyDescent="0.4">
      <c r="A258" s="30"/>
    </row>
    <row r="259" spans="1:1" ht="15" customHeight="1" thickBot="1" x14ac:dyDescent="0.4">
      <c r="A259" s="30"/>
    </row>
    <row r="260" spans="1:1" ht="15" customHeight="1" thickBot="1" x14ac:dyDescent="0.4">
      <c r="A260" s="30"/>
    </row>
    <row r="261" spans="1:1" ht="15" customHeight="1" thickBot="1" x14ac:dyDescent="0.4">
      <c r="A261" s="30"/>
    </row>
    <row r="262" spans="1:1" ht="15" customHeight="1" thickBot="1" x14ac:dyDescent="0.4">
      <c r="A262" s="30"/>
    </row>
    <row r="263" spans="1:1" ht="15" customHeight="1" thickBot="1" x14ac:dyDescent="0.4">
      <c r="A263" s="30"/>
    </row>
    <row r="264" spans="1:1" ht="15" customHeight="1" thickBot="1" x14ac:dyDescent="0.4">
      <c r="A264" s="30"/>
    </row>
    <row r="265" spans="1:1" ht="15" customHeight="1" thickBot="1" x14ac:dyDescent="0.4">
      <c r="A265" s="30"/>
    </row>
    <row r="266" spans="1:1" ht="15" customHeight="1" thickBot="1" x14ac:dyDescent="0.4">
      <c r="A266" s="30"/>
    </row>
    <row r="267" spans="1:1" ht="15" customHeight="1" thickBot="1" x14ac:dyDescent="0.4">
      <c r="A267" s="30"/>
    </row>
    <row r="268" spans="1:1" ht="15" customHeight="1" thickBot="1" x14ac:dyDescent="0.4">
      <c r="A268" s="30"/>
    </row>
    <row r="269" spans="1:1" ht="15" customHeight="1" thickBot="1" x14ac:dyDescent="0.4">
      <c r="A269" s="30"/>
    </row>
    <row r="270" spans="1:1" ht="15" customHeight="1" thickBot="1" x14ac:dyDescent="0.4">
      <c r="A270" s="30"/>
    </row>
    <row r="271" spans="1:1" ht="15" customHeight="1" thickBot="1" x14ac:dyDescent="0.4">
      <c r="A271" s="30"/>
    </row>
    <row r="272" spans="1:1" ht="15" customHeight="1" thickBot="1" x14ac:dyDescent="0.4">
      <c r="A272" s="30"/>
    </row>
    <row r="273" spans="1:1" ht="15" customHeight="1" thickBot="1" x14ac:dyDescent="0.4">
      <c r="A273" s="30"/>
    </row>
    <row r="274" spans="1:1" ht="15" customHeight="1" thickBot="1" x14ac:dyDescent="0.4">
      <c r="A274" s="30"/>
    </row>
    <row r="275" spans="1:1" ht="15" customHeight="1" thickBot="1" x14ac:dyDescent="0.4">
      <c r="A275" s="30"/>
    </row>
    <row r="276" spans="1:1" ht="15" customHeight="1" thickBot="1" x14ac:dyDescent="0.4">
      <c r="A276" s="30"/>
    </row>
    <row r="277" spans="1:1" ht="15" customHeight="1" thickBot="1" x14ac:dyDescent="0.4">
      <c r="A277" s="30"/>
    </row>
    <row r="278" spans="1:1" ht="15" customHeight="1" thickBot="1" x14ac:dyDescent="0.4">
      <c r="A278" s="30"/>
    </row>
    <row r="279" spans="1:1" ht="15" customHeight="1" thickBot="1" x14ac:dyDescent="0.4">
      <c r="A279" s="30"/>
    </row>
    <row r="280" spans="1:1" ht="15" customHeight="1" thickBot="1" x14ac:dyDescent="0.4">
      <c r="A280" s="30"/>
    </row>
    <row r="281" spans="1:1" ht="15" customHeight="1" thickBot="1" x14ac:dyDescent="0.4">
      <c r="A281" s="30"/>
    </row>
    <row r="282" spans="1:1" ht="15" customHeight="1" thickBot="1" x14ac:dyDescent="0.4">
      <c r="A282" s="30"/>
    </row>
    <row r="283" spans="1:1" ht="15" customHeight="1" thickBot="1" x14ac:dyDescent="0.4">
      <c r="A283" s="30"/>
    </row>
    <row r="284" spans="1:1" ht="15" customHeight="1" thickBot="1" x14ac:dyDescent="0.4">
      <c r="A284" s="30"/>
    </row>
    <row r="285" spans="1:1" ht="15" customHeight="1" thickBot="1" x14ac:dyDescent="0.4">
      <c r="A285" s="30"/>
    </row>
    <row r="286" spans="1:1" ht="15" customHeight="1" thickBot="1" x14ac:dyDescent="0.4">
      <c r="A286" s="30"/>
    </row>
    <row r="287" spans="1:1" ht="15" customHeight="1" thickBot="1" x14ac:dyDescent="0.4">
      <c r="A287" s="30"/>
    </row>
    <row r="288" spans="1:1" ht="15" customHeight="1" thickBot="1" x14ac:dyDescent="0.4">
      <c r="A288" s="30"/>
    </row>
    <row r="289" spans="1:1" ht="15" customHeight="1" thickBot="1" x14ac:dyDescent="0.4">
      <c r="A289" s="30"/>
    </row>
    <row r="290" spans="1:1" ht="15" customHeight="1" thickBot="1" x14ac:dyDescent="0.4">
      <c r="A290" s="30"/>
    </row>
    <row r="291" spans="1:1" ht="15" customHeight="1" thickBot="1" x14ac:dyDescent="0.4">
      <c r="A291" s="30"/>
    </row>
    <row r="292" spans="1:1" ht="15" customHeight="1" thickBot="1" x14ac:dyDescent="0.4">
      <c r="A292" s="30"/>
    </row>
    <row r="293" spans="1:1" ht="15" customHeight="1" thickBot="1" x14ac:dyDescent="0.4">
      <c r="A293" s="30"/>
    </row>
    <row r="294" spans="1:1" ht="15" customHeight="1" thickBot="1" x14ac:dyDescent="0.4">
      <c r="A294" s="30"/>
    </row>
    <row r="295" spans="1:1" ht="15" customHeight="1" thickBot="1" x14ac:dyDescent="0.4">
      <c r="A295" s="30"/>
    </row>
    <row r="296" spans="1:1" ht="15" customHeight="1" thickBot="1" x14ac:dyDescent="0.4">
      <c r="A296" s="30"/>
    </row>
    <row r="297" spans="1:1" ht="15" customHeight="1" thickBot="1" x14ac:dyDescent="0.4">
      <c r="A297" s="30"/>
    </row>
    <row r="298" spans="1:1" ht="15" customHeight="1" thickBot="1" x14ac:dyDescent="0.4">
      <c r="A298" s="30"/>
    </row>
    <row r="299" spans="1:1" ht="15" customHeight="1" thickBot="1" x14ac:dyDescent="0.4">
      <c r="A299" s="30"/>
    </row>
    <row r="300" spans="1:1" ht="15" customHeight="1" thickBot="1" x14ac:dyDescent="0.4">
      <c r="A300" s="30"/>
    </row>
    <row r="301" spans="1:1" ht="15" customHeight="1" thickBot="1" x14ac:dyDescent="0.4">
      <c r="A301" s="30"/>
    </row>
    <row r="302" spans="1:1" ht="15" customHeight="1" thickBot="1" x14ac:dyDescent="0.4">
      <c r="A302" s="30"/>
    </row>
    <row r="303" spans="1:1" ht="15" customHeight="1" thickBot="1" x14ac:dyDescent="0.4">
      <c r="A303" s="30"/>
    </row>
    <row r="304" spans="1:1" ht="15" customHeight="1" thickBot="1" x14ac:dyDescent="0.4">
      <c r="A304" s="30"/>
    </row>
    <row r="305" spans="1:1" ht="15" customHeight="1" thickBot="1" x14ac:dyDescent="0.4">
      <c r="A305" s="30"/>
    </row>
    <row r="306" spans="1:1" ht="15" customHeight="1" thickBot="1" x14ac:dyDescent="0.4">
      <c r="A306" s="30"/>
    </row>
    <row r="307" spans="1:1" ht="15" customHeight="1" thickBot="1" x14ac:dyDescent="0.4">
      <c r="A307" s="30"/>
    </row>
    <row r="308" spans="1:1" ht="15" customHeight="1" thickBot="1" x14ac:dyDescent="0.4">
      <c r="A308" s="30"/>
    </row>
    <row r="309" spans="1:1" ht="15" customHeight="1" thickBot="1" x14ac:dyDescent="0.4">
      <c r="A309" s="30"/>
    </row>
    <row r="310" spans="1:1" ht="15" customHeight="1" thickBot="1" x14ac:dyDescent="0.4">
      <c r="A310" s="30"/>
    </row>
    <row r="311" spans="1:1" ht="15" customHeight="1" thickBot="1" x14ac:dyDescent="0.4">
      <c r="A311" s="30"/>
    </row>
    <row r="312" spans="1:1" ht="15" customHeight="1" thickBot="1" x14ac:dyDescent="0.4">
      <c r="A312" s="30"/>
    </row>
    <row r="313" spans="1:1" ht="15" customHeight="1" thickBot="1" x14ac:dyDescent="0.4">
      <c r="A313" s="30"/>
    </row>
    <row r="314" spans="1:1" ht="15" customHeight="1" thickBot="1" x14ac:dyDescent="0.4">
      <c r="A314" s="30"/>
    </row>
    <row r="315" spans="1:1" ht="15" customHeight="1" thickBot="1" x14ac:dyDescent="0.4">
      <c r="A315" s="30"/>
    </row>
    <row r="316" spans="1:1" ht="15" customHeight="1" thickBot="1" x14ac:dyDescent="0.4">
      <c r="A316" s="30"/>
    </row>
    <row r="317" spans="1:1" ht="15" customHeight="1" thickBot="1" x14ac:dyDescent="0.4">
      <c r="A317" s="30"/>
    </row>
    <row r="318" spans="1:1" ht="15" customHeight="1" thickBot="1" x14ac:dyDescent="0.4">
      <c r="A318" s="30"/>
    </row>
    <row r="319" spans="1:1" ht="15" customHeight="1" thickBot="1" x14ac:dyDescent="0.4">
      <c r="A319" s="30"/>
    </row>
    <row r="320" spans="1:1" ht="15" customHeight="1" thickBot="1" x14ac:dyDescent="0.4">
      <c r="A320" s="30"/>
    </row>
    <row r="321" spans="1:1" ht="15" customHeight="1" thickBot="1" x14ac:dyDescent="0.4">
      <c r="A321" s="30"/>
    </row>
    <row r="322" spans="1:1" ht="15" customHeight="1" thickBot="1" x14ac:dyDescent="0.4">
      <c r="A322" s="30"/>
    </row>
    <row r="323" spans="1:1" ht="15" customHeight="1" thickBot="1" x14ac:dyDescent="0.4">
      <c r="A323" s="30"/>
    </row>
    <row r="324" spans="1:1" ht="15" customHeight="1" thickBot="1" x14ac:dyDescent="0.4">
      <c r="A324" s="30"/>
    </row>
    <row r="325" spans="1:1" ht="15" customHeight="1" thickBot="1" x14ac:dyDescent="0.4">
      <c r="A325" s="30"/>
    </row>
    <row r="326" spans="1:1" ht="15" customHeight="1" thickBot="1" x14ac:dyDescent="0.4">
      <c r="A326" s="30"/>
    </row>
    <row r="327" spans="1:1" ht="15" customHeight="1" thickBot="1" x14ac:dyDescent="0.4">
      <c r="A327" s="30"/>
    </row>
    <row r="328" spans="1:1" ht="15" customHeight="1" thickBot="1" x14ac:dyDescent="0.4">
      <c r="A328" s="30"/>
    </row>
    <row r="329" spans="1:1" ht="15" customHeight="1" thickBot="1" x14ac:dyDescent="0.4">
      <c r="A329" s="30"/>
    </row>
    <row r="330" spans="1:1" ht="15" customHeight="1" thickBot="1" x14ac:dyDescent="0.4">
      <c r="A330" s="30"/>
    </row>
    <row r="331" spans="1:1" ht="15" customHeight="1" thickBot="1" x14ac:dyDescent="0.4">
      <c r="A331" s="30"/>
    </row>
    <row r="332" spans="1:1" ht="15" customHeight="1" thickBot="1" x14ac:dyDescent="0.4">
      <c r="A332" s="30"/>
    </row>
    <row r="333" spans="1:1" ht="15" customHeight="1" thickBot="1" x14ac:dyDescent="0.4">
      <c r="A333" s="30"/>
    </row>
    <row r="334" spans="1:1" ht="15" customHeight="1" thickBot="1" x14ac:dyDescent="0.4">
      <c r="A334" s="30"/>
    </row>
    <row r="335" spans="1:1" ht="15" customHeight="1" thickBot="1" x14ac:dyDescent="0.4">
      <c r="A335" s="30"/>
    </row>
    <row r="336" spans="1:1" ht="15" customHeight="1" thickBot="1" x14ac:dyDescent="0.4">
      <c r="A336" s="30"/>
    </row>
    <row r="337" spans="1:1" ht="15" customHeight="1" thickBot="1" x14ac:dyDescent="0.4">
      <c r="A337" s="30"/>
    </row>
    <row r="338" spans="1:1" ht="15" customHeight="1" thickBot="1" x14ac:dyDescent="0.4">
      <c r="A338" s="30"/>
    </row>
    <row r="339" spans="1:1" ht="15" customHeight="1" thickBot="1" x14ac:dyDescent="0.4">
      <c r="A339" s="30"/>
    </row>
    <row r="340" spans="1:1" ht="15" customHeight="1" thickBot="1" x14ac:dyDescent="0.4">
      <c r="A340" s="30"/>
    </row>
    <row r="341" spans="1:1" ht="15" customHeight="1" thickBot="1" x14ac:dyDescent="0.4">
      <c r="A341" s="30"/>
    </row>
    <row r="342" spans="1:1" ht="15" customHeight="1" thickBot="1" x14ac:dyDescent="0.4">
      <c r="A342" s="30"/>
    </row>
    <row r="343" spans="1:1" ht="15" customHeight="1" thickBot="1" x14ac:dyDescent="0.4">
      <c r="A343" s="30"/>
    </row>
    <row r="344" spans="1:1" ht="15" customHeight="1" thickBot="1" x14ac:dyDescent="0.4">
      <c r="A344" s="30"/>
    </row>
    <row r="345" spans="1:1" ht="15" customHeight="1" thickBot="1" x14ac:dyDescent="0.4">
      <c r="A345" s="30"/>
    </row>
    <row r="346" spans="1:1" ht="15" customHeight="1" thickBot="1" x14ac:dyDescent="0.4">
      <c r="A346" s="30"/>
    </row>
    <row r="347" spans="1:1" ht="15" customHeight="1" thickBot="1" x14ac:dyDescent="0.4">
      <c r="A347" s="30"/>
    </row>
    <row r="348" spans="1:1" ht="15" customHeight="1" thickBot="1" x14ac:dyDescent="0.4">
      <c r="A348" s="30"/>
    </row>
    <row r="349" spans="1:1" ht="15" customHeight="1" thickBot="1" x14ac:dyDescent="0.4">
      <c r="A349" s="30"/>
    </row>
    <row r="350" spans="1:1" ht="15" customHeight="1" thickBot="1" x14ac:dyDescent="0.4">
      <c r="A350" s="30"/>
    </row>
    <row r="351" spans="1:1" ht="15" customHeight="1" thickBot="1" x14ac:dyDescent="0.4">
      <c r="A351" s="30"/>
    </row>
    <row r="352" spans="1:1" ht="15" customHeight="1" thickBot="1" x14ac:dyDescent="0.4">
      <c r="A352" s="30"/>
    </row>
    <row r="353" spans="1:1" ht="15" customHeight="1" thickBot="1" x14ac:dyDescent="0.4">
      <c r="A353" s="30"/>
    </row>
    <row r="354" spans="1:1" ht="15" customHeight="1" thickBot="1" x14ac:dyDescent="0.4">
      <c r="A354" s="30"/>
    </row>
    <row r="355" spans="1:1" ht="15" customHeight="1" thickBot="1" x14ac:dyDescent="0.4">
      <c r="A355" s="30"/>
    </row>
    <row r="356" spans="1:1" ht="15" customHeight="1" thickBot="1" x14ac:dyDescent="0.4">
      <c r="A356" s="30"/>
    </row>
    <row r="357" spans="1:1" ht="15" customHeight="1" thickBot="1" x14ac:dyDescent="0.4">
      <c r="A357" s="30"/>
    </row>
    <row r="358" spans="1:1" ht="15" customHeight="1" thickBot="1" x14ac:dyDescent="0.4">
      <c r="A358" s="30"/>
    </row>
    <row r="359" spans="1:1" ht="15" customHeight="1" thickBot="1" x14ac:dyDescent="0.4">
      <c r="A359" s="30"/>
    </row>
    <row r="360" spans="1:1" ht="15" customHeight="1" thickBot="1" x14ac:dyDescent="0.4">
      <c r="A360" s="30"/>
    </row>
    <row r="361" spans="1:1" ht="15" customHeight="1" thickBot="1" x14ac:dyDescent="0.4">
      <c r="A361" s="30"/>
    </row>
    <row r="362" spans="1:1" ht="15" customHeight="1" thickBot="1" x14ac:dyDescent="0.4">
      <c r="A362" s="30"/>
    </row>
    <row r="363" spans="1:1" ht="15" customHeight="1" thickBot="1" x14ac:dyDescent="0.4">
      <c r="A363" s="30"/>
    </row>
    <row r="364" spans="1:1" ht="15" customHeight="1" thickBot="1" x14ac:dyDescent="0.4">
      <c r="A364" s="30"/>
    </row>
    <row r="365" spans="1:1" ht="15" customHeight="1" thickBot="1" x14ac:dyDescent="0.4">
      <c r="A365" s="30"/>
    </row>
    <row r="366" spans="1:1" ht="15" customHeight="1" thickBot="1" x14ac:dyDescent="0.4">
      <c r="A366" s="30"/>
    </row>
    <row r="367" spans="1:1" ht="15" customHeight="1" thickBot="1" x14ac:dyDescent="0.4">
      <c r="A367" s="30"/>
    </row>
    <row r="368" spans="1:1" ht="15" customHeight="1" thickBot="1" x14ac:dyDescent="0.4">
      <c r="A368" s="30"/>
    </row>
    <row r="369" spans="1:1" ht="15" customHeight="1" thickBot="1" x14ac:dyDescent="0.4">
      <c r="A369" s="30"/>
    </row>
    <row r="370" spans="1:1" ht="15" customHeight="1" thickBot="1" x14ac:dyDescent="0.4">
      <c r="A370" s="30"/>
    </row>
    <row r="371" spans="1:1" ht="15" customHeight="1" thickBot="1" x14ac:dyDescent="0.4">
      <c r="A371" s="30"/>
    </row>
    <row r="372" spans="1:1" ht="15" customHeight="1" thickBot="1" x14ac:dyDescent="0.4">
      <c r="A372" s="30"/>
    </row>
    <row r="373" spans="1:1" ht="15" customHeight="1" thickBot="1" x14ac:dyDescent="0.4">
      <c r="A373" s="30"/>
    </row>
    <row r="374" spans="1:1" ht="15" customHeight="1" thickBot="1" x14ac:dyDescent="0.4">
      <c r="A374" s="30"/>
    </row>
    <row r="375" spans="1:1" ht="15" customHeight="1" thickBot="1" x14ac:dyDescent="0.4">
      <c r="A375" s="30"/>
    </row>
    <row r="376" spans="1:1" ht="15" customHeight="1" thickBot="1" x14ac:dyDescent="0.4">
      <c r="A376" s="30"/>
    </row>
    <row r="377" spans="1:1" ht="15" customHeight="1" thickBot="1" x14ac:dyDescent="0.4">
      <c r="A377" s="30"/>
    </row>
    <row r="378" spans="1:1" ht="15" customHeight="1" thickBot="1" x14ac:dyDescent="0.4">
      <c r="A378" s="30"/>
    </row>
    <row r="379" spans="1:1" ht="15" customHeight="1" thickBot="1" x14ac:dyDescent="0.4">
      <c r="A379" s="30"/>
    </row>
    <row r="380" spans="1:1" ht="15" customHeight="1" thickBot="1" x14ac:dyDescent="0.4">
      <c r="A380" s="30"/>
    </row>
    <row r="381" spans="1:1" ht="15" customHeight="1" thickBot="1" x14ac:dyDescent="0.4">
      <c r="A381" s="30"/>
    </row>
    <row r="382" spans="1:1" ht="15" customHeight="1" thickBot="1" x14ac:dyDescent="0.4">
      <c r="A382" s="30"/>
    </row>
    <row r="383" spans="1:1" ht="15" customHeight="1" thickBot="1" x14ac:dyDescent="0.4">
      <c r="A383" s="30"/>
    </row>
    <row r="384" spans="1:1" ht="15" customHeight="1" thickBot="1" x14ac:dyDescent="0.4">
      <c r="A384" s="30"/>
    </row>
    <row r="385" spans="1:1" ht="15" customHeight="1" thickBot="1" x14ac:dyDescent="0.4">
      <c r="A385" s="30"/>
    </row>
    <row r="386" spans="1:1" ht="15" customHeight="1" thickBot="1" x14ac:dyDescent="0.4">
      <c r="A386" s="30"/>
    </row>
    <row r="387" spans="1:1" ht="15" customHeight="1" thickBot="1" x14ac:dyDescent="0.4">
      <c r="A387" s="30"/>
    </row>
    <row r="388" spans="1:1" ht="15" customHeight="1" thickBot="1" x14ac:dyDescent="0.4">
      <c r="A388" s="30"/>
    </row>
    <row r="389" spans="1:1" ht="15" customHeight="1" thickBot="1" x14ac:dyDescent="0.4">
      <c r="A389" s="30"/>
    </row>
    <row r="390" spans="1:1" ht="15" customHeight="1" thickBot="1" x14ac:dyDescent="0.4">
      <c r="A390" s="30"/>
    </row>
    <row r="391" spans="1:1" ht="15" customHeight="1" thickBot="1" x14ac:dyDescent="0.4">
      <c r="A391" s="30"/>
    </row>
    <row r="392" spans="1:1" ht="15" customHeight="1" thickBot="1" x14ac:dyDescent="0.4">
      <c r="A392" s="30"/>
    </row>
    <row r="393" spans="1:1" ht="15" customHeight="1" thickBot="1" x14ac:dyDescent="0.4">
      <c r="A393" s="30"/>
    </row>
    <row r="394" spans="1:1" ht="15" customHeight="1" thickBot="1" x14ac:dyDescent="0.4">
      <c r="A394" s="30"/>
    </row>
    <row r="395" spans="1:1" ht="15" customHeight="1" thickBot="1" x14ac:dyDescent="0.4">
      <c r="A395" s="30"/>
    </row>
    <row r="396" spans="1:1" ht="15" customHeight="1" thickBot="1" x14ac:dyDescent="0.4">
      <c r="A396" s="30"/>
    </row>
    <row r="397" spans="1:1" ht="15" customHeight="1" thickBot="1" x14ac:dyDescent="0.4">
      <c r="A397" s="30"/>
    </row>
    <row r="398" spans="1:1" ht="15" customHeight="1" thickBot="1" x14ac:dyDescent="0.4">
      <c r="A398" s="30"/>
    </row>
    <row r="399" spans="1:1" ht="15" customHeight="1" thickBot="1" x14ac:dyDescent="0.4">
      <c r="A399" s="30"/>
    </row>
    <row r="400" spans="1:1" ht="15" customHeight="1" thickBot="1" x14ac:dyDescent="0.4">
      <c r="A400" s="30"/>
    </row>
    <row r="401" spans="1:1" ht="15" customHeight="1" thickBot="1" x14ac:dyDescent="0.4">
      <c r="A401" s="30"/>
    </row>
    <row r="402" spans="1:1" ht="15" customHeight="1" thickBot="1" x14ac:dyDescent="0.4">
      <c r="A402" s="30"/>
    </row>
    <row r="403" spans="1:1" ht="15" customHeight="1" thickBot="1" x14ac:dyDescent="0.4">
      <c r="A403" s="30"/>
    </row>
    <row r="404" spans="1:1" ht="15" customHeight="1" thickBot="1" x14ac:dyDescent="0.4">
      <c r="A404" s="30"/>
    </row>
    <row r="405" spans="1:1" ht="15" customHeight="1" thickBot="1" x14ac:dyDescent="0.4">
      <c r="A405" s="30"/>
    </row>
    <row r="406" spans="1:1" ht="15" customHeight="1" thickBot="1" x14ac:dyDescent="0.4">
      <c r="A406" s="30"/>
    </row>
    <row r="407" spans="1:1" ht="15" customHeight="1" thickBot="1" x14ac:dyDescent="0.4">
      <c r="A407" s="30"/>
    </row>
    <row r="408" spans="1:1" ht="15" customHeight="1" thickBot="1" x14ac:dyDescent="0.4">
      <c r="A408" s="30"/>
    </row>
    <row r="409" spans="1:1" ht="15" customHeight="1" thickBot="1" x14ac:dyDescent="0.4">
      <c r="A409" s="30"/>
    </row>
    <row r="410" spans="1:1" ht="15" customHeight="1" thickBot="1" x14ac:dyDescent="0.4">
      <c r="A410" s="30"/>
    </row>
    <row r="411" spans="1:1" ht="15" customHeight="1" thickBot="1" x14ac:dyDescent="0.4">
      <c r="A411" s="30"/>
    </row>
    <row r="412" spans="1:1" ht="15" customHeight="1" thickBot="1" x14ac:dyDescent="0.4">
      <c r="A412" s="30"/>
    </row>
    <row r="413" spans="1:1" ht="15" customHeight="1" thickBot="1" x14ac:dyDescent="0.4">
      <c r="A413" s="30"/>
    </row>
    <row r="414" spans="1:1" ht="15" customHeight="1" thickBot="1" x14ac:dyDescent="0.4">
      <c r="A414" s="30"/>
    </row>
    <row r="415" spans="1:1" ht="15" customHeight="1" thickBot="1" x14ac:dyDescent="0.4">
      <c r="A415" s="30"/>
    </row>
    <row r="416" spans="1:1" ht="15" customHeight="1" thickBot="1" x14ac:dyDescent="0.4">
      <c r="A416" s="30"/>
    </row>
    <row r="417" spans="1:1" ht="15" customHeight="1" thickBot="1" x14ac:dyDescent="0.4">
      <c r="A417" s="30"/>
    </row>
    <row r="418" spans="1:1" ht="15" customHeight="1" thickBot="1" x14ac:dyDescent="0.4">
      <c r="A418" s="30"/>
    </row>
    <row r="419" spans="1:1" ht="15" customHeight="1" thickBot="1" x14ac:dyDescent="0.4">
      <c r="A419" s="30"/>
    </row>
    <row r="420" spans="1:1" ht="15" customHeight="1" thickBot="1" x14ac:dyDescent="0.4">
      <c r="A420" s="30"/>
    </row>
    <row r="421" spans="1:1" ht="15" customHeight="1" thickBot="1" x14ac:dyDescent="0.4">
      <c r="A421" s="30"/>
    </row>
    <row r="422" spans="1:1" ht="15" customHeight="1" thickBot="1" x14ac:dyDescent="0.4">
      <c r="A422" s="30"/>
    </row>
    <row r="423" spans="1:1" ht="15" customHeight="1" thickBot="1" x14ac:dyDescent="0.4">
      <c r="A423" s="30"/>
    </row>
    <row r="424" spans="1:1" ht="15" customHeight="1" thickBot="1" x14ac:dyDescent="0.4">
      <c r="A424" s="30"/>
    </row>
    <row r="425" spans="1:1" ht="15" customHeight="1" thickBot="1" x14ac:dyDescent="0.4">
      <c r="A425" s="30"/>
    </row>
    <row r="426" spans="1:1" ht="15" customHeight="1" thickBot="1" x14ac:dyDescent="0.4">
      <c r="A426" s="30"/>
    </row>
    <row r="427" spans="1:1" ht="15" customHeight="1" thickBot="1" x14ac:dyDescent="0.4">
      <c r="A427" s="30"/>
    </row>
    <row r="428" spans="1:1" ht="15" customHeight="1" thickBot="1" x14ac:dyDescent="0.4">
      <c r="A428" s="30"/>
    </row>
    <row r="429" spans="1:1" ht="15" customHeight="1" thickBot="1" x14ac:dyDescent="0.4">
      <c r="A429" s="30"/>
    </row>
    <row r="430" spans="1:1" ht="15" customHeight="1" thickBot="1" x14ac:dyDescent="0.4">
      <c r="A430" s="30"/>
    </row>
    <row r="431" spans="1:1" ht="15" customHeight="1" thickBot="1" x14ac:dyDescent="0.4">
      <c r="A431" s="30"/>
    </row>
    <row r="432" spans="1:1" ht="15" customHeight="1" thickBot="1" x14ac:dyDescent="0.4">
      <c r="A432" s="30"/>
    </row>
    <row r="433" spans="1:1" ht="15" customHeight="1" thickBot="1" x14ac:dyDescent="0.4">
      <c r="A433" s="30"/>
    </row>
    <row r="434" spans="1:1" ht="15" customHeight="1" thickBot="1" x14ac:dyDescent="0.4">
      <c r="A434" s="30"/>
    </row>
    <row r="435" spans="1:1" ht="15" customHeight="1" thickBot="1" x14ac:dyDescent="0.4">
      <c r="A435" s="30"/>
    </row>
    <row r="436" spans="1:1" ht="15" customHeight="1" thickBot="1" x14ac:dyDescent="0.4">
      <c r="A436" s="30"/>
    </row>
    <row r="437" spans="1:1" ht="15" customHeight="1" thickBot="1" x14ac:dyDescent="0.4">
      <c r="A437" s="30"/>
    </row>
    <row r="438" spans="1:1" ht="15" customHeight="1" thickBot="1" x14ac:dyDescent="0.4">
      <c r="A438" s="30"/>
    </row>
    <row r="439" spans="1:1" ht="15" customHeight="1" thickBot="1" x14ac:dyDescent="0.4">
      <c r="A439" s="30"/>
    </row>
    <row r="440" spans="1:1" ht="15" customHeight="1" thickBot="1" x14ac:dyDescent="0.4">
      <c r="A440" s="30"/>
    </row>
    <row r="441" spans="1:1" ht="15" customHeight="1" thickBot="1" x14ac:dyDescent="0.4">
      <c r="A441" s="30"/>
    </row>
    <row r="442" spans="1:1" ht="15" customHeight="1" thickBot="1" x14ac:dyDescent="0.4">
      <c r="A442" s="30"/>
    </row>
    <row r="443" spans="1:1" ht="15" customHeight="1" thickBot="1" x14ac:dyDescent="0.4">
      <c r="A443" s="30"/>
    </row>
    <row r="444" spans="1:1" ht="15" customHeight="1" thickBot="1" x14ac:dyDescent="0.4">
      <c r="A444" s="30"/>
    </row>
    <row r="445" spans="1:1" ht="15" customHeight="1" thickBot="1" x14ac:dyDescent="0.4">
      <c r="A445" s="30"/>
    </row>
    <row r="446" spans="1:1" ht="15" customHeight="1" thickBot="1" x14ac:dyDescent="0.4">
      <c r="A446" s="30"/>
    </row>
    <row r="447" spans="1:1" ht="15" customHeight="1" thickBot="1" x14ac:dyDescent="0.4">
      <c r="A447" s="30"/>
    </row>
    <row r="448" spans="1:1" ht="15" customHeight="1" thickBot="1" x14ac:dyDescent="0.4">
      <c r="A448" s="30"/>
    </row>
    <row r="449" spans="1:1" ht="15" customHeight="1" thickBot="1" x14ac:dyDescent="0.4">
      <c r="A449" s="30"/>
    </row>
    <row r="450" spans="1:1" ht="15" customHeight="1" thickBot="1" x14ac:dyDescent="0.4">
      <c r="A450" s="30"/>
    </row>
    <row r="451" spans="1:1" ht="15" customHeight="1" thickBot="1" x14ac:dyDescent="0.4">
      <c r="A451" s="30"/>
    </row>
    <row r="452" spans="1:1" ht="15" customHeight="1" thickBot="1" x14ac:dyDescent="0.4">
      <c r="A452" s="30"/>
    </row>
    <row r="453" spans="1:1" ht="15" customHeight="1" thickBot="1" x14ac:dyDescent="0.4">
      <c r="A453" s="30"/>
    </row>
    <row r="454" spans="1:1" ht="15" customHeight="1" thickBot="1" x14ac:dyDescent="0.4">
      <c r="A454" s="30"/>
    </row>
    <row r="455" spans="1:1" ht="15" customHeight="1" thickBot="1" x14ac:dyDescent="0.4">
      <c r="A455" s="30"/>
    </row>
    <row r="456" spans="1:1" ht="15" customHeight="1" thickBot="1" x14ac:dyDescent="0.4">
      <c r="A456" s="30"/>
    </row>
    <row r="457" spans="1:1" ht="15" customHeight="1" thickBot="1" x14ac:dyDescent="0.4">
      <c r="A457" s="30"/>
    </row>
    <row r="458" spans="1:1" ht="15" customHeight="1" thickBot="1" x14ac:dyDescent="0.4">
      <c r="A458" s="30"/>
    </row>
    <row r="459" spans="1:1" ht="15" customHeight="1" thickBot="1" x14ac:dyDescent="0.4">
      <c r="A459" s="30"/>
    </row>
    <row r="460" spans="1:1" ht="15" customHeight="1" thickBot="1" x14ac:dyDescent="0.4">
      <c r="A460" s="30"/>
    </row>
    <row r="461" spans="1:1" ht="15" customHeight="1" thickBot="1" x14ac:dyDescent="0.4">
      <c r="A461" s="30"/>
    </row>
    <row r="462" spans="1:1" ht="15" customHeight="1" thickBot="1" x14ac:dyDescent="0.4">
      <c r="A462" s="30"/>
    </row>
    <row r="463" spans="1:1" ht="15" customHeight="1" thickBot="1" x14ac:dyDescent="0.4">
      <c r="A463" s="30"/>
    </row>
    <row r="464" spans="1:1" ht="15" customHeight="1" thickBot="1" x14ac:dyDescent="0.4">
      <c r="A464" s="30"/>
    </row>
    <row r="465" spans="1:1" ht="15" customHeight="1" thickBot="1" x14ac:dyDescent="0.4">
      <c r="A465" s="30"/>
    </row>
    <row r="466" spans="1:1" ht="15" customHeight="1" thickBot="1" x14ac:dyDescent="0.4">
      <c r="A466" s="30"/>
    </row>
    <row r="467" spans="1:1" ht="15" customHeight="1" thickBot="1" x14ac:dyDescent="0.4">
      <c r="A467" s="30"/>
    </row>
    <row r="468" spans="1:1" ht="15" customHeight="1" thickBot="1" x14ac:dyDescent="0.4">
      <c r="A468" s="30"/>
    </row>
    <row r="469" spans="1:1" ht="15" customHeight="1" thickBot="1" x14ac:dyDescent="0.4">
      <c r="A469" s="30"/>
    </row>
    <row r="470" spans="1:1" ht="15" customHeight="1" thickBot="1" x14ac:dyDescent="0.4">
      <c r="A470" s="30"/>
    </row>
    <row r="471" spans="1:1" ht="15" customHeight="1" thickBot="1" x14ac:dyDescent="0.4">
      <c r="A471" s="30"/>
    </row>
    <row r="472" spans="1:1" ht="15" customHeight="1" thickBot="1" x14ac:dyDescent="0.4">
      <c r="A472" s="30"/>
    </row>
    <row r="473" spans="1:1" ht="15" customHeight="1" thickBot="1" x14ac:dyDescent="0.4">
      <c r="A473" s="30"/>
    </row>
    <row r="474" spans="1:1" ht="15" customHeight="1" thickBot="1" x14ac:dyDescent="0.4">
      <c r="A474" s="30"/>
    </row>
    <row r="475" spans="1:1" ht="15" customHeight="1" thickBot="1" x14ac:dyDescent="0.4">
      <c r="A475" s="30"/>
    </row>
    <row r="476" spans="1:1" ht="15" customHeight="1" thickBot="1" x14ac:dyDescent="0.4">
      <c r="A476" s="30"/>
    </row>
    <row r="477" spans="1:1" ht="15" customHeight="1" thickBot="1" x14ac:dyDescent="0.4">
      <c r="A477" s="30"/>
    </row>
    <row r="478" spans="1:1" ht="15" customHeight="1" thickBot="1" x14ac:dyDescent="0.4">
      <c r="A478" s="30"/>
    </row>
    <row r="479" spans="1:1" ht="15" customHeight="1" thickBot="1" x14ac:dyDescent="0.4">
      <c r="A479" s="30"/>
    </row>
    <row r="480" spans="1:1" ht="15" customHeight="1" thickBot="1" x14ac:dyDescent="0.4">
      <c r="A480" s="30"/>
    </row>
    <row r="481" spans="1:1" ht="15" customHeight="1" thickBot="1" x14ac:dyDescent="0.4">
      <c r="A481" s="30"/>
    </row>
    <row r="482" spans="1:1" ht="15" customHeight="1" thickBot="1" x14ac:dyDescent="0.4">
      <c r="A482" s="30"/>
    </row>
    <row r="483" spans="1:1" ht="15" customHeight="1" thickBot="1" x14ac:dyDescent="0.4">
      <c r="A483" s="30"/>
    </row>
    <row r="484" spans="1:1" ht="15" customHeight="1" thickBot="1" x14ac:dyDescent="0.4">
      <c r="A484" s="30"/>
    </row>
    <row r="485" spans="1:1" ht="15" customHeight="1" thickBot="1" x14ac:dyDescent="0.4">
      <c r="A485" s="30"/>
    </row>
    <row r="486" spans="1:1" ht="15" customHeight="1" thickBot="1" x14ac:dyDescent="0.4">
      <c r="A486" s="30"/>
    </row>
    <row r="487" spans="1:1" ht="15" customHeight="1" thickBot="1" x14ac:dyDescent="0.4">
      <c r="A487" s="30"/>
    </row>
    <row r="488" spans="1:1" ht="15" customHeight="1" thickBot="1" x14ac:dyDescent="0.4">
      <c r="A488" s="30"/>
    </row>
    <row r="489" spans="1:1" ht="15" customHeight="1" thickBot="1" x14ac:dyDescent="0.4">
      <c r="A489" s="30"/>
    </row>
    <row r="490" spans="1:1" ht="15" customHeight="1" thickBot="1" x14ac:dyDescent="0.4">
      <c r="A490" s="30"/>
    </row>
    <row r="491" spans="1:1" ht="15" customHeight="1" thickBot="1" x14ac:dyDescent="0.4">
      <c r="A491" s="30"/>
    </row>
    <row r="492" spans="1:1" ht="15" customHeight="1" thickBot="1" x14ac:dyDescent="0.4">
      <c r="A492" s="30"/>
    </row>
    <row r="493" spans="1:1" ht="15" customHeight="1" thickBot="1" x14ac:dyDescent="0.4">
      <c r="A493" s="30"/>
    </row>
    <row r="494" spans="1:1" ht="15" customHeight="1" thickBot="1" x14ac:dyDescent="0.4">
      <c r="A494" s="30"/>
    </row>
    <row r="495" spans="1:1" ht="15" customHeight="1" thickBot="1" x14ac:dyDescent="0.4">
      <c r="A495" s="30"/>
    </row>
    <row r="496" spans="1:1" ht="15" customHeight="1" thickBot="1" x14ac:dyDescent="0.4">
      <c r="A496" s="30"/>
    </row>
    <row r="497" spans="1:1" ht="15" customHeight="1" thickBot="1" x14ac:dyDescent="0.4">
      <c r="A497" s="30"/>
    </row>
    <row r="498" spans="1:1" ht="15" customHeight="1" thickBot="1" x14ac:dyDescent="0.4">
      <c r="A498" s="30"/>
    </row>
    <row r="499" spans="1:1" ht="15" customHeight="1" thickBot="1" x14ac:dyDescent="0.4">
      <c r="A499" s="30"/>
    </row>
    <row r="500" spans="1:1" ht="15" customHeight="1" thickBot="1" x14ac:dyDescent="0.4">
      <c r="A500" s="30"/>
    </row>
    <row r="501" spans="1:1" ht="15" customHeight="1" thickBot="1" x14ac:dyDescent="0.4">
      <c r="A501" s="30"/>
    </row>
    <row r="502" spans="1:1" ht="15" customHeight="1" thickBot="1" x14ac:dyDescent="0.4">
      <c r="A502" s="30"/>
    </row>
    <row r="503" spans="1:1" ht="15" customHeight="1" thickBot="1" x14ac:dyDescent="0.4">
      <c r="A503" s="30"/>
    </row>
    <row r="504" spans="1:1" ht="15" customHeight="1" thickBot="1" x14ac:dyDescent="0.4">
      <c r="A504" s="30"/>
    </row>
    <row r="505" spans="1:1" ht="15" customHeight="1" thickBot="1" x14ac:dyDescent="0.4">
      <c r="A505" s="30"/>
    </row>
    <row r="506" spans="1:1" ht="15" customHeight="1" thickBot="1" x14ac:dyDescent="0.4">
      <c r="A506" s="30"/>
    </row>
    <row r="507" spans="1:1" ht="15" customHeight="1" thickBot="1" x14ac:dyDescent="0.4">
      <c r="A507" s="30"/>
    </row>
    <row r="508" spans="1:1" ht="15" customHeight="1" thickBot="1" x14ac:dyDescent="0.4">
      <c r="A508" s="30"/>
    </row>
    <row r="509" spans="1:1" ht="15" customHeight="1" thickBot="1" x14ac:dyDescent="0.4">
      <c r="A509" s="30"/>
    </row>
    <row r="510" spans="1:1" ht="15" customHeight="1" thickBot="1" x14ac:dyDescent="0.4">
      <c r="A510" s="30"/>
    </row>
    <row r="511" spans="1:1" ht="15" customHeight="1" thickBot="1" x14ac:dyDescent="0.4">
      <c r="A511" s="30"/>
    </row>
    <row r="512" spans="1:1" ht="15" customHeight="1" thickBot="1" x14ac:dyDescent="0.4">
      <c r="A512" s="30"/>
    </row>
    <row r="513" spans="1:1" ht="15" customHeight="1" thickBot="1" x14ac:dyDescent="0.4">
      <c r="A513" s="30"/>
    </row>
    <row r="514" spans="1:1" ht="15" customHeight="1" thickBot="1" x14ac:dyDescent="0.4">
      <c r="A514" s="30"/>
    </row>
    <row r="515" spans="1:1" ht="15" customHeight="1" thickBot="1" x14ac:dyDescent="0.4">
      <c r="A515" s="30"/>
    </row>
    <row r="516" spans="1:1" ht="15" customHeight="1" thickBot="1" x14ac:dyDescent="0.4">
      <c r="A516" s="30"/>
    </row>
    <row r="517" spans="1:1" ht="15" customHeight="1" thickBot="1" x14ac:dyDescent="0.4">
      <c r="A517" s="30"/>
    </row>
    <row r="518" spans="1:1" ht="15" customHeight="1" thickBot="1" x14ac:dyDescent="0.4">
      <c r="A518" s="30"/>
    </row>
    <row r="519" spans="1:1" ht="15" customHeight="1" thickBot="1" x14ac:dyDescent="0.4">
      <c r="A519" s="30"/>
    </row>
    <row r="520" spans="1:1" ht="15" customHeight="1" thickBot="1" x14ac:dyDescent="0.4">
      <c r="A520" s="30"/>
    </row>
    <row r="521" spans="1:1" ht="15" customHeight="1" thickBot="1" x14ac:dyDescent="0.4">
      <c r="A521" s="30"/>
    </row>
    <row r="522" spans="1:1" ht="15" customHeight="1" thickBot="1" x14ac:dyDescent="0.4">
      <c r="A522" s="30"/>
    </row>
    <row r="523" spans="1:1" ht="15" customHeight="1" thickBot="1" x14ac:dyDescent="0.4">
      <c r="A523" s="30"/>
    </row>
    <row r="524" spans="1:1" ht="15" customHeight="1" thickBot="1" x14ac:dyDescent="0.4">
      <c r="A524" s="30"/>
    </row>
    <row r="525" spans="1:1" ht="15" customHeight="1" thickBot="1" x14ac:dyDescent="0.4">
      <c r="A525" s="30"/>
    </row>
    <row r="526" spans="1:1" ht="15" customHeight="1" thickBot="1" x14ac:dyDescent="0.4">
      <c r="A526" s="30"/>
    </row>
    <row r="527" spans="1:1" ht="15" customHeight="1" thickBot="1" x14ac:dyDescent="0.4">
      <c r="A527" s="30"/>
    </row>
    <row r="528" spans="1:1" ht="15" customHeight="1" thickBot="1" x14ac:dyDescent="0.4">
      <c r="A528" s="30"/>
    </row>
    <row r="529" spans="1:1" ht="15" customHeight="1" thickBot="1" x14ac:dyDescent="0.4">
      <c r="A529" s="30"/>
    </row>
    <row r="530" spans="1:1" ht="15" customHeight="1" thickBot="1" x14ac:dyDescent="0.4">
      <c r="A530" s="30"/>
    </row>
    <row r="531" spans="1:1" ht="15" customHeight="1" thickBot="1" x14ac:dyDescent="0.4">
      <c r="A531" s="30"/>
    </row>
    <row r="532" spans="1:1" ht="15" customHeight="1" thickBot="1" x14ac:dyDescent="0.4">
      <c r="A532" s="30"/>
    </row>
    <row r="533" spans="1:1" ht="15" customHeight="1" thickBot="1" x14ac:dyDescent="0.4">
      <c r="A533" s="30"/>
    </row>
    <row r="534" spans="1:1" ht="15" customHeight="1" thickBot="1" x14ac:dyDescent="0.4">
      <c r="A534" s="30"/>
    </row>
    <row r="535" spans="1:1" ht="15" customHeight="1" thickBot="1" x14ac:dyDescent="0.4">
      <c r="A535" s="30"/>
    </row>
    <row r="536" spans="1:1" ht="15" customHeight="1" thickBot="1" x14ac:dyDescent="0.4">
      <c r="A536" s="30"/>
    </row>
    <row r="537" spans="1:1" ht="15" customHeight="1" thickBot="1" x14ac:dyDescent="0.4">
      <c r="A537" s="30"/>
    </row>
    <row r="538" spans="1:1" ht="15" customHeight="1" thickBot="1" x14ac:dyDescent="0.4">
      <c r="A538" s="30"/>
    </row>
    <row r="539" spans="1:1" ht="15" customHeight="1" thickBot="1" x14ac:dyDescent="0.4">
      <c r="A539" s="30"/>
    </row>
    <row r="540" spans="1:1" ht="15" customHeight="1" thickBot="1" x14ac:dyDescent="0.4">
      <c r="A540" s="30"/>
    </row>
    <row r="541" spans="1:1" ht="15" customHeight="1" thickBot="1" x14ac:dyDescent="0.4">
      <c r="A541" s="30"/>
    </row>
    <row r="542" spans="1:1" ht="15" customHeight="1" thickBot="1" x14ac:dyDescent="0.4">
      <c r="A542" s="30"/>
    </row>
    <row r="543" spans="1:1" ht="15" customHeight="1" thickBot="1" x14ac:dyDescent="0.4">
      <c r="A543" s="30"/>
    </row>
    <row r="544" spans="1:1" ht="15" customHeight="1" thickBot="1" x14ac:dyDescent="0.4">
      <c r="A544" s="30"/>
    </row>
    <row r="545" spans="1:1" ht="15" customHeight="1" thickBot="1" x14ac:dyDescent="0.4">
      <c r="A545" s="30"/>
    </row>
    <row r="546" spans="1:1" ht="15" customHeight="1" thickBot="1" x14ac:dyDescent="0.4">
      <c r="A546" s="30"/>
    </row>
    <row r="547" spans="1:1" ht="15" customHeight="1" thickBot="1" x14ac:dyDescent="0.4">
      <c r="A547" s="30"/>
    </row>
    <row r="548" spans="1:1" ht="15" customHeight="1" thickBot="1" x14ac:dyDescent="0.4">
      <c r="A548" s="30"/>
    </row>
    <row r="549" spans="1:1" ht="15" customHeight="1" thickBot="1" x14ac:dyDescent="0.4">
      <c r="A549" s="30"/>
    </row>
    <row r="550" spans="1:1" ht="15" customHeight="1" thickBot="1" x14ac:dyDescent="0.4">
      <c r="A550" s="30"/>
    </row>
    <row r="551" spans="1:1" ht="15" customHeight="1" thickBot="1" x14ac:dyDescent="0.4">
      <c r="A551" s="30"/>
    </row>
    <row r="552" spans="1:1" ht="15" customHeight="1" thickBot="1" x14ac:dyDescent="0.4">
      <c r="A552" s="30"/>
    </row>
    <row r="553" spans="1:1" ht="15" customHeight="1" thickBot="1" x14ac:dyDescent="0.4">
      <c r="A553" s="30"/>
    </row>
    <row r="554" spans="1:1" ht="15" customHeight="1" thickBot="1" x14ac:dyDescent="0.4">
      <c r="A554" s="30"/>
    </row>
    <row r="555" spans="1:1" ht="15" customHeight="1" thickBot="1" x14ac:dyDescent="0.4">
      <c r="A555" s="30"/>
    </row>
    <row r="556" spans="1:1" ht="15" customHeight="1" thickBot="1" x14ac:dyDescent="0.4">
      <c r="A556" s="30"/>
    </row>
    <row r="557" spans="1:1" ht="15" customHeight="1" thickBot="1" x14ac:dyDescent="0.4">
      <c r="A557" s="30"/>
    </row>
    <row r="558" spans="1:1" ht="15" customHeight="1" thickBot="1" x14ac:dyDescent="0.4">
      <c r="A558" s="30"/>
    </row>
    <row r="559" spans="1:1" ht="15" customHeight="1" thickBot="1" x14ac:dyDescent="0.4">
      <c r="A559" s="30"/>
    </row>
    <row r="560" spans="1:1" ht="15" customHeight="1" thickBot="1" x14ac:dyDescent="0.4">
      <c r="A560" s="30"/>
    </row>
    <row r="561" spans="1:1" ht="15" customHeight="1" thickBot="1" x14ac:dyDescent="0.4">
      <c r="A561" s="30"/>
    </row>
    <row r="562" spans="1:1" ht="15" customHeight="1" thickBot="1" x14ac:dyDescent="0.4">
      <c r="A562" s="30"/>
    </row>
    <row r="563" spans="1:1" ht="15" customHeight="1" thickBot="1" x14ac:dyDescent="0.4">
      <c r="A563" s="30"/>
    </row>
    <row r="564" spans="1:1" ht="15" customHeight="1" thickBot="1" x14ac:dyDescent="0.4">
      <c r="A564" s="30"/>
    </row>
    <row r="565" spans="1:1" ht="15" customHeight="1" thickBot="1" x14ac:dyDescent="0.4">
      <c r="A565" s="30"/>
    </row>
    <row r="566" spans="1:1" ht="15" customHeight="1" thickBot="1" x14ac:dyDescent="0.4">
      <c r="A566" s="30"/>
    </row>
    <row r="567" spans="1:1" ht="15" customHeight="1" thickBot="1" x14ac:dyDescent="0.4">
      <c r="A567" s="30"/>
    </row>
    <row r="568" spans="1:1" ht="15" customHeight="1" thickBot="1" x14ac:dyDescent="0.4">
      <c r="A568" s="30"/>
    </row>
    <row r="569" spans="1:1" ht="15" customHeight="1" thickBot="1" x14ac:dyDescent="0.4">
      <c r="A569" s="30"/>
    </row>
    <row r="570" spans="1:1" ht="15" customHeight="1" thickBot="1" x14ac:dyDescent="0.4">
      <c r="A570" s="30"/>
    </row>
    <row r="571" spans="1:1" ht="15" customHeight="1" thickBot="1" x14ac:dyDescent="0.4">
      <c r="A571" s="30"/>
    </row>
    <row r="572" spans="1:1" ht="15" customHeight="1" thickBot="1" x14ac:dyDescent="0.4">
      <c r="A572" s="30"/>
    </row>
    <row r="573" spans="1:1" ht="15" customHeight="1" thickBot="1" x14ac:dyDescent="0.4">
      <c r="A573" s="30"/>
    </row>
    <row r="574" spans="1:1" ht="15" customHeight="1" thickBot="1" x14ac:dyDescent="0.4">
      <c r="A574" s="30"/>
    </row>
    <row r="575" spans="1:1" ht="15" customHeight="1" thickBot="1" x14ac:dyDescent="0.4">
      <c r="A575" s="30"/>
    </row>
    <row r="576" spans="1:1" ht="15" customHeight="1" thickBot="1" x14ac:dyDescent="0.4">
      <c r="A576" s="30"/>
    </row>
    <row r="577" spans="1:1" ht="15" customHeight="1" thickBot="1" x14ac:dyDescent="0.4">
      <c r="A577" s="30"/>
    </row>
    <row r="578" spans="1:1" ht="15" customHeight="1" thickBot="1" x14ac:dyDescent="0.4">
      <c r="A578" s="30"/>
    </row>
    <row r="579" spans="1:1" ht="15" customHeight="1" thickBot="1" x14ac:dyDescent="0.4">
      <c r="A579" s="30"/>
    </row>
    <row r="580" spans="1:1" ht="15" customHeight="1" thickBot="1" x14ac:dyDescent="0.4">
      <c r="A580" s="30"/>
    </row>
    <row r="581" spans="1:1" ht="15" customHeight="1" thickBot="1" x14ac:dyDescent="0.4">
      <c r="A581" s="30"/>
    </row>
    <row r="582" spans="1:1" ht="15" customHeight="1" thickBot="1" x14ac:dyDescent="0.4">
      <c r="A582" s="30"/>
    </row>
    <row r="583" spans="1:1" ht="15" customHeight="1" thickBot="1" x14ac:dyDescent="0.4">
      <c r="A583" s="30"/>
    </row>
    <row r="584" spans="1:1" ht="15" customHeight="1" thickBot="1" x14ac:dyDescent="0.4">
      <c r="A584" s="30"/>
    </row>
    <row r="585" spans="1:1" ht="15" customHeight="1" thickBot="1" x14ac:dyDescent="0.4">
      <c r="A585" s="30"/>
    </row>
    <row r="586" spans="1:1" ht="15" customHeight="1" thickBot="1" x14ac:dyDescent="0.4">
      <c r="A586" s="30"/>
    </row>
    <row r="587" spans="1:1" ht="15" customHeight="1" thickBot="1" x14ac:dyDescent="0.4">
      <c r="A587" s="30"/>
    </row>
    <row r="588" spans="1:1" ht="15" customHeight="1" thickBot="1" x14ac:dyDescent="0.4">
      <c r="A588" s="30"/>
    </row>
    <row r="589" spans="1:1" ht="15" customHeight="1" thickBot="1" x14ac:dyDescent="0.4">
      <c r="A589" s="30"/>
    </row>
    <row r="590" spans="1:1" ht="15" customHeight="1" thickBot="1" x14ac:dyDescent="0.4">
      <c r="A590" s="30"/>
    </row>
    <row r="591" spans="1:1" ht="15" customHeight="1" thickBot="1" x14ac:dyDescent="0.4">
      <c r="A591" s="30"/>
    </row>
    <row r="592" spans="1:1" ht="15" customHeight="1" thickBot="1" x14ac:dyDescent="0.4">
      <c r="A592" s="30"/>
    </row>
    <row r="593" spans="1:1" ht="15" customHeight="1" thickBot="1" x14ac:dyDescent="0.4">
      <c r="A593" s="30"/>
    </row>
    <row r="594" spans="1:1" ht="15" customHeight="1" thickBot="1" x14ac:dyDescent="0.4">
      <c r="A594" s="30"/>
    </row>
    <row r="595" spans="1:1" ht="15" customHeight="1" thickBot="1" x14ac:dyDescent="0.4">
      <c r="A595" s="30"/>
    </row>
    <row r="596" spans="1:1" ht="15" customHeight="1" thickBot="1" x14ac:dyDescent="0.4">
      <c r="A596" s="30"/>
    </row>
    <row r="597" spans="1:1" ht="15" customHeight="1" thickBot="1" x14ac:dyDescent="0.4">
      <c r="A597" s="30"/>
    </row>
    <row r="598" spans="1:1" ht="15" customHeight="1" thickBot="1" x14ac:dyDescent="0.4">
      <c r="A598" s="30"/>
    </row>
    <row r="599" spans="1:1" ht="15" customHeight="1" thickBot="1" x14ac:dyDescent="0.4">
      <c r="A599" s="30"/>
    </row>
    <row r="600" spans="1:1" ht="15" customHeight="1" thickBot="1" x14ac:dyDescent="0.4">
      <c r="A600" s="30"/>
    </row>
    <row r="601" spans="1:1" ht="15" customHeight="1" thickBot="1" x14ac:dyDescent="0.4">
      <c r="A601" s="30"/>
    </row>
    <row r="602" spans="1:1" ht="15" customHeight="1" thickBot="1" x14ac:dyDescent="0.4">
      <c r="A602" s="30"/>
    </row>
    <row r="603" spans="1:1" ht="15" customHeight="1" thickBot="1" x14ac:dyDescent="0.4">
      <c r="A603" s="30"/>
    </row>
    <row r="604" spans="1:1" ht="15" customHeight="1" thickBot="1" x14ac:dyDescent="0.4">
      <c r="A604" s="30"/>
    </row>
    <row r="605" spans="1:1" ht="15" customHeight="1" thickBot="1" x14ac:dyDescent="0.4">
      <c r="A605" s="30"/>
    </row>
    <row r="606" spans="1:1" ht="15" customHeight="1" thickBot="1" x14ac:dyDescent="0.4">
      <c r="A606" s="30"/>
    </row>
    <row r="607" spans="1:1" ht="15" customHeight="1" thickBot="1" x14ac:dyDescent="0.4">
      <c r="A607" s="30"/>
    </row>
    <row r="608" spans="1:1" ht="15" customHeight="1" thickBot="1" x14ac:dyDescent="0.4">
      <c r="A608" s="30"/>
    </row>
    <row r="609" spans="1:1" ht="15" customHeight="1" thickBot="1" x14ac:dyDescent="0.4">
      <c r="A609" s="30"/>
    </row>
    <row r="610" spans="1:1" ht="15" customHeight="1" thickBot="1" x14ac:dyDescent="0.4">
      <c r="A610" s="30"/>
    </row>
    <row r="611" spans="1:1" ht="15" customHeight="1" thickBot="1" x14ac:dyDescent="0.4">
      <c r="A611" s="30"/>
    </row>
    <row r="612" spans="1:1" ht="15" customHeight="1" thickBot="1" x14ac:dyDescent="0.4">
      <c r="A612" s="30"/>
    </row>
    <row r="613" spans="1:1" ht="15" customHeight="1" thickBot="1" x14ac:dyDescent="0.4">
      <c r="A613" s="30"/>
    </row>
    <row r="614" spans="1:1" ht="15" customHeight="1" thickBot="1" x14ac:dyDescent="0.4">
      <c r="A614" s="30"/>
    </row>
    <row r="615" spans="1:1" ht="15" customHeight="1" thickBot="1" x14ac:dyDescent="0.4">
      <c r="A615" s="30"/>
    </row>
    <row r="616" spans="1:1" ht="15" customHeight="1" thickBot="1" x14ac:dyDescent="0.4">
      <c r="A616" s="30"/>
    </row>
    <row r="617" spans="1:1" ht="15" customHeight="1" thickBot="1" x14ac:dyDescent="0.4">
      <c r="A617" s="30"/>
    </row>
    <row r="618" spans="1:1" ht="15" customHeight="1" thickBot="1" x14ac:dyDescent="0.4">
      <c r="A618" s="30"/>
    </row>
    <row r="619" spans="1:1" ht="15" customHeight="1" thickBot="1" x14ac:dyDescent="0.4">
      <c r="A619" s="30"/>
    </row>
    <row r="620" spans="1:1" ht="15" customHeight="1" thickBot="1" x14ac:dyDescent="0.4">
      <c r="A620" s="30"/>
    </row>
    <row r="621" spans="1:1" ht="15" customHeight="1" thickBot="1" x14ac:dyDescent="0.4">
      <c r="A621" s="30"/>
    </row>
    <row r="622" spans="1:1" ht="15" customHeight="1" thickBot="1" x14ac:dyDescent="0.4">
      <c r="A622" s="30"/>
    </row>
    <row r="623" spans="1:1" ht="15" customHeight="1" thickBot="1" x14ac:dyDescent="0.4">
      <c r="A623" s="30"/>
    </row>
    <row r="624" spans="1:1" ht="15" customHeight="1" thickBot="1" x14ac:dyDescent="0.4">
      <c r="A624" s="30"/>
    </row>
    <row r="625" spans="1:1" ht="15" customHeight="1" thickBot="1" x14ac:dyDescent="0.4">
      <c r="A625" s="30"/>
    </row>
    <row r="626" spans="1:1" ht="15" customHeight="1" thickBot="1" x14ac:dyDescent="0.4">
      <c r="A626" s="30"/>
    </row>
    <row r="627" spans="1:1" ht="15" customHeight="1" thickBot="1" x14ac:dyDescent="0.4">
      <c r="A627" s="30"/>
    </row>
    <row r="628" spans="1:1" ht="15" customHeight="1" thickBot="1" x14ac:dyDescent="0.4">
      <c r="A628" s="30"/>
    </row>
    <row r="629" spans="1:1" ht="15" customHeight="1" thickBot="1" x14ac:dyDescent="0.4">
      <c r="A629" s="30"/>
    </row>
    <row r="630" spans="1:1" ht="15" customHeight="1" thickBot="1" x14ac:dyDescent="0.4">
      <c r="A630" s="30"/>
    </row>
    <row r="631" spans="1:1" ht="15" customHeight="1" thickBot="1" x14ac:dyDescent="0.4">
      <c r="A631" s="30"/>
    </row>
    <row r="632" spans="1:1" ht="15" customHeight="1" thickBot="1" x14ac:dyDescent="0.4">
      <c r="A632" s="30"/>
    </row>
    <row r="633" spans="1:1" ht="15" customHeight="1" thickBot="1" x14ac:dyDescent="0.4">
      <c r="A633" s="30"/>
    </row>
    <row r="634" spans="1:1" ht="15" customHeight="1" thickBot="1" x14ac:dyDescent="0.4">
      <c r="A634" s="30"/>
    </row>
    <row r="635" spans="1:1" ht="15" customHeight="1" thickBot="1" x14ac:dyDescent="0.4">
      <c r="A635" s="30"/>
    </row>
    <row r="636" spans="1:1" ht="15" customHeight="1" thickBot="1" x14ac:dyDescent="0.4">
      <c r="A636" s="30"/>
    </row>
    <row r="637" spans="1:1" ht="15" customHeight="1" thickBot="1" x14ac:dyDescent="0.4">
      <c r="A637" s="30"/>
    </row>
    <row r="638" spans="1:1" ht="15" customHeight="1" thickBot="1" x14ac:dyDescent="0.4">
      <c r="A638" s="30"/>
    </row>
    <row r="639" spans="1:1" ht="15" customHeight="1" thickBot="1" x14ac:dyDescent="0.4">
      <c r="A639" s="30"/>
    </row>
    <row r="640" spans="1:1" ht="15" customHeight="1" thickBot="1" x14ac:dyDescent="0.4">
      <c r="A640" s="30"/>
    </row>
    <row r="641" spans="1:1" ht="15" customHeight="1" thickBot="1" x14ac:dyDescent="0.4">
      <c r="A641" s="30"/>
    </row>
    <row r="642" spans="1:1" ht="15" customHeight="1" thickBot="1" x14ac:dyDescent="0.4">
      <c r="A642" s="30"/>
    </row>
    <row r="643" spans="1:1" ht="15" customHeight="1" thickBot="1" x14ac:dyDescent="0.4">
      <c r="A643" s="30"/>
    </row>
    <row r="644" spans="1:1" ht="15" customHeight="1" thickBot="1" x14ac:dyDescent="0.4">
      <c r="A644" s="30"/>
    </row>
    <row r="645" spans="1:1" ht="15" customHeight="1" thickBot="1" x14ac:dyDescent="0.4">
      <c r="A645" s="30"/>
    </row>
    <row r="646" spans="1:1" ht="15" customHeight="1" thickBot="1" x14ac:dyDescent="0.4">
      <c r="A646" s="30"/>
    </row>
    <row r="647" spans="1:1" ht="15" customHeight="1" thickBot="1" x14ac:dyDescent="0.4">
      <c r="A647" s="30"/>
    </row>
    <row r="648" spans="1:1" ht="15" customHeight="1" thickBot="1" x14ac:dyDescent="0.4">
      <c r="A648" s="30"/>
    </row>
    <row r="649" spans="1:1" ht="15" customHeight="1" thickBot="1" x14ac:dyDescent="0.4">
      <c r="A649" s="30"/>
    </row>
    <row r="650" spans="1:1" ht="15" customHeight="1" thickBot="1" x14ac:dyDescent="0.4">
      <c r="A650" s="30"/>
    </row>
    <row r="651" spans="1:1" ht="15" customHeight="1" thickBot="1" x14ac:dyDescent="0.4">
      <c r="A651" s="30"/>
    </row>
    <row r="652" spans="1:1" ht="15" customHeight="1" thickBot="1" x14ac:dyDescent="0.4">
      <c r="A652" s="30"/>
    </row>
    <row r="653" spans="1:1" ht="15" customHeight="1" thickBot="1" x14ac:dyDescent="0.4">
      <c r="A653" s="30"/>
    </row>
    <row r="654" spans="1:1" ht="15" customHeight="1" thickBot="1" x14ac:dyDescent="0.4">
      <c r="A654" s="30"/>
    </row>
    <row r="655" spans="1:1" ht="15" customHeight="1" thickBot="1" x14ac:dyDescent="0.4">
      <c r="A655" s="30"/>
    </row>
    <row r="656" spans="1:1" ht="15" customHeight="1" thickBot="1" x14ac:dyDescent="0.4">
      <c r="A656" s="30"/>
    </row>
    <row r="657" spans="1:1" ht="15" customHeight="1" thickBot="1" x14ac:dyDescent="0.4">
      <c r="A657" s="30"/>
    </row>
    <row r="658" spans="1:1" ht="15" customHeight="1" thickBot="1" x14ac:dyDescent="0.4">
      <c r="A658" s="30"/>
    </row>
    <row r="659" spans="1:1" ht="15" customHeight="1" thickBot="1" x14ac:dyDescent="0.4">
      <c r="A659" s="30"/>
    </row>
    <row r="660" spans="1:1" ht="15" customHeight="1" thickBot="1" x14ac:dyDescent="0.4">
      <c r="A660" s="30"/>
    </row>
    <row r="661" spans="1:1" ht="15" customHeight="1" thickBot="1" x14ac:dyDescent="0.4">
      <c r="A661" s="30"/>
    </row>
    <row r="662" spans="1:1" ht="15" customHeight="1" thickBot="1" x14ac:dyDescent="0.4">
      <c r="A662" s="30"/>
    </row>
    <row r="663" spans="1:1" ht="15" customHeight="1" thickBot="1" x14ac:dyDescent="0.4">
      <c r="A663" s="30"/>
    </row>
    <row r="664" spans="1:1" ht="15" customHeight="1" thickBot="1" x14ac:dyDescent="0.4">
      <c r="A664" s="30"/>
    </row>
    <row r="665" spans="1:1" ht="15" customHeight="1" thickBot="1" x14ac:dyDescent="0.4">
      <c r="A665" s="30"/>
    </row>
    <row r="666" spans="1:1" ht="15" customHeight="1" thickBot="1" x14ac:dyDescent="0.4">
      <c r="A666" s="30"/>
    </row>
    <row r="667" spans="1:1" ht="15" customHeight="1" thickBot="1" x14ac:dyDescent="0.4">
      <c r="A667" s="30"/>
    </row>
    <row r="668" spans="1:1" ht="15" customHeight="1" thickBot="1" x14ac:dyDescent="0.4">
      <c r="A668" s="30"/>
    </row>
    <row r="669" spans="1:1" ht="15" customHeight="1" thickBot="1" x14ac:dyDescent="0.4">
      <c r="A669" s="30"/>
    </row>
    <row r="670" spans="1:1" ht="15" customHeight="1" thickBot="1" x14ac:dyDescent="0.4">
      <c r="A670" s="30"/>
    </row>
    <row r="671" spans="1:1" ht="15" customHeight="1" thickBot="1" x14ac:dyDescent="0.4">
      <c r="A671" s="30"/>
    </row>
    <row r="672" spans="1:1" ht="15" customHeight="1" thickBot="1" x14ac:dyDescent="0.4">
      <c r="A672" s="30"/>
    </row>
    <row r="673" spans="1:1" ht="15" customHeight="1" thickBot="1" x14ac:dyDescent="0.4">
      <c r="A673" s="30"/>
    </row>
    <row r="674" spans="1:1" ht="15" customHeight="1" thickBot="1" x14ac:dyDescent="0.4">
      <c r="A674" s="30"/>
    </row>
    <row r="675" spans="1:1" ht="15" customHeight="1" thickBot="1" x14ac:dyDescent="0.4">
      <c r="A675" s="30"/>
    </row>
    <row r="676" spans="1:1" ht="15" customHeight="1" thickBot="1" x14ac:dyDescent="0.4">
      <c r="A676" s="30"/>
    </row>
    <row r="677" spans="1:1" ht="15" customHeight="1" thickBot="1" x14ac:dyDescent="0.4">
      <c r="A677" s="30"/>
    </row>
    <row r="678" spans="1:1" ht="15" customHeight="1" thickBot="1" x14ac:dyDescent="0.4">
      <c r="A678" s="30"/>
    </row>
    <row r="679" spans="1:1" ht="15" customHeight="1" thickBot="1" x14ac:dyDescent="0.4">
      <c r="A679" s="30"/>
    </row>
    <row r="680" spans="1:1" ht="15" customHeight="1" thickBot="1" x14ac:dyDescent="0.4">
      <c r="A680" s="30"/>
    </row>
    <row r="681" spans="1:1" ht="15" customHeight="1" thickBot="1" x14ac:dyDescent="0.4">
      <c r="A681" s="30"/>
    </row>
    <row r="682" spans="1:1" ht="15" customHeight="1" thickBot="1" x14ac:dyDescent="0.4">
      <c r="A682" s="30"/>
    </row>
    <row r="683" spans="1:1" ht="15" customHeight="1" thickBot="1" x14ac:dyDescent="0.4">
      <c r="A683" s="30"/>
    </row>
    <row r="684" spans="1:1" ht="15" customHeight="1" thickBot="1" x14ac:dyDescent="0.4">
      <c r="A684" s="30"/>
    </row>
    <row r="685" spans="1:1" ht="15" customHeight="1" thickBot="1" x14ac:dyDescent="0.4">
      <c r="A685" s="30"/>
    </row>
    <row r="686" spans="1:1" ht="15" customHeight="1" thickBot="1" x14ac:dyDescent="0.4">
      <c r="A686" s="30"/>
    </row>
    <row r="687" spans="1:1" ht="15" customHeight="1" thickBot="1" x14ac:dyDescent="0.4">
      <c r="A687" s="30"/>
    </row>
    <row r="688" spans="1:1" ht="15" customHeight="1" thickBot="1" x14ac:dyDescent="0.4">
      <c r="A688" s="30"/>
    </row>
    <row r="689" spans="1:1" ht="15" customHeight="1" thickBot="1" x14ac:dyDescent="0.4">
      <c r="A689" s="30"/>
    </row>
    <row r="690" spans="1:1" ht="15" customHeight="1" thickBot="1" x14ac:dyDescent="0.4">
      <c r="A690" s="30"/>
    </row>
    <row r="691" spans="1:1" ht="15" customHeight="1" thickBot="1" x14ac:dyDescent="0.4">
      <c r="A691" s="30"/>
    </row>
    <row r="692" spans="1:1" ht="15" customHeight="1" thickBot="1" x14ac:dyDescent="0.4">
      <c r="A692" s="30"/>
    </row>
    <row r="693" spans="1:1" ht="15" customHeight="1" thickBot="1" x14ac:dyDescent="0.4">
      <c r="A693" s="30"/>
    </row>
    <row r="694" spans="1:1" ht="15" customHeight="1" thickBot="1" x14ac:dyDescent="0.4">
      <c r="A694" s="30"/>
    </row>
    <row r="695" spans="1:1" ht="15" customHeight="1" thickBot="1" x14ac:dyDescent="0.4">
      <c r="A695" s="30"/>
    </row>
    <row r="696" spans="1:1" ht="15" customHeight="1" thickBot="1" x14ac:dyDescent="0.4">
      <c r="A696" s="30"/>
    </row>
    <row r="697" spans="1:1" ht="15" customHeight="1" thickBot="1" x14ac:dyDescent="0.4">
      <c r="A697" s="30"/>
    </row>
    <row r="698" spans="1:1" ht="15" customHeight="1" thickBot="1" x14ac:dyDescent="0.4">
      <c r="A698" s="30"/>
    </row>
    <row r="699" spans="1:1" ht="15" customHeight="1" thickBot="1" x14ac:dyDescent="0.4">
      <c r="A699" s="30"/>
    </row>
    <row r="700" spans="1:1" ht="15" customHeight="1" thickBot="1" x14ac:dyDescent="0.4">
      <c r="A700" s="30"/>
    </row>
    <row r="701" spans="1:1" ht="15" customHeight="1" thickBot="1" x14ac:dyDescent="0.4">
      <c r="A701" s="30"/>
    </row>
    <row r="702" spans="1:1" ht="15" customHeight="1" thickBot="1" x14ac:dyDescent="0.4">
      <c r="A702" s="30"/>
    </row>
    <row r="703" spans="1:1" ht="15" customHeight="1" thickBot="1" x14ac:dyDescent="0.4">
      <c r="A703" s="30"/>
    </row>
    <row r="704" spans="1:1" ht="15" customHeight="1" thickBot="1" x14ac:dyDescent="0.4">
      <c r="A704" s="30"/>
    </row>
    <row r="705" spans="1:1" ht="15" customHeight="1" thickBot="1" x14ac:dyDescent="0.4">
      <c r="A705" s="30"/>
    </row>
    <row r="706" spans="1:1" ht="15" customHeight="1" thickBot="1" x14ac:dyDescent="0.4">
      <c r="A706" s="30"/>
    </row>
    <row r="707" spans="1:1" ht="15" customHeight="1" thickBot="1" x14ac:dyDescent="0.4">
      <c r="A707" s="30"/>
    </row>
    <row r="708" spans="1:1" ht="15" customHeight="1" thickBot="1" x14ac:dyDescent="0.4">
      <c r="A708" s="30"/>
    </row>
    <row r="709" spans="1:1" ht="15" customHeight="1" thickBot="1" x14ac:dyDescent="0.4">
      <c r="A709" s="30"/>
    </row>
    <row r="710" spans="1:1" ht="15" customHeight="1" thickBot="1" x14ac:dyDescent="0.4">
      <c r="A710" s="30"/>
    </row>
    <row r="711" spans="1:1" ht="15" customHeight="1" thickBot="1" x14ac:dyDescent="0.4">
      <c r="A711" s="30"/>
    </row>
    <row r="712" spans="1:1" ht="15" customHeight="1" thickBot="1" x14ac:dyDescent="0.4">
      <c r="A712" s="30"/>
    </row>
    <row r="713" spans="1:1" ht="15" customHeight="1" thickBot="1" x14ac:dyDescent="0.4">
      <c r="A713" s="30"/>
    </row>
    <row r="714" spans="1:1" ht="15" customHeight="1" thickBot="1" x14ac:dyDescent="0.4">
      <c r="A714" s="30"/>
    </row>
    <row r="715" spans="1:1" ht="15" customHeight="1" thickBot="1" x14ac:dyDescent="0.4">
      <c r="A715" s="30"/>
    </row>
    <row r="716" spans="1:1" ht="15" customHeight="1" thickBot="1" x14ac:dyDescent="0.4">
      <c r="A716" s="30"/>
    </row>
    <row r="717" spans="1:1" ht="15" customHeight="1" thickBot="1" x14ac:dyDescent="0.4">
      <c r="A717" s="30"/>
    </row>
    <row r="718" spans="1:1" ht="15" customHeight="1" thickBot="1" x14ac:dyDescent="0.4">
      <c r="A718" s="30"/>
    </row>
    <row r="719" spans="1:1" ht="15" customHeight="1" thickBot="1" x14ac:dyDescent="0.4">
      <c r="A719" s="30"/>
    </row>
    <row r="720" spans="1:1" ht="15" customHeight="1" thickBot="1" x14ac:dyDescent="0.4">
      <c r="A720" s="30"/>
    </row>
    <row r="721" spans="1:1" ht="15" customHeight="1" thickBot="1" x14ac:dyDescent="0.4">
      <c r="A721" s="30"/>
    </row>
    <row r="722" spans="1:1" ht="15" customHeight="1" thickBot="1" x14ac:dyDescent="0.4">
      <c r="A722" s="30"/>
    </row>
    <row r="723" spans="1:1" ht="15" customHeight="1" thickBot="1" x14ac:dyDescent="0.4">
      <c r="A723" s="30"/>
    </row>
    <row r="724" spans="1:1" ht="15" customHeight="1" thickBot="1" x14ac:dyDescent="0.4">
      <c r="A724" s="30"/>
    </row>
    <row r="725" spans="1:1" ht="15" customHeight="1" thickBot="1" x14ac:dyDescent="0.4">
      <c r="A725" s="30"/>
    </row>
    <row r="726" spans="1:1" ht="15" customHeight="1" thickBot="1" x14ac:dyDescent="0.4">
      <c r="A726" s="30"/>
    </row>
    <row r="727" spans="1:1" ht="15" customHeight="1" thickBot="1" x14ac:dyDescent="0.4">
      <c r="A727" s="30"/>
    </row>
    <row r="728" spans="1:1" ht="15" customHeight="1" thickBot="1" x14ac:dyDescent="0.4">
      <c r="A728" s="30"/>
    </row>
    <row r="729" spans="1:1" ht="15" customHeight="1" thickBot="1" x14ac:dyDescent="0.4">
      <c r="A729" s="30"/>
    </row>
    <row r="730" spans="1:1" ht="15" customHeight="1" thickBot="1" x14ac:dyDescent="0.4">
      <c r="A730" s="30"/>
    </row>
    <row r="731" spans="1:1" ht="15" customHeight="1" thickBot="1" x14ac:dyDescent="0.4">
      <c r="A731" s="30"/>
    </row>
    <row r="732" spans="1:1" ht="15" customHeight="1" thickBot="1" x14ac:dyDescent="0.4">
      <c r="A732" s="30"/>
    </row>
    <row r="733" spans="1:1" ht="15" customHeight="1" thickBot="1" x14ac:dyDescent="0.4">
      <c r="A733" s="30"/>
    </row>
    <row r="734" spans="1:1" ht="15" customHeight="1" thickBot="1" x14ac:dyDescent="0.4">
      <c r="A734" s="30"/>
    </row>
    <row r="735" spans="1:1" ht="15" customHeight="1" thickBot="1" x14ac:dyDescent="0.4">
      <c r="A735" s="30"/>
    </row>
    <row r="736" spans="1:1" ht="15" customHeight="1" thickBot="1" x14ac:dyDescent="0.4">
      <c r="A736" s="30"/>
    </row>
    <row r="737" spans="1:1" ht="15" customHeight="1" thickBot="1" x14ac:dyDescent="0.4">
      <c r="A737" s="30"/>
    </row>
    <row r="738" spans="1:1" ht="15" customHeight="1" thickBot="1" x14ac:dyDescent="0.4">
      <c r="A738" s="30"/>
    </row>
    <row r="739" spans="1:1" ht="15" customHeight="1" thickBot="1" x14ac:dyDescent="0.4">
      <c r="A739" s="30"/>
    </row>
    <row r="740" spans="1:1" ht="15" customHeight="1" thickBot="1" x14ac:dyDescent="0.4">
      <c r="A740" s="30"/>
    </row>
    <row r="741" spans="1:1" ht="15" customHeight="1" thickBot="1" x14ac:dyDescent="0.4">
      <c r="A741" s="30"/>
    </row>
    <row r="742" spans="1:1" ht="15" customHeight="1" thickBot="1" x14ac:dyDescent="0.4">
      <c r="A742" s="30"/>
    </row>
    <row r="743" spans="1:1" ht="15" customHeight="1" thickBot="1" x14ac:dyDescent="0.4">
      <c r="A743" s="30"/>
    </row>
    <row r="744" spans="1:1" ht="15" customHeight="1" thickBot="1" x14ac:dyDescent="0.4">
      <c r="A744" s="30"/>
    </row>
    <row r="745" spans="1:1" ht="15" customHeight="1" thickBot="1" x14ac:dyDescent="0.4">
      <c r="A745" s="30"/>
    </row>
    <row r="746" spans="1:1" ht="15" customHeight="1" thickBot="1" x14ac:dyDescent="0.4">
      <c r="A746" s="30"/>
    </row>
    <row r="747" spans="1:1" ht="15" customHeight="1" thickBot="1" x14ac:dyDescent="0.4">
      <c r="A747" s="30"/>
    </row>
    <row r="748" spans="1:1" ht="15" customHeight="1" thickBot="1" x14ac:dyDescent="0.4">
      <c r="A748" s="30"/>
    </row>
    <row r="749" spans="1:1" ht="15" customHeight="1" thickBot="1" x14ac:dyDescent="0.4">
      <c r="A749" s="30"/>
    </row>
    <row r="750" spans="1:1" ht="15" customHeight="1" thickBot="1" x14ac:dyDescent="0.4">
      <c r="A750" s="30"/>
    </row>
    <row r="751" spans="1:1" ht="15" customHeight="1" thickBot="1" x14ac:dyDescent="0.4">
      <c r="A751" s="30"/>
    </row>
    <row r="752" spans="1:1" ht="15" customHeight="1" thickBot="1" x14ac:dyDescent="0.4">
      <c r="A752" s="30"/>
    </row>
    <row r="753" spans="1:1" ht="15" customHeight="1" thickBot="1" x14ac:dyDescent="0.4">
      <c r="A753" s="30"/>
    </row>
    <row r="754" spans="1:1" ht="15" customHeight="1" thickBot="1" x14ac:dyDescent="0.4">
      <c r="A754" s="30"/>
    </row>
    <row r="755" spans="1:1" ht="15" customHeight="1" thickBot="1" x14ac:dyDescent="0.4">
      <c r="A755" s="30"/>
    </row>
    <row r="756" spans="1:1" ht="15" customHeight="1" thickBot="1" x14ac:dyDescent="0.4">
      <c r="A756" s="30"/>
    </row>
    <row r="757" spans="1:1" ht="15" customHeight="1" thickBot="1" x14ac:dyDescent="0.4">
      <c r="A757" s="30"/>
    </row>
    <row r="758" spans="1:1" ht="15" customHeight="1" thickBot="1" x14ac:dyDescent="0.4">
      <c r="A758" s="30"/>
    </row>
    <row r="759" spans="1:1" ht="15" customHeight="1" thickBot="1" x14ac:dyDescent="0.4">
      <c r="A759" s="30"/>
    </row>
    <row r="760" spans="1:1" ht="15" customHeight="1" thickBot="1" x14ac:dyDescent="0.4">
      <c r="A760" s="30"/>
    </row>
    <row r="761" spans="1:1" ht="15" customHeight="1" thickBot="1" x14ac:dyDescent="0.4">
      <c r="A761" s="30"/>
    </row>
    <row r="762" spans="1:1" ht="15" customHeight="1" thickBot="1" x14ac:dyDescent="0.4">
      <c r="A762" s="30"/>
    </row>
    <row r="763" spans="1:1" ht="15" customHeight="1" thickBot="1" x14ac:dyDescent="0.4">
      <c r="A763" s="30"/>
    </row>
    <row r="764" spans="1:1" ht="15" customHeight="1" thickBot="1" x14ac:dyDescent="0.4">
      <c r="A764" s="30"/>
    </row>
    <row r="765" spans="1:1" ht="15" customHeight="1" thickBot="1" x14ac:dyDescent="0.4">
      <c r="A765" s="30"/>
    </row>
    <row r="766" spans="1:1" ht="15" customHeight="1" thickBot="1" x14ac:dyDescent="0.4">
      <c r="A766" s="30"/>
    </row>
    <row r="767" spans="1:1" ht="15" customHeight="1" thickBot="1" x14ac:dyDescent="0.4">
      <c r="A767" s="30"/>
    </row>
    <row r="768" spans="1:1" ht="15" customHeight="1" thickBot="1" x14ac:dyDescent="0.4">
      <c r="A768" s="30"/>
    </row>
    <row r="769" spans="1:1" ht="15" customHeight="1" thickBot="1" x14ac:dyDescent="0.4">
      <c r="A769" s="30"/>
    </row>
    <row r="770" spans="1:1" ht="15" customHeight="1" thickBot="1" x14ac:dyDescent="0.4">
      <c r="A770" s="30"/>
    </row>
    <row r="771" spans="1:1" ht="15" customHeight="1" thickBot="1" x14ac:dyDescent="0.4">
      <c r="A771" s="30"/>
    </row>
    <row r="772" spans="1:1" ht="15" customHeight="1" thickBot="1" x14ac:dyDescent="0.4">
      <c r="A772" s="30"/>
    </row>
    <row r="773" spans="1:1" ht="15" customHeight="1" thickBot="1" x14ac:dyDescent="0.4">
      <c r="A773" s="30"/>
    </row>
    <row r="774" spans="1:1" ht="15" customHeight="1" thickBot="1" x14ac:dyDescent="0.4">
      <c r="A774" s="30"/>
    </row>
    <row r="775" spans="1:1" ht="15" customHeight="1" thickBot="1" x14ac:dyDescent="0.4">
      <c r="A775" s="30"/>
    </row>
    <row r="776" spans="1:1" ht="15" customHeight="1" thickBot="1" x14ac:dyDescent="0.4">
      <c r="A776" s="30"/>
    </row>
    <row r="777" spans="1:1" ht="15" customHeight="1" thickBot="1" x14ac:dyDescent="0.4">
      <c r="A777" s="30"/>
    </row>
    <row r="778" spans="1:1" ht="15" customHeight="1" thickBot="1" x14ac:dyDescent="0.4">
      <c r="A778" s="30"/>
    </row>
    <row r="779" spans="1:1" ht="15" customHeight="1" thickBot="1" x14ac:dyDescent="0.4">
      <c r="A779" s="30"/>
    </row>
    <row r="780" spans="1:1" ht="15" customHeight="1" thickBot="1" x14ac:dyDescent="0.4">
      <c r="A780" s="30"/>
    </row>
    <row r="781" spans="1:1" ht="15" customHeight="1" thickBot="1" x14ac:dyDescent="0.4">
      <c r="A781" s="30"/>
    </row>
    <row r="782" spans="1:1" ht="15" customHeight="1" thickBot="1" x14ac:dyDescent="0.4">
      <c r="A782" s="30"/>
    </row>
    <row r="783" spans="1:1" ht="15" customHeight="1" thickBot="1" x14ac:dyDescent="0.4">
      <c r="A783" s="30"/>
    </row>
    <row r="784" spans="1:1" ht="15" customHeight="1" thickBot="1" x14ac:dyDescent="0.4">
      <c r="A784" s="30"/>
    </row>
    <row r="785" spans="1:1" ht="15" customHeight="1" thickBot="1" x14ac:dyDescent="0.4">
      <c r="A785" s="30"/>
    </row>
    <row r="786" spans="1:1" ht="15" customHeight="1" thickBot="1" x14ac:dyDescent="0.4">
      <c r="A786" s="30"/>
    </row>
    <row r="787" spans="1:1" ht="15" customHeight="1" thickBot="1" x14ac:dyDescent="0.4">
      <c r="A787" s="30"/>
    </row>
    <row r="788" spans="1:1" ht="15" customHeight="1" thickBot="1" x14ac:dyDescent="0.4">
      <c r="A788" s="30"/>
    </row>
    <row r="789" spans="1:1" ht="15" customHeight="1" thickBot="1" x14ac:dyDescent="0.4">
      <c r="A789" s="30"/>
    </row>
    <row r="790" spans="1:1" ht="15" customHeight="1" thickBot="1" x14ac:dyDescent="0.4">
      <c r="A790" s="30"/>
    </row>
    <row r="791" spans="1:1" ht="15" customHeight="1" thickBot="1" x14ac:dyDescent="0.4">
      <c r="A791" s="30"/>
    </row>
    <row r="792" spans="1:1" ht="15" customHeight="1" thickBot="1" x14ac:dyDescent="0.4">
      <c r="A792" s="30"/>
    </row>
    <row r="793" spans="1:1" ht="15" customHeight="1" thickBot="1" x14ac:dyDescent="0.4">
      <c r="A793" s="30"/>
    </row>
    <row r="794" spans="1:1" ht="15" customHeight="1" thickBot="1" x14ac:dyDescent="0.4">
      <c r="A794" s="30"/>
    </row>
    <row r="795" spans="1:1" ht="15" customHeight="1" thickBot="1" x14ac:dyDescent="0.4">
      <c r="A795" s="30"/>
    </row>
    <row r="796" spans="1:1" ht="15" customHeight="1" thickBot="1" x14ac:dyDescent="0.4">
      <c r="A796" s="30"/>
    </row>
    <row r="797" spans="1:1" ht="15" customHeight="1" thickBot="1" x14ac:dyDescent="0.4">
      <c r="A797" s="30"/>
    </row>
    <row r="798" spans="1:1" ht="15" customHeight="1" thickBot="1" x14ac:dyDescent="0.4">
      <c r="A798" s="30"/>
    </row>
    <row r="799" spans="1:1" ht="15" customHeight="1" thickBot="1" x14ac:dyDescent="0.4">
      <c r="A799" s="30"/>
    </row>
    <row r="800" spans="1:1" ht="15" customHeight="1" thickBot="1" x14ac:dyDescent="0.4">
      <c r="A800" s="30"/>
    </row>
    <row r="801" spans="1:1" ht="15" customHeight="1" thickBot="1" x14ac:dyDescent="0.4">
      <c r="A801" s="30"/>
    </row>
    <row r="802" spans="1:1" ht="15" customHeight="1" thickBot="1" x14ac:dyDescent="0.4">
      <c r="A802" s="30"/>
    </row>
    <row r="803" spans="1:1" ht="15" customHeight="1" thickBot="1" x14ac:dyDescent="0.4">
      <c r="A803" s="30"/>
    </row>
    <row r="804" spans="1:1" ht="15" customHeight="1" thickBot="1" x14ac:dyDescent="0.4">
      <c r="A804" s="30"/>
    </row>
    <row r="805" spans="1:1" ht="15" customHeight="1" thickBot="1" x14ac:dyDescent="0.4">
      <c r="A805" s="30"/>
    </row>
    <row r="806" spans="1:1" ht="15" customHeight="1" thickBot="1" x14ac:dyDescent="0.4">
      <c r="A806" s="30"/>
    </row>
    <row r="807" spans="1:1" ht="15" customHeight="1" thickBot="1" x14ac:dyDescent="0.4">
      <c r="A807" s="30"/>
    </row>
    <row r="808" spans="1:1" ht="15" customHeight="1" thickBot="1" x14ac:dyDescent="0.4">
      <c r="A808" s="30"/>
    </row>
    <row r="809" spans="1:1" ht="15" customHeight="1" thickBot="1" x14ac:dyDescent="0.4">
      <c r="A809" s="30"/>
    </row>
    <row r="810" spans="1:1" ht="15" customHeight="1" thickBot="1" x14ac:dyDescent="0.4">
      <c r="A810" s="30"/>
    </row>
    <row r="811" spans="1:1" ht="15" customHeight="1" thickBot="1" x14ac:dyDescent="0.4">
      <c r="A811" s="30"/>
    </row>
    <row r="812" spans="1:1" ht="15" customHeight="1" thickBot="1" x14ac:dyDescent="0.4">
      <c r="A812" s="30"/>
    </row>
    <row r="813" spans="1:1" ht="15" customHeight="1" thickBot="1" x14ac:dyDescent="0.4">
      <c r="A813" s="30"/>
    </row>
    <row r="814" spans="1:1" ht="15" customHeight="1" thickBot="1" x14ac:dyDescent="0.4">
      <c r="A814" s="30"/>
    </row>
    <row r="815" spans="1:1" ht="15" customHeight="1" thickBot="1" x14ac:dyDescent="0.4">
      <c r="A815" s="30"/>
    </row>
    <row r="816" spans="1:1" ht="15" customHeight="1" thickBot="1" x14ac:dyDescent="0.4">
      <c r="A816" s="30"/>
    </row>
    <row r="817" spans="1:1" ht="15" customHeight="1" thickBot="1" x14ac:dyDescent="0.4">
      <c r="A817" s="30"/>
    </row>
    <row r="818" spans="1:1" ht="15" customHeight="1" thickBot="1" x14ac:dyDescent="0.4">
      <c r="A818" s="30"/>
    </row>
    <row r="819" spans="1:1" ht="15" customHeight="1" thickBot="1" x14ac:dyDescent="0.4">
      <c r="A819" s="30"/>
    </row>
    <row r="820" spans="1:1" ht="15" customHeight="1" thickBot="1" x14ac:dyDescent="0.4">
      <c r="A820" s="30"/>
    </row>
    <row r="821" spans="1:1" ht="15" customHeight="1" thickBot="1" x14ac:dyDescent="0.4">
      <c r="A821" s="30"/>
    </row>
    <row r="822" spans="1:1" ht="15" customHeight="1" thickBot="1" x14ac:dyDescent="0.4">
      <c r="A822" s="30"/>
    </row>
    <row r="823" spans="1:1" ht="15" customHeight="1" thickBot="1" x14ac:dyDescent="0.4">
      <c r="A823" s="30"/>
    </row>
    <row r="824" spans="1:1" ht="15" customHeight="1" thickBot="1" x14ac:dyDescent="0.4">
      <c r="A824" s="30"/>
    </row>
    <row r="825" spans="1:1" ht="15" customHeight="1" thickBot="1" x14ac:dyDescent="0.4">
      <c r="A825" s="30"/>
    </row>
    <row r="826" spans="1:1" ht="15" customHeight="1" thickBot="1" x14ac:dyDescent="0.4">
      <c r="A826" s="30"/>
    </row>
    <row r="827" spans="1:1" ht="15" customHeight="1" thickBot="1" x14ac:dyDescent="0.4">
      <c r="A827" s="30"/>
    </row>
    <row r="828" spans="1:1" ht="15" customHeight="1" thickBot="1" x14ac:dyDescent="0.4">
      <c r="A828" s="30"/>
    </row>
    <row r="829" spans="1:1" ht="15" customHeight="1" thickBot="1" x14ac:dyDescent="0.4">
      <c r="A829" s="30"/>
    </row>
    <row r="830" spans="1:1" ht="15" customHeight="1" thickBot="1" x14ac:dyDescent="0.4">
      <c r="A830" s="30"/>
    </row>
    <row r="831" spans="1:1" ht="15" customHeight="1" thickBot="1" x14ac:dyDescent="0.4">
      <c r="A831" s="30"/>
    </row>
    <row r="832" spans="1:1" ht="15" customHeight="1" thickBot="1" x14ac:dyDescent="0.4">
      <c r="A832" s="30"/>
    </row>
    <row r="833" spans="1:1" ht="15" customHeight="1" thickBot="1" x14ac:dyDescent="0.4">
      <c r="A833" s="30"/>
    </row>
    <row r="834" spans="1:1" ht="15" customHeight="1" thickBot="1" x14ac:dyDescent="0.4">
      <c r="A834" s="30"/>
    </row>
    <row r="835" spans="1:1" ht="15" customHeight="1" thickBot="1" x14ac:dyDescent="0.4">
      <c r="A835" s="30"/>
    </row>
    <row r="836" spans="1:1" ht="15" customHeight="1" thickBot="1" x14ac:dyDescent="0.4">
      <c r="A836" s="30"/>
    </row>
    <row r="837" spans="1:1" ht="15" customHeight="1" thickBot="1" x14ac:dyDescent="0.4">
      <c r="A837" s="30"/>
    </row>
    <row r="838" spans="1:1" ht="15" customHeight="1" thickBot="1" x14ac:dyDescent="0.4">
      <c r="A838" s="30"/>
    </row>
    <row r="839" spans="1:1" ht="15" customHeight="1" thickBot="1" x14ac:dyDescent="0.4">
      <c r="A839" s="30"/>
    </row>
    <row r="840" spans="1:1" ht="15" customHeight="1" thickBot="1" x14ac:dyDescent="0.4">
      <c r="A840" s="30"/>
    </row>
    <row r="841" spans="1:1" ht="15" customHeight="1" thickBot="1" x14ac:dyDescent="0.4">
      <c r="A841" s="30"/>
    </row>
    <row r="842" spans="1:1" ht="15" customHeight="1" thickBot="1" x14ac:dyDescent="0.4">
      <c r="A842" s="30"/>
    </row>
    <row r="843" spans="1:1" ht="15" customHeight="1" thickBot="1" x14ac:dyDescent="0.4">
      <c r="A843" s="30"/>
    </row>
    <row r="844" spans="1:1" ht="15" customHeight="1" thickBot="1" x14ac:dyDescent="0.4">
      <c r="A844" s="30"/>
    </row>
    <row r="845" spans="1:1" ht="15" customHeight="1" thickBot="1" x14ac:dyDescent="0.4">
      <c r="A845" s="30"/>
    </row>
    <row r="846" spans="1:1" ht="15" customHeight="1" thickBot="1" x14ac:dyDescent="0.4">
      <c r="A846" s="30"/>
    </row>
    <row r="847" spans="1:1" ht="15" customHeight="1" thickBot="1" x14ac:dyDescent="0.4">
      <c r="A847" s="30"/>
    </row>
    <row r="848" spans="1:1" ht="15" customHeight="1" thickBot="1" x14ac:dyDescent="0.4">
      <c r="A848" s="30"/>
    </row>
    <row r="849" spans="1:1" ht="15" customHeight="1" thickBot="1" x14ac:dyDescent="0.4">
      <c r="A849" s="30"/>
    </row>
    <row r="850" spans="1:1" ht="15" customHeight="1" thickBot="1" x14ac:dyDescent="0.4">
      <c r="A850" s="30"/>
    </row>
    <row r="851" spans="1:1" ht="15" customHeight="1" thickBot="1" x14ac:dyDescent="0.4">
      <c r="A851" s="30"/>
    </row>
    <row r="852" spans="1:1" ht="15" customHeight="1" thickBot="1" x14ac:dyDescent="0.4">
      <c r="A852" s="30"/>
    </row>
    <row r="853" spans="1:1" ht="15" customHeight="1" thickBot="1" x14ac:dyDescent="0.4">
      <c r="A853" s="30"/>
    </row>
    <row r="854" spans="1:1" ht="15" customHeight="1" thickBot="1" x14ac:dyDescent="0.4">
      <c r="A854" s="30"/>
    </row>
    <row r="855" spans="1:1" ht="15" customHeight="1" thickBot="1" x14ac:dyDescent="0.4">
      <c r="A855" s="30"/>
    </row>
    <row r="856" spans="1:1" ht="15" customHeight="1" thickBot="1" x14ac:dyDescent="0.4">
      <c r="A856" s="30"/>
    </row>
    <row r="857" spans="1:1" ht="15" customHeight="1" thickBot="1" x14ac:dyDescent="0.4">
      <c r="A857" s="30"/>
    </row>
    <row r="858" spans="1:1" ht="15" customHeight="1" thickBot="1" x14ac:dyDescent="0.4">
      <c r="A858" s="30"/>
    </row>
    <row r="859" spans="1:1" ht="15" customHeight="1" thickBot="1" x14ac:dyDescent="0.4">
      <c r="A859" s="30"/>
    </row>
    <row r="860" spans="1:1" ht="15" customHeight="1" thickBot="1" x14ac:dyDescent="0.4">
      <c r="A860" s="30"/>
    </row>
    <row r="861" spans="1:1" ht="15" customHeight="1" thickBot="1" x14ac:dyDescent="0.4">
      <c r="A861" s="30"/>
    </row>
    <row r="862" spans="1:1" ht="15" customHeight="1" thickBot="1" x14ac:dyDescent="0.4">
      <c r="A862" s="30"/>
    </row>
    <row r="863" spans="1:1" ht="15" customHeight="1" thickBot="1" x14ac:dyDescent="0.4">
      <c r="A863" s="30"/>
    </row>
    <row r="864" spans="1:1" ht="15" customHeight="1" thickBot="1" x14ac:dyDescent="0.4">
      <c r="A864" s="30"/>
    </row>
    <row r="865" spans="1:1" ht="15" customHeight="1" thickBot="1" x14ac:dyDescent="0.4">
      <c r="A865" s="30"/>
    </row>
    <row r="866" spans="1:1" ht="15" customHeight="1" thickBot="1" x14ac:dyDescent="0.4">
      <c r="A866" s="30"/>
    </row>
    <row r="867" spans="1:1" ht="15" customHeight="1" thickBot="1" x14ac:dyDescent="0.4">
      <c r="A867" s="30"/>
    </row>
    <row r="868" spans="1:1" ht="15" customHeight="1" thickBot="1" x14ac:dyDescent="0.4">
      <c r="A868" s="30"/>
    </row>
    <row r="869" spans="1:1" ht="15" customHeight="1" thickBot="1" x14ac:dyDescent="0.4">
      <c r="A869" s="30"/>
    </row>
    <row r="870" spans="1:1" ht="15" customHeight="1" thickBot="1" x14ac:dyDescent="0.4">
      <c r="A870" s="30"/>
    </row>
    <row r="871" spans="1:1" ht="15" customHeight="1" thickBot="1" x14ac:dyDescent="0.4">
      <c r="A871" s="30"/>
    </row>
    <row r="872" spans="1:1" ht="15" customHeight="1" thickBot="1" x14ac:dyDescent="0.4">
      <c r="A872" s="30"/>
    </row>
    <row r="873" spans="1:1" ht="15" customHeight="1" thickBot="1" x14ac:dyDescent="0.4">
      <c r="A873" s="30"/>
    </row>
    <row r="874" spans="1:1" ht="15" customHeight="1" thickBot="1" x14ac:dyDescent="0.4">
      <c r="A874" s="30"/>
    </row>
    <row r="875" spans="1:1" ht="15" customHeight="1" thickBot="1" x14ac:dyDescent="0.4">
      <c r="A875" s="30"/>
    </row>
    <row r="876" spans="1:1" ht="15" customHeight="1" thickBot="1" x14ac:dyDescent="0.4">
      <c r="A876" s="30"/>
    </row>
    <row r="877" spans="1:1" ht="15" customHeight="1" thickBot="1" x14ac:dyDescent="0.4">
      <c r="A877" s="30"/>
    </row>
    <row r="878" spans="1:1" ht="15" customHeight="1" thickBot="1" x14ac:dyDescent="0.4">
      <c r="A878" s="30"/>
    </row>
    <row r="879" spans="1:1" ht="15" customHeight="1" thickBot="1" x14ac:dyDescent="0.4">
      <c r="A879" s="30"/>
    </row>
    <row r="880" spans="1:1" ht="15" customHeight="1" thickBot="1" x14ac:dyDescent="0.4">
      <c r="A880" s="30"/>
    </row>
    <row r="881" spans="1:1" ht="15" customHeight="1" thickBot="1" x14ac:dyDescent="0.4">
      <c r="A881" s="30"/>
    </row>
    <row r="882" spans="1:1" ht="15" customHeight="1" thickBot="1" x14ac:dyDescent="0.4">
      <c r="A882" s="30"/>
    </row>
    <row r="883" spans="1:1" ht="15" customHeight="1" thickBot="1" x14ac:dyDescent="0.4">
      <c r="A883" s="30"/>
    </row>
    <row r="884" spans="1:1" ht="15" customHeight="1" thickBot="1" x14ac:dyDescent="0.4">
      <c r="A884" s="30"/>
    </row>
    <row r="885" spans="1:1" ht="15" customHeight="1" thickBot="1" x14ac:dyDescent="0.4">
      <c r="A885" s="30"/>
    </row>
    <row r="886" spans="1:1" ht="15" customHeight="1" thickBot="1" x14ac:dyDescent="0.4">
      <c r="A886" s="30"/>
    </row>
    <row r="887" spans="1:1" ht="15" customHeight="1" thickBot="1" x14ac:dyDescent="0.4">
      <c r="A887" s="30"/>
    </row>
    <row r="888" spans="1:1" ht="15" customHeight="1" thickBot="1" x14ac:dyDescent="0.4">
      <c r="A888" s="30"/>
    </row>
    <row r="889" spans="1:1" ht="15" customHeight="1" thickBot="1" x14ac:dyDescent="0.4">
      <c r="A889" s="30"/>
    </row>
    <row r="890" spans="1:1" ht="15" customHeight="1" thickBot="1" x14ac:dyDescent="0.4">
      <c r="A890" s="30"/>
    </row>
    <row r="891" spans="1:1" ht="15" customHeight="1" thickBot="1" x14ac:dyDescent="0.4">
      <c r="A891" s="30"/>
    </row>
    <row r="892" spans="1:1" ht="15" customHeight="1" thickBot="1" x14ac:dyDescent="0.4">
      <c r="A892" s="30"/>
    </row>
    <row r="893" spans="1:1" ht="15" customHeight="1" thickBot="1" x14ac:dyDescent="0.4">
      <c r="A893" s="30"/>
    </row>
    <row r="894" spans="1:1" ht="15" customHeight="1" thickBot="1" x14ac:dyDescent="0.4">
      <c r="A894" s="30"/>
    </row>
    <row r="895" spans="1:1" ht="15" customHeight="1" thickBot="1" x14ac:dyDescent="0.4">
      <c r="A895" s="30"/>
    </row>
    <row r="896" spans="1:1" ht="15" customHeight="1" thickBot="1" x14ac:dyDescent="0.4">
      <c r="A896" s="30"/>
    </row>
    <row r="897" spans="1:1" ht="15" customHeight="1" thickBot="1" x14ac:dyDescent="0.4">
      <c r="A897" s="30"/>
    </row>
    <row r="898" spans="1:1" ht="15" customHeight="1" thickBot="1" x14ac:dyDescent="0.4">
      <c r="A898" s="30"/>
    </row>
    <row r="899" spans="1:1" ht="15" customHeight="1" thickBot="1" x14ac:dyDescent="0.4">
      <c r="A899" s="30"/>
    </row>
    <row r="900" spans="1:1" ht="15" customHeight="1" thickBot="1" x14ac:dyDescent="0.4">
      <c r="A900" s="30"/>
    </row>
    <row r="901" spans="1:1" ht="15" customHeight="1" thickBot="1" x14ac:dyDescent="0.4">
      <c r="A901" s="30"/>
    </row>
    <row r="902" spans="1:1" ht="15" customHeight="1" thickBot="1" x14ac:dyDescent="0.4">
      <c r="A902" s="30"/>
    </row>
    <row r="903" spans="1:1" ht="15" customHeight="1" thickBot="1" x14ac:dyDescent="0.4">
      <c r="A903" s="30"/>
    </row>
    <row r="904" spans="1:1" ht="15" customHeight="1" thickBot="1" x14ac:dyDescent="0.4">
      <c r="A904" s="30"/>
    </row>
    <row r="905" spans="1:1" ht="15" customHeight="1" thickBot="1" x14ac:dyDescent="0.4">
      <c r="A905" s="30"/>
    </row>
    <row r="906" spans="1:1" ht="15" customHeight="1" thickBot="1" x14ac:dyDescent="0.4">
      <c r="A906" s="30"/>
    </row>
    <row r="907" spans="1:1" ht="15" customHeight="1" thickBot="1" x14ac:dyDescent="0.4">
      <c r="A907" s="30"/>
    </row>
    <row r="908" spans="1:1" ht="15" customHeight="1" thickBot="1" x14ac:dyDescent="0.4">
      <c r="A908" s="30"/>
    </row>
    <row r="909" spans="1:1" ht="15" customHeight="1" thickBot="1" x14ac:dyDescent="0.4">
      <c r="A909" s="30"/>
    </row>
    <row r="910" spans="1:1" ht="15" customHeight="1" thickBot="1" x14ac:dyDescent="0.4">
      <c r="A910" s="30"/>
    </row>
    <row r="911" spans="1:1" ht="15" customHeight="1" thickBot="1" x14ac:dyDescent="0.4">
      <c r="A911" s="30"/>
    </row>
    <row r="912" spans="1:1" ht="15" customHeight="1" thickBot="1" x14ac:dyDescent="0.4">
      <c r="A912" s="30"/>
    </row>
    <row r="913" spans="1:1" ht="15" customHeight="1" thickBot="1" x14ac:dyDescent="0.4">
      <c r="A913" s="30"/>
    </row>
    <row r="914" spans="1:1" ht="15" customHeight="1" thickBot="1" x14ac:dyDescent="0.4">
      <c r="A914" s="30"/>
    </row>
    <row r="915" spans="1:1" ht="15" customHeight="1" thickBot="1" x14ac:dyDescent="0.4">
      <c r="A915" s="30"/>
    </row>
    <row r="916" spans="1:1" ht="15" customHeight="1" thickBot="1" x14ac:dyDescent="0.4">
      <c r="A916" s="30"/>
    </row>
    <row r="917" spans="1:1" ht="15" customHeight="1" thickBot="1" x14ac:dyDescent="0.4">
      <c r="A917" s="30"/>
    </row>
    <row r="918" spans="1:1" ht="15" customHeight="1" thickBot="1" x14ac:dyDescent="0.4">
      <c r="A918" s="30"/>
    </row>
    <row r="919" spans="1:1" ht="15" customHeight="1" thickBot="1" x14ac:dyDescent="0.4">
      <c r="A919" s="30"/>
    </row>
    <row r="920" spans="1:1" ht="15" customHeight="1" thickBot="1" x14ac:dyDescent="0.4">
      <c r="A920" s="30"/>
    </row>
    <row r="921" spans="1:1" ht="15" customHeight="1" thickBot="1" x14ac:dyDescent="0.4">
      <c r="A921" s="30"/>
    </row>
    <row r="922" spans="1:1" ht="15" customHeight="1" thickBot="1" x14ac:dyDescent="0.4">
      <c r="A922" s="30"/>
    </row>
    <row r="923" spans="1:1" ht="15" customHeight="1" thickBot="1" x14ac:dyDescent="0.4">
      <c r="A923" s="30"/>
    </row>
    <row r="924" spans="1:1" ht="15" customHeight="1" thickBot="1" x14ac:dyDescent="0.4">
      <c r="A924" s="30"/>
    </row>
    <row r="925" spans="1:1" ht="15" customHeight="1" thickBot="1" x14ac:dyDescent="0.4">
      <c r="A925" s="30"/>
    </row>
    <row r="926" spans="1:1" ht="15" customHeight="1" thickBot="1" x14ac:dyDescent="0.4">
      <c r="A926" s="30"/>
    </row>
    <row r="927" spans="1:1" ht="15" customHeight="1" thickBot="1" x14ac:dyDescent="0.4">
      <c r="A927" s="30"/>
    </row>
    <row r="928" spans="1:1" ht="15" customHeight="1" thickBot="1" x14ac:dyDescent="0.4">
      <c r="A928" s="30"/>
    </row>
    <row r="929" spans="1:1" ht="15" customHeight="1" thickBot="1" x14ac:dyDescent="0.4">
      <c r="A929" s="30"/>
    </row>
    <row r="930" spans="1:1" ht="15" customHeight="1" thickBot="1" x14ac:dyDescent="0.4">
      <c r="A930" s="30"/>
    </row>
    <row r="931" spans="1:1" ht="15" customHeight="1" thickBot="1" x14ac:dyDescent="0.4">
      <c r="A931" s="30"/>
    </row>
    <row r="932" spans="1:1" ht="15" customHeight="1" thickBot="1" x14ac:dyDescent="0.4">
      <c r="A932" s="30"/>
    </row>
    <row r="933" spans="1:1" ht="15" customHeight="1" thickBot="1" x14ac:dyDescent="0.4">
      <c r="A933" s="30"/>
    </row>
    <row r="934" spans="1:1" ht="15" customHeight="1" thickBot="1" x14ac:dyDescent="0.4">
      <c r="A934" s="30"/>
    </row>
    <row r="935" spans="1:1" ht="15" customHeight="1" thickBot="1" x14ac:dyDescent="0.4">
      <c r="A935" s="30"/>
    </row>
    <row r="936" spans="1:1" ht="15" customHeight="1" thickBot="1" x14ac:dyDescent="0.4">
      <c r="A936" s="30"/>
    </row>
    <row r="937" spans="1:1" ht="15" customHeight="1" thickBot="1" x14ac:dyDescent="0.4">
      <c r="A937" s="30"/>
    </row>
    <row r="938" spans="1:1" ht="15" customHeight="1" thickBot="1" x14ac:dyDescent="0.4">
      <c r="A938" s="30"/>
    </row>
    <row r="939" spans="1:1" ht="15" customHeight="1" thickBot="1" x14ac:dyDescent="0.4">
      <c r="A939" s="30"/>
    </row>
    <row r="940" spans="1:1" ht="15" customHeight="1" thickBot="1" x14ac:dyDescent="0.4">
      <c r="A940" s="30"/>
    </row>
    <row r="941" spans="1:1" ht="15" customHeight="1" thickBot="1" x14ac:dyDescent="0.4">
      <c r="A941" s="30"/>
    </row>
    <row r="942" spans="1:1" ht="15" customHeight="1" thickBot="1" x14ac:dyDescent="0.4">
      <c r="A942" s="30"/>
    </row>
    <row r="943" spans="1:1" ht="15" customHeight="1" thickBot="1" x14ac:dyDescent="0.4">
      <c r="A943" s="30"/>
    </row>
    <row r="944" spans="1:1" ht="15" customHeight="1" thickBot="1" x14ac:dyDescent="0.4">
      <c r="A944" s="30"/>
    </row>
    <row r="945" spans="1:1" ht="15" customHeight="1" thickBot="1" x14ac:dyDescent="0.4">
      <c r="A945" s="30"/>
    </row>
    <row r="946" spans="1:1" ht="15" customHeight="1" thickBot="1" x14ac:dyDescent="0.4">
      <c r="A946" s="30"/>
    </row>
    <row r="947" spans="1:1" ht="15" customHeight="1" thickBot="1" x14ac:dyDescent="0.4">
      <c r="A947" s="30"/>
    </row>
    <row r="948" spans="1:1" ht="15" customHeight="1" thickBot="1" x14ac:dyDescent="0.4">
      <c r="A948" s="30"/>
    </row>
    <row r="949" spans="1:1" ht="15" customHeight="1" thickBot="1" x14ac:dyDescent="0.4">
      <c r="A949" s="30"/>
    </row>
    <row r="950" spans="1:1" ht="15" customHeight="1" thickBot="1" x14ac:dyDescent="0.4">
      <c r="A950" s="30"/>
    </row>
    <row r="951" spans="1:1" ht="15" customHeight="1" thickBot="1" x14ac:dyDescent="0.4">
      <c r="A951" s="30"/>
    </row>
    <row r="952" spans="1:1" ht="15" customHeight="1" thickBot="1" x14ac:dyDescent="0.4">
      <c r="A952" s="30"/>
    </row>
    <row r="953" spans="1:1" ht="15" customHeight="1" thickBot="1" x14ac:dyDescent="0.4">
      <c r="A953" s="30"/>
    </row>
    <row r="954" spans="1:1" ht="15" customHeight="1" thickBot="1" x14ac:dyDescent="0.4">
      <c r="A954" s="30"/>
    </row>
    <row r="955" spans="1:1" ht="15" customHeight="1" thickBot="1" x14ac:dyDescent="0.4">
      <c r="A955" s="30"/>
    </row>
    <row r="956" spans="1:1" ht="15" customHeight="1" thickBot="1" x14ac:dyDescent="0.4">
      <c r="A956" s="30"/>
    </row>
    <row r="957" spans="1:1" ht="15" customHeight="1" thickBot="1" x14ac:dyDescent="0.4">
      <c r="A957" s="30"/>
    </row>
    <row r="958" spans="1:1" ht="15" customHeight="1" thickBot="1" x14ac:dyDescent="0.4">
      <c r="A958" s="30"/>
    </row>
    <row r="959" spans="1:1" ht="15" customHeight="1" thickBot="1" x14ac:dyDescent="0.4">
      <c r="A959" s="30"/>
    </row>
    <row r="960" spans="1:1" ht="15" customHeight="1" thickBot="1" x14ac:dyDescent="0.4">
      <c r="A960" s="30"/>
    </row>
    <row r="961" spans="1:1" ht="15" customHeight="1" thickBot="1" x14ac:dyDescent="0.4">
      <c r="A961" s="30"/>
    </row>
    <row r="962" spans="1:1" ht="15" customHeight="1" thickBot="1" x14ac:dyDescent="0.4">
      <c r="A962" s="30"/>
    </row>
    <row r="963" spans="1:1" ht="15" customHeight="1" thickBot="1" x14ac:dyDescent="0.4">
      <c r="A963" s="30"/>
    </row>
    <row r="964" spans="1:1" ht="15" customHeight="1" thickBot="1" x14ac:dyDescent="0.4">
      <c r="A964" s="30"/>
    </row>
    <row r="965" spans="1:1" ht="15" customHeight="1" thickBot="1" x14ac:dyDescent="0.4">
      <c r="A965" s="30"/>
    </row>
    <row r="966" spans="1:1" ht="15" customHeight="1" thickBot="1" x14ac:dyDescent="0.4">
      <c r="A966" s="30"/>
    </row>
    <row r="967" spans="1:1" ht="15" customHeight="1" thickBot="1" x14ac:dyDescent="0.4">
      <c r="A967" s="30"/>
    </row>
    <row r="968" spans="1:1" ht="15" customHeight="1" thickBot="1" x14ac:dyDescent="0.4">
      <c r="A968" s="30"/>
    </row>
    <row r="969" spans="1:1" ht="15" customHeight="1" thickBot="1" x14ac:dyDescent="0.4">
      <c r="A969" s="30"/>
    </row>
    <row r="970" spans="1:1" ht="15" customHeight="1" thickBot="1" x14ac:dyDescent="0.4">
      <c r="A970" s="30"/>
    </row>
    <row r="971" spans="1:1" ht="15" customHeight="1" thickBot="1" x14ac:dyDescent="0.4">
      <c r="A971" s="30"/>
    </row>
    <row r="972" spans="1:1" ht="15" customHeight="1" thickBot="1" x14ac:dyDescent="0.4">
      <c r="A972" s="30"/>
    </row>
    <row r="973" spans="1:1" ht="15" customHeight="1" thickBot="1" x14ac:dyDescent="0.4">
      <c r="A973" s="30"/>
    </row>
    <row r="974" spans="1:1" ht="15" customHeight="1" thickBot="1" x14ac:dyDescent="0.4">
      <c r="A974" s="30"/>
    </row>
    <row r="975" spans="1:1" ht="15" customHeight="1" thickBot="1" x14ac:dyDescent="0.4">
      <c r="A975" s="30"/>
    </row>
    <row r="976" spans="1:1" ht="15" customHeight="1" thickBot="1" x14ac:dyDescent="0.4">
      <c r="A976" s="30"/>
    </row>
    <row r="977" spans="1:1" ht="15" customHeight="1" thickBot="1" x14ac:dyDescent="0.4">
      <c r="A977" s="30"/>
    </row>
    <row r="978" spans="1:1" ht="15" customHeight="1" thickBot="1" x14ac:dyDescent="0.4">
      <c r="A978" s="30"/>
    </row>
    <row r="979" spans="1:1" ht="15" customHeight="1" thickBot="1" x14ac:dyDescent="0.4">
      <c r="A979" s="30"/>
    </row>
    <row r="980" spans="1:1" ht="15" customHeight="1" thickBot="1" x14ac:dyDescent="0.4">
      <c r="A980" s="30"/>
    </row>
    <row r="981" spans="1:1" ht="15" customHeight="1" thickBot="1" x14ac:dyDescent="0.4">
      <c r="A981" s="30"/>
    </row>
    <row r="982" spans="1:1" ht="15" customHeight="1" thickBot="1" x14ac:dyDescent="0.4">
      <c r="A982" s="30"/>
    </row>
    <row r="983" spans="1:1" ht="15" customHeight="1" thickBot="1" x14ac:dyDescent="0.4">
      <c r="A983" s="30"/>
    </row>
    <row r="984" spans="1:1" ht="15" customHeight="1" thickBot="1" x14ac:dyDescent="0.4">
      <c r="A984" s="30"/>
    </row>
    <row r="985" spans="1:1" ht="15" customHeight="1" thickBot="1" x14ac:dyDescent="0.4">
      <c r="A985" s="30"/>
    </row>
    <row r="986" spans="1:1" ht="15" customHeight="1" thickBot="1" x14ac:dyDescent="0.4">
      <c r="A986" s="30"/>
    </row>
    <row r="987" spans="1:1" ht="15" customHeight="1" thickBot="1" x14ac:dyDescent="0.4">
      <c r="A987" s="30"/>
    </row>
    <row r="988" spans="1:1" ht="15" customHeight="1" thickBot="1" x14ac:dyDescent="0.4">
      <c r="A988" s="30"/>
    </row>
    <row r="989" spans="1:1" ht="15" customHeight="1" thickBot="1" x14ac:dyDescent="0.4">
      <c r="A989" s="30"/>
    </row>
    <row r="990" spans="1:1" ht="15" customHeight="1" thickBot="1" x14ac:dyDescent="0.4">
      <c r="A990" s="30"/>
    </row>
    <row r="991" spans="1:1" ht="15" customHeight="1" thickBot="1" x14ac:dyDescent="0.4">
      <c r="A991" s="30"/>
    </row>
    <row r="992" spans="1:1" ht="15" customHeight="1" thickBot="1" x14ac:dyDescent="0.4">
      <c r="A992" s="30"/>
    </row>
    <row r="993" spans="1:1" ht="15" customHeight="1" thickBot="1" x14ac:dyDescent="0.4">
      <c r="A993" s="30"/>
    </row>
    <row r="994" spans="1:1" ht="15" customHeight="1" thickBot="1" x14ac:dyDescent="0.4">
      <c r="A994" s="30"/>
    </row>
    <row r="995" spans="1:1" ht="15" customHeight="1" thickBot="1" x14ac:dyDescent="0.4">
      <c r="A995" s="30"/>
    </row>
    <row r="996" spans="1:1" ht="15" customHeight="1" thickBot="1" x14ac:dyDescent="0.4">
      <c r="A996" s="30"/>
    </row>
    <row r="997" spans="1:1" ht="15" customHeight="1" thickBot="1" x14ac:dyDescent="0.4">
      <c r="A997" s="30"/>
    </row>
  </sheetData>
  <phoneticPr fontId="17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workbookViewId="0">
      <selection activeCell="I7" sqref="I7"/>
    </sheetView>
  </sheetViews>
  <sheetFormatPr defaultColWidth="11.54296875" defaultRowHeight="14.5" x14ac:dyDescent="0.35"/>
  <cols>
    <col min="1" max="1" width="22.7265625" style="19" customWidth="1"/>
    <col min="2" max="6" width="16.7265625" style="19" customWidth="1"/>
    <col min="7" max="7" width="6.26953125" style="19" customWidth="1"/>
    <col min="8" max="8" width="11.54296875" style="19"/>
    <col min="9" max="9" width="17.453125" style="19" customWidth="1"/>
    <col min="10" max="16384" width="11.54296875" style="19"/>
  </cols>
  <sheetData>
    <row r="1" spans="1:10" x14ac:dyDescent="0.35">
      <c r="A1" s="16"/>
      <c r="B1" s="28" t="s">
        <v>5</v>
      </c>
      <c r="C1" s="28" t="s">
        <v>6</v>
      </c>
      <c r="D1" s="28" t="s">
        <v>7</v>
      </c>
      <c r="E1" s="28" t="s">
        <v>8</v>
      </c>
      <c r="F1" s="28" t="s">
        <v>9</v>
      </c>
      <c r="G1" s="16"/>
      <c r="H1" s="27" t="s">
        <v>10</v>
      </c>
      <c r="I1" s="18">
        <v>4.4999999999999998E-2</v>
      </c>
      <c r="J1" s="3"/>
    </row>
    <row r="2" spans="1:10" x14ac:dyDescent="0.35">
      <c r="A2" s="20" t="s">
        <v>11</v>
      </c>
      <c r="B2" s="21">
        <f>+I7</f>
        <v>210783.75</v>
      </c>
      <c r="C2" s="21">
        <f t="shared" ref="C2:C13" si="0">+E2-D2</f>
        <v>822.04247890932413</v>
      </c>
      <c r="D2" s="21">
        <f t="shared" ref="D2:D13" si="1">B2*$I$2</f>
        <v>790.43906249999998</v>
      </c>
      <c r="E2" s="21">
        <f t="shared" ref="E2:E13" si="2">-$I$9</f>
        <v>1612.4815414093241</v>
      </c>
      <c r="F2" s="21">
        <f t="shared" ref="F2:F13" si="3">+B2-C2</f>
        <v>209961.70752109066</v>
      </c>
      <c r="G2" s="16"/>
      <c r="H2" s="27" t="s">
        <v>12</v>
      </c>
      <c r="I2" s="18">
        <f>+I1/12</f>
        <v>3.7499999999999999E-3</v>
      </c>
      <c r="J2" s="3"/>
    </row>
    <row r="3" spans="1:10" x14ac:dyDescent="0.35">
      <c r="A3" s="22" t="s">
        <v>13</v>
      </c>
      <c r="B3" s="21">
        <f t="shared" ref="B3:B13" si="4">+F2</f>
        <v>209961.70752109066</v>
      </c>
      <c r="C3" s="21">
        <f t="shared" si="0"/>
        <v>825.12513820523418</v>
      </c>
      <c r="D3" s="21">
        <f t="shared" si="1"/>
        <v>787.35640320408993</v>
      </c>
      <c r="E3" s="21">
        <f t="shared" si="2"/>
        <v>1612.4815414093241</v>
      </c>
      <c r="F3" s="21">
        <f t="shared" si="3"/>
        <v>209136.58238288542</v>
      </c>
      <c r="G3" s="16"/>
      <c r="H3" s="27" t="s">
        <v>14</v>
      </c>
      <c r="I3" s="23">
        <v>0</v>
      </c>
      <c r="J3" s="3"/>
    </row>
    <row r="4" spans="1:10" x14ac:dyDescent="0.35">
      <c r="A4" s="22" t="s">
        <v>15</v>
      </c>
      <c r="B4" s="21">
        <f t="shared" si="4"/>
        <v>209136.58238288542</v>
      </c>
      <c r="C4" s="21">
        <f t="shared" si="0"/>
        <v>828.21935747350381</v>
      </c>
      <c r="D4" s="21">
        <f t="shared" si="1"/>
        <v>784.2621839358203</v>
      </c>
      <c r="E4" s="21">
        <f t="shared" si="2"/>
        <v>1612.4815414093241</v>
      </c>
      <c r="F4" s="21">
        <f t="shared" si="3"/>
        <v>208308.36302541191</v>
      </c>
      <c r="G4" s="16"/>
      <c r="H4" s="27" t="s">
        <v>16</v>
      </c>
      <c r="I4" s="25">
        <f>Forecasts!D24</f>
        <v>15</v>
      </c>
      <c r="J4" s="3"/>
    </row>
    <row r="5" spans="1:10" x14ac:dyDescent="0.35">
      <c r="A5" s="22" t="s">
        <v>17</v>
      </c>
      <c r="B5" s="21">
        <f t="shared" si="4"/>
        <v>208308.36302541191</v>
      </c>
      <c r="C5" s="21">
        <f t="shared" si="0"/>
        <v>831.3251800640295</v>
      </c>
      <c r="D5" s="21">
        <f t="shared" si="1"/>
        <v>781.15636134529461</v>
      </c>
      <c r="E5" s="21">
        <f t="shared" si="2"/>
        <v>1612.4815414093241</v>
      </c>
      <c r="F5" s="21">
        <f t="shared" si="3"/>
        <v>207477.03784534786</v>
      </c>
      <c r="G5" s="16"/>
      <c r="H5" s="27" t="s">
        <v>18</v>
      </c>
      <c r="I5" s="17">
        <f>I4*12</f>
        <v>180</v>
      </c>
      <c r="J5" s="3"/>
    </row>
    <row r="6" spans="1:10" x14ac:dyDescent="0.35">
      <c r="A6" s="22" t="s">
        <v>19</v>
      </c>
      <c r="B6" s="21">
        <f t="shared" si="4"/>
        <v>207477.03784534786</v>
      </c>
      <c r="C6" s="21">
        <f t="shared" si="0"/>
        <v>834.44264948926968</v>
      </c>
      <c r="D6" s="21">
        <f t="shared" si="1"/>
        <v>778.03889192005443</v>
      </c>
      <c r="E6" s="21">
        <f t="shared" si="2"/>
        <v>1612.4815414093241</v>
      </c>
      <c r="F6" s="21">
        <f t="shared" si="3"/>
        <v>206642.59519585859</v>
      </c>
      <c r="G6" s="16"/>
      <c r="H6" s="27" t="s">
        <v>20</v>
      </c>
      <c r="I6" s="17">
        <v>0</v>
      </c>
      <c r="J6" s="3"/>
    </row>
    <row r="7" spans="1:10" x14ac:dyDescent="0.35">
      <c r="A7" s="22" t="s">
        <v>21</v>
      </c>
      <c r="B7" s="21">
        <f t="shared" si="4"/>
        <v>206642.59519585859</v>
      </c>
      <c r="C7" s="21">
        <f t="shared" si="0"/>
        <v>837.57180942485445</v>
      </c>
      <c r="D7" s="21">
        <f t="shared" si="1"/>
        <v>774.90973198446966</v>
      </c>
      <c r="E7" s="21">
        <f t="shared" si="2"/>
        <v>1612.4815414093241</v>
      </c>
      <c r="F7" s="21">
        <f t="shared" si="3"/>
        <v>205805.02338643375</v>
      </c>
      <c r="G7" s="16"/>
      <c r="H7" s="27" t="s">
        <v>22</v>
      </c>
      <c r="I7" s="23">
        <v>210783.75</v>
      </c>
      <c r="J7" s="3"/>
    </row>
    <row r="8" spans="1:10" x14ac:dyDescent="0.35">
      <c r="A8" s="22" t="s">
        <v>23</v>
      </c>
      <c r="B8" s="21">
        <f t="shared" si="4"/>
        <v>205805.02338643375</v>
      </c>
      <c r="C8" s="21">
        <f t="shared" si="0"/>
        <v>840.71270371019762</v>
      </c>
      <c r="D8" s="21">
        <f t="shared" si="1"/>
        <v>771.76883769912649</v>
      </c>
      <c r="E8" s="21">
        <f t="shared" si="2"/>
        <v>1612.4815414093241</v>
      </c>
      <c r="F8" s="21">
        <f t="shared" si="3"/>
        <v>204964.31068272356</v>
      </c>
      <c r="G8" s="16"/>
      <c r="H8" s="27"/>
      <c r="I8" s="17"/>
      <c r="J8" s="3"/>
    </row>
    <row r="9" spans="1:10" x14ac:dyDescent="0.35">
      <c r="A9" s="22" t="s">
        <v>24</v>
      </c>
      <c r="B9" s="21">
        <f t="shared" si="4"/>
        <v>204964.31068272356</v>
      </c>
      <c r="C9" s="21">
        <f t="shared" si="0"/>
        <v>843.86537634911076</v>
      </c>
      <c r="D9" s="21">
        <f t="shared" si="1"/>
        <v>768.61616506021335</v>
      </c>
      <c r="E9" s="21">
        <f t="shared" si="2"/>
        <v>1612.4815414093241</v>
      </c>
      <c r="F9" s="21">
        <f t="shared" si="3"/>
        <v>204120.44530637446</v>
      </c>
      <c r="G9" s="16"/>
      <c r="H9" s="27" t="s">
        <v>8</v>
      </c>
      <c r="I9" s="21">
        <f>PMT(I2,I5,I7,I3,I6)</f>
        <v>-1612.4815414093241</v>
      </c>
      <c r="J9" s="3"/>
    </row>
    <row r="10" spans="1:10" x14ac:dyDescent="0.35">
      <c r="A10" s="22" t="s">
        <v>25</v>
      </c>
      <c r="B10" s="21">
        <f t="shared" si="4"/>
        <v>204120.44530637446</v>
      </c>
      <c r="C10" s="21">
        <f t="shared" si="0"/>
        <v>847.02987151041987</v>
      </c>
      <c r="D10" s="21">
        <f t="shared" si="1"/>
        <v>765.45166989890424</v>
      </c>
      <c r="E10" s="21">
        <f t="shared" si="2"/>
        <v>1612.4815414093241</v>
      </c>
      <c r="F10" s="21">
        <f t="shared" si="3"/>
        <v>203273.41543486403</v>
      </c>
      <c r="G10" s="16"/>
      <c r="H10" s="16"/>
      <c r="I10" s="16"/>
      <c r="J10" s="3"/>
    </row>
    <row r="11" spans="1:10" x14ac:dyDescent="0.35">
      <c r="A11" s="22" t="s">
        <v>26</v>
      </c>
      <c r="B11" s="21">
        <f t="shared" si="4"/>
        <v>203273.41543486403</v>
      </c>
      <c r="C11" s="21">
        <f t="shared" si="0"/>
        <v>850.20623352858399</v>
      </c>
      <c r="D11" s="21">
        <f t="shared" si="1"/>
        <v>762.27530788074012</v>
      </c>
      <c r="E11" s="21">
        <f t="shared" si="2"/>
        <v>1612.4815414093241</v>
      </c>
      <c r="F11" s="21">
        <f t="shared" si="3"/>
        <v>202423.20920133544</v>
      </c>
      <c r="G11" s="16"/>
      <c r="H11" s="16"/>
      <c r="I11" s="16"/>
      <c r="J11" s="3"/>
    </row>
    <row r="12" spans="1:10" x14ac:dyDescent="0.35">
      <c r="A12" s="22" t="s">
        <v>27</v>
      </c>
      <c r="B12" s="21">
        <f t="shared" si="4"/>
        <v>202423.20920133544</v>
      </c>
      <c r="C12" s="21">
        <f t="shared" si="0"/>
        <v>853.39450690431624</v>
      </c>
      <c r="D12" s="21">
        <f t="shared" si="1"/>
        <v>759.08703450500786</v>
      </c>
      <c r="E12" s="21">
        <f t="shared" si="2"/>
        <v>1612.4815414093241</v>
      </c>
      <c r="F12" s="21">
        <f t="shared" si="3"/>
        <v>201569.81469443112</v>
      </c>
      <c r="G12" s="16"/>
      <c r="H12" s="16"/>
      <c r="I12" s="16"/>
      <c r="J12" s="3"/>
    </row>
    <row r="13" spans="1:10" x14ac:dyDescent="0.35">
      <c r="A13" s="22" t="s">
        <v>28</v>
      </c>
      <c r="B13" s="21">
        <f t="shared" si="4"/>
        <v>201569.81469443112</v>
      </c>
      <c r="C13" s="21">
        <f t="shared" si="0"/>
        <v>856.59473630520745</v>
      </c>
      <c r="D13" s="21">
        <f t="shared" si="1"/>
        <v>755.88680510411666</v>
      </c>
      <c r="E13" s="21">
        <f t="shared" si="2"/>
        <v>1612.4815414093241</v>
      </c>
      <c r="F13" s="21">
        <f t="shared" si="3"/>
        <v>200713.2199581259</v>
      </c>
      <c r="G13" s="16">
        <v>1</v>
      </c>
      <c r="H13" s="16"/>
      <c r="I13" s="16"/>
      <c r="J13" s="3"/>
    </row>
    <row r="14" spans="1:10" x14ac:dyDescent="0.35">
      <c r="A14" s="24" t="s">
        <v>29</v>
      </c>
      <c r="B14" s="21"/>
      <c r="C14" s="21">
        <f>SUM(C2:C13)</f>
        <v>10070.530041874052</v>
      </c>
      <c r="D14" s="21">
        <f>SUM(D2:D13)</f>
        <v>9279.2484550378376</v>
      </c>
      <c r="E14" s="21"/>
      <c r="F14" s="21"/>
      <c r="G14" s="16"/>
      <c r="H14" s="16"/>
      <c r="I14" s="16"/>
      <c r="J14" s="3"/>
    </row>
    <row r="15" spans="1:10" x14ac:dyDescent="0.35">
      <c r="A15" s="22"/>
      <c r="B15" s="21"/>
      <c r="C15" s="21"/>
      <c r="D15" s="21"/>
      <c r="E15" s="21"/>
      <c r="F15" s="21"/>
      <c r="G15" s="16"/>
      <c r="H15" s="16"/>
      <c r="I15" s="16"/>
      <c r="J15" s="3"/>
    </row>
    <row r="16" spans="1:10" x14ac:dyDescent="0.35">
      <c r="A16" s="20" t="s">
        <v>11</v>
      </c>
      <c r="B16" s="21">
        <f>+F13</f>
        <v>200713.2199581259</v>
      </c>
      <c r="C16" s="21">
        <f t="shared" ref="C16:C27" si="5">+E16-D16</f>
        <v>859.806966566352</v>
      </c>
      <c r="D16" s="21">
        <f t="shared" ref="D16:D27" si="6">B16*$I$2</f>
        <v>752.67457484297211</v>
      </c>
      <c r="E16" s="21">
        <f t="shared" ref="E16:E27" si="7">-$I$9</f>
        <v>1612.4815414093241</v>
      </c>
      <c r="F16" s="21">
        <f t="shared" ref="F16:F27" si="8">+B16-C16</f>
        <v>199853.41299155954</v>
      </c>
      <c r="G16" s="16"/>
      <c r="H16" s="16"/>
      <c r="I16" s="16"/>
      <c r="J16" s="3"/>
    </row>
    <row r="17" spans="1:10" x14ac:dyDescent="0.35">
      <c r="A17" s="22" t="s">
        <v>13</v>
      </c>
      <c r="B17" s="21">
        <f t="shared" ref="B17:B27" si="9">+F16</f>
        <v>199853.41299155954</v>
      </c>
      <c r="C17" s="21">
        <f t="shared" si="5"/>
        <v>863.03124269097589</v>
      </c>
      <c r="D17" s="21">
        <f t="shared" si="6"/>
        <v>749.45029871834822</v>
      </c>
      <c r="E17" s="21">
        <f t="shared" si="7"/>
        <v>1612.4815414093241</v>
      </c>
      <c r="F17" s="21">
        <f t="shared" si="8"/>
        <v>198990.38174886856</v>
      </c>
      <c r="G17" s="16"/>
      <c r="H17" s="16"/>
      <c r="I17" s="16"/>
      <c r="J17" s="3"/>
    </row>
    <row r="18" spans="1:10" x14ac:dyDescent="0.35">
      <c r="A18" s="22" t="s">
        <v>15</v>
      </c>
      <c r="B18" s="21">
        <f t="shared" si="9"/>
        <v>198990.38174886856</v>
      </c>
      <c r="C18" s="21">
        <f t="shared" si="5"/>
        <v>866.26760985106705</v>
      </c>
      <c r="D18" s="21">
        <f t="shared" si="6"/>
        <v>746.21393155825706</v>
      </c>
      <c r="E18" s="21">
        <f t="shared" si="7"/>
        <v>1612.4815414093241</v>
      </c>
      <c r="F18" s="21">
        <f t="shared" si="8"/>
        <v>198124.1141390175</v>
      </c>
      <c r="G18" s="16"/>
      <c r="H18" s="16"/>
      <c r="I18" s="16"/>
      <c r="J18" s="3"/>
    </row>
    <row r="19" spans="1:10" x14ac:dyDescent="0.35">
      <c r="A19" s="22" t="s">
        <v>17</v>
      </c>
      <c r="B19" s="21">
        <f t="shared" si="9"/>
        <v>198124.1141390175</v>
      </c>
      <c r="C19" s="21">
        <f t="shared" si="5"/>
        <v>869.51611338800853</v>
      </c>
      <c r="D19" s="21">
        <f t="shared" si="6"/>
        <v>742.96542802131557</v>
      </c>
      <c r="E19" s="21">
        <f t="shared" si="7"/>
        <v>1612.4815414093241</v>
      </c>
      <c r="F19" s="21">
        <f t="shared" si="8"/>
        <v>197254.5980256295</v>
      </c>
      <c r="G19" s="16"/>
      <c r="H19" s="16"/>
      <c r="I19" s="16"/>
      <c r="J19" s="3"/>
    </row>
    <row r="20" spans="1:10" x14ac:dyDescent="0.35">
      <c r="A20" s="22" t="s">
        <v>19</v>
      </c>
      <c r="B20" s="21">
        <f t="shared" si="9"/>
        <v>197254.5980256295</v>
      </c>
      <c r="C20" s="21">
        <f t="shared" si="5"/>
        <v>872.77679881321353</v>
      </c>
      <c r="D20" s="21">
        <f t="shared" si="6"/>
        <v>739.70474259611058</v>
      </c>
      <c r="E20" s="21">
        <f t="shared" si="7"/>
        <v>1612.4815414093241</v>
      </c>
      <c r="F20" s="21">
        <f t="shared" si="8"/>
        <v>196381.82122681628</v>
      </c>
      <c r="G20" s="16"/>
      <c r="H20" s="16"/>
      <c r="I20" s="16"/>
      <c r="J20" s="3"/>
    </row>
    <row r="21" spans="1:10" x14ac:dyDescent="0.35">
      <c r="A21" s="22" t="s">
        <v>21</v>
      </c>
      <c r="B21" s="21">
        <f t="shared" si="9"/>
        <v>196381.82122681628</v>
      </c>
      <c r="C21" s="21">
        <f t="shared" si="5"/>
        <v>876.04971180876305</v>
      </c>
      <c r="D21" s="21">
        <f t="shared" si="6"/>
        <v>736.43182960056106</v>
      </c>
      <c r="E21" s="21">
        <f t="shared" si="7"/>
        <v>1612.4815414093241</v>
      </c>
      <c r="F21" s="21">
        <f t="shared" si="8"/>
        <v>195505.77151500751</v>
      </c>
      <c r="G21" s="16"/>
      <c r="H21" s="16"/>
      <c r="I21" s="16"/>
      <c r="J21" s="3"/>
    </row>
    <row r="22" spans="1:10" x14ac:dyDescent="0.35">
      <c r="A22" s="22" t="s">
        <v>23</v>
      </c>
      <c r="B22" s="21">
        <f t="shared" si="9"/>
        <v>195505.77151500751</v>
      </c>
      <c r="C22" s="21">
        <f t="shared" si="5"/>
        <v>879.33489822804597</v>
      </c>
      <c r="D22" s="21">
        <f t="shared" si="6"/>
        <v>733.14664318127814</v>
      </c>
      <c r="E22" s="21">
        <f t="shared" si="7"/>
        <v>1612.4815414093241</v>
      </c>
      <c r="F22" s="21">
        <f t="shared" si="8"/>
        <v>194626.43661677945</v>
      </c>
      <c r="G22" s="16"/>
      <c r="H22" s="16"/>
      <c r="I22" s="16"/>
      <c r="J22" s="3"/>
    </row>
    <row r="23" spans="1:10" x14ac:dyDescent="0.35">
      <c r="A23" s="22" t="s">
        <v>24</v>
      </c>
      <c r="B23" s="21">
        <f t="shared" si="9"/>
        <v>194626.43661677945</v>
      </c>
      <c r="C23" s="21">
        <f t="shared" si="5"/>
        <v>882.63240409640116</v>
      </c>
      <c r="D23" s="21">
        <f t="shared" si="6"/>
        <v>729.84913731292295</v>
      </c>
      <c r="E23" s="21">
        <f t="shared" si="7"/>
        <v>1612.4815414093241</v>
      </c>
      <c r="F23" s="21">
        <f t="shared" si="8"/>
        <v>193743.80421268306</v>
      </c>
      <c r="G23" s="16"/>
      <c r="H23" s="16"/>
      <c r="I23" s="16"/>
      <c r="J23" s="3"/>
    </row>
    <row r="24" spans="1:10" x14ac:dyDescent="0.35">
      <c r="A24" s="22" t="s">
        <v>25</v>
      </c>
      <c r="B24" s="21">
        <f t="shared" si="9"/>
        <v>193743.80421268306</v>
      </c>
      <c r="C24" s="21">
        <f t="shared" si="5"/>
        <v>885.94227561176262</v>
      </c>
      <c r="D24" s="21">
        <f t="shared" si="6"/>
        <v>726.53926579756148</v>
      </c>
      <c r="E24" s="21">
        <f t="shared" si="7"/>
        <v>1612.4815414093241</v>
      </c>
      <c r="F24" s="21">
        <f t="shared" si="8"/>
        <v>192857.86193707128</v>
      </c>
      <c r="G24" s="16"/>
      <c r="H24" s="16"/>
      <c r="I24" s="16"/>
      <c r="J24" s="3"/>
    </row>
    <row r="25" spans="1:10" x14ac:dyDescent="0.35">
      <c r="A25" s="22" t="s">
        <v>26</v>
      </c>
      <c r="B25" s="21">
        <f t="shared" si="9"/>
        <v>192857.86193707128</v>
      </c>
      <c r="C25" s="21">
        <f t="shared" si="5"/>
        <v>889.26455914530686</v>
      </c>
      <c r="D25" s="21">
        <f t="shared" si="6"/>
        <v>723.21698226401725</v>
      </c>
      <c r="E25" s="21">
        <f t="shared" si="7"/>
        <v>1612.4815414093241</v>
      </c>
      <c r="F25" s="21">
        <f t="shared" si="8"/>
        <v>191968.59737792597</v>
      </c>
      <c r="G25" s="16"/>
      <c r="H25" s="16"/>
      <c r="I25" s="16"/>
      <c r="J25" s="3"/>
    </row>
    <row r="26" spans="1:10" x14ac:dyDescent="0.35">
      <c r="A26" s="22" t="s">
        <v>27</v>
      </c>
      <c r="B26" s="21">
        <f t="shared" si="9"/>
        <v>191968.59737792597</v>
      </c>
      <c r="C26" s="21">
        <f t="shared" si="5"/>
        <v>892.59930124210177</v>
      </c>
      <c r="D26" s="21">
        <f t="shared" si="6"/>
        <v>719.88224016722234</v>
      </c>
      <c r="E26" s="21">
        <f t="shared" si="7"/>
        <v>1612.4815414093241</v>
      </c>
      <c r="F26" s="21">
        <f t="shared" si="8"/>
        <v>191075.99807668387</v>
      </c>
      <c r="G26" s="16"/>
      <c r="H26" s="16"/>
      <c r="I26" s="16"/>
      <c r="J26" s="3"/>
    </row>
    <row r="27" spans="1:10" x14ac:dyDescent="0.35">
      <c r="A27" s="22" t="s">
        <v>28</v>
      </c>
      <c r="B27" s="21">
        <f t="shared" si="9"/>
        <v>191075.99807668387</v>
      </c>
      <c r="C27" s="21">
        <f t="shared" si="5"/>
        <v>895.94654862175958</v>
      </c>
      <c r="D27" s="21">
        <f t="shared" si="6"/>
        <v>716.53499278756453</v>
      </c>
      <c r="E27" s="21">
        <f t="shared" si="7"/>
        <v>1612.4815414093241</v>
      </c>
      <c r="F27" s="21">
        <f t="shared" si="8"/>
        <v>190180.05152806212</v>
      </c>
      <c r="G27" s="16">
        <f>G13+1</f>
        <v>2</v>
      </c>
      <c r="H27" s="16"/>
      <c r="I27" s="16"/>
      <c r="J27" s="3"/>
    </row>
    <row r="28" spans="1:10" x14ac:dyDescent="0.35">
      <c r="A28" s="24" t="s">
        <v>29</v>
      </c>
      <c r="B28" s="21"/>
      <c r="C28" s="21">
        <f>SUM(C16:C27)</f>
        <v>10533.168430063759</v>
      </c>
      <c r="D28" s="21">
        <f>SUM(D16:D27)</f>
        <v>8816.6100668481304</v>
      </c>
      <c r="E28" s="21"/>
      <c r="F28" s="21"/>
      <c r="G28" s="16"/>
      <c r="H28" s="16"/>
      <c r="I28" s="16"/>
      <c r="J28" s="3"/>
    </row>
    <row r="29" spans="1:10" x14ac:dyDescent="0.35">
      <c r="A29" s="22"/>
      <c r="B29" s="21"/>
      <c r="C29" s="21"/>
      <c r="D29" s="21"/>
      <c r="E29" s="21"/>
      <c r="F29" s="21"/>
      <c r="G29" s="16"/>
      <c r="H29" s="16"/>
      <c r="I29" s="16"/>
      <c r="J29" s="3"/>
    </row>
    <row r="30" spans="1:10" x14ac:dyDescent="0.35">
      <c r="A30" s="20" t="s">
        <v>11</v>
      </c>
      <c r="B30" s="21">
        <f>+F27</f>
        <v>190180.05152806212</v>
      </c>
      <c r="C30" s="21">
        <f t="shared" ref="C30:C41" si="10">+E30-D30</f>
        <v>899.30634817909117</v>
      </c>
      <c r="D30" s="21">
        <f t="shared" ref="D30:D41" si="11">B30*$I$2</f>
        <v>713.17519323023294</v>
      </c>
      <c r="E30" s="21">
        <f t="shared" ref="E30:E41" si="12">-$I$9</f>
        <v>1612.4815414093241</v>
      </c>
      <c r="F30" s="21">
        <f t="shared" ref="F30:F41" si="13">+B30-C30</f>
        <v>189280.74517988303</v>
      </c>
      <c r="G30" s="16"/>
      <c r="H30" s="16"/>
      <c r="I30" s="16"/>
      <c r="J30" s="3"/>
    </row>
    <row r="31" spans="1:10" x14ac:dyDescent="0.35">
      <c r="A31" s="22" t="s">
        <v>13</v>
      </c>
      <c r="B31" s="21">
        <f t="shared" ref="B31:B41" si="14">+F30</f>
        <v>189280.74517988303</v>
      </c>
      <c r="C31" s="21">
        <f t="shared" si="10"/>
        <v>902.67874698476282</v>
      </c>
      <c r="D31" s="21">
        <f t="shared" si="11"/>
        <v>709.80279442456128</v>
      </c>
      <c r="E31" s="21">
        <f t="shared" si="12"/>
        <v>1612.4815414093241</v>
      </c>
      <c r="F31" s="21">
        <f t="shared" si="13"/>
        <v>188378.06643289825</v>
      </c>
      <c r="G31" s="16"/>
      <c r="H31" s="16"/>
      <c r="I31" s="16"/>
      <c r="J31" s="3"/>
    </row>
    <row r="32" spans="1:10" x14ac:dyDescent="0.35">
      <c r="A32" s="22" t="s">
        <v>15</v>
      </c>
      <c r="B32" s="21">
        <f t="shared" si="14"/>
        <v>188378.06643289825</v>
      </c>
      <c r="C32" s="21">
        <f t="shared" si="10"/>
        <v>906.06379228595574</v>
      </c>
      <c r="D32" s="21">
        <f t="shared" si="11"/>
        <v>706.41774912336837</v>
      </c>
      <c r="E32" s="21">
        <f t="shared" si="12"/>
        <v>1612.4815414093241</v>
      </c>
      <c r="F32" s="21">
        <f t="shared" si="13"/>
        <v>187472.00264061231</v>
      </c>
      <c r="G32" s="16"/>
      <c r="H32" s="16"/>
      <c r="I32" s="16"/>
      <c r="J32" s="3"/>
    </row>
    <row r="33" spans="1:10" x14ac:dyDescent="0.35">
      <c r="A33" s="22" t="s">
        <v>17</v>
      </c>
      <c r="B33" s="21">
        <f t="shared" si="14"/>
        <v>187472.00264061231</v>
      </c>
      <c r="C33" s="21">
        <f t="shared" si="10"/>
        <v>909.46153150702798</v>
      </c>
      <c r="D33" s="21">
        <f t="shared" si="11"/>
        <v>703.02000990229612</v>
      </c>
      <c r="E33" s="21">
        <f t="shared" si="12"/>
        <v>1612.4815414093241</v>
      </c>
      <c r="F33" s="21">
        <f t="shared" si="13"/>
        <v>186562.54110910528</v>
      </c>
      <c r="G33" s="16"/>
      <c r="H33" s="16"/>
      <c r="I33" s="16"/>
      <c r="J33" s="3"/>
    </row>
    <row r="34" spans="1:10" x14ac:dyDescent="0.35">
      <c r="A34" s="22" t="s">
        <v>19</v>
      </c>
      <c r="B34" s="21">
        <f t="shared" si="14"/>
        <v>186562.54110910528</v>
      </c>
      <c r="C34" s="21">
        <f t="shared" si="10"/>
        <v>912.8720122501793</v>
      </c>
      <c r="D34" s="21">
        <f t="shared" si="11"/>
        <v>699.60952915914481</v>
      </c>
      <c r="E34" s="21">
        <f t="shared" si="12"/>
        <v>1612.4815414093241</v>
      </c>
      <c r="F34" s="21">
        <f t="shared" si="13"/>
        <v>185649.6690968551</v>
      </c>
      <c r="G34" s="16"/>
      <c r="H34" s="16"/>
      <c r="I34" s="16"/>
      <c r="J34" s="3"/>
    </row>
    <row r="35" spans="1:10" x14ac:dyDescent="0.35">
      <c r="A35" s="22" t="s">
        <v>21</v>
      </c>
      <c r="B35" s="21">
        <f t="shared" si="14"/>
        <v>185649.6690968551</v>
      </c>
      <c r="C35" s="21">
        <f t="shared" si="10"/>
        <v>916.29528229611753</v>
      </c>
      <c r="D35" s="21">
        <f t="shared" si="11"/>
        <v>696.18625911320657</v>
      </c>
      <c r="E35" s="21">
        <f t="shared" si="12"/>
        <v>1612.4815414093241</v>
      </c>
      <c r="F35" s="21">
        <f t="shared" si="13"/>
        <v>184733.37381455899</v>
      </c>
      <c r="G35" s="16"/>
      <c r="H35" s="16"/>
      <c r="I35" s="16"/>
      <c r="J35" s="3"/>
    </row>
    <row r="36" spans="1:10" x14ac:dyDescent="0.35">
      <c r="A36" s="22" t="s">
        <v>23</v>
      </c>
      <c r="B36" s="21">
        <f t="shared" si="14"/>
        <v>184733.37381455899</v>
      </c>
      <c r="C36" s="21">
        <f t="shared" si="10"/>
        <v>919.73138960472795</v>
      </c>
      <c r="D36" s="21">
        <f t="shared" si="11"/>
        <v>692.75015180459616</v>
      </c>
      <c r="E36" s="21">
        <f t="shared" si="12"/>
        <v>1612.4815414093241</v>
      </c>
      <c r="F36" s="21">
        <f t="shared" si="13"/>
        <v>183813.64242495425</v>
      </c>
      <c r="G36" s="16"/>
      <c r="H36" s="16"/>
      <c r="I36" s="16"/>
      <c r="J36" s="3"/>
    </row>
    <row r="37" spans="1:10" x14ac:dyDescent="0.35">
      <c r="A37" s="22" t="s">
        <v>24</v>
      </c>
      <c r="B37" s="21">
        <f t="shared" si="14"/>
        <v>183813.64242495425</v>
      </c>
      <c r="C37" s="21">
        <f t="shared" si="10"/>
        <v>923.18038231574576</v>
      </c>
      <c r="D37" s="21">
        <f t="shared" si="11"/>
        <v>689.30115909357835</v>
      </c>
      <c r="E37" s="21">
        <f t="shared" si="12"/>
        <v>1612.4815414093241</v>
      </c>
      <c r="F37" s="21">
        <f t="shared" si="13"/>
        <v>182890.46204263851</v>
      </c>
      <c r="G37" s="16"/>
      <c r="H37" s="16"/>
      <c r="I37" s="16"/>
      <c r="J37" s="3"/>
    </row>
    <row r="38" spans="1:10" x14ac:dyDescent="0.35">
      <c r="A38" s="22" t="s">
        <v>25</v>
      </c>
      <c r="B38" s="21">
        <f t="shared" si="14"/>
        <v>182890.46204263851</v>
      </c>
      <c r="C38" s="21">
        <f t="shared" si="10"/>
        <v>926.64230874942973</v>
      </c>
      <c r="D38" s="21">
        <f t="shared" si="11"/>
        <v>685.83923265989438</v>
      </c>
      <c r="E38" s="21">
        <f t="shared" si="12"/>
        <v>1612.4815414093241</v>
      </c>
      <c r="F38" s="21">
        <f t="shared" si="13"/>
        <v>181963.81973388907</v>
      </c>
      <c r="G38" s="16"/>
      <c r="H38" s="16"/>
      <c r="I38" s="16"/>
      <c r="J38" s="3"/>
    </row>
    <row r="39" spans="1:10" x14ac:dyDescent="0.35">
      <c r="A39" s="22" t="s">
        <v>26</v>
      </c>
      <c r="B39" s="21">
        <f t="shared" si="14"/>
        <v>181963.81973388907</v>
      </c>
      <c r="C39" s="21">
        <f t="shared" si="10"/>
        <v>930.1172174072401</v>
      </c>
      <c r="D39" s="21">
        <f t="shared" si="11"/>
        <v>682.364324002084</v>
      </c>
      <c r="E39" s="21">
        <f t="shared" si="12"/>
        <v>1612.4815414093241</v>
      </c>
      <c r="F39" s="21">
        <f t="shared" si="13"/>
        <v>181033.70251648183</v>
      </c>
      <c r="G39" s="16"/>
      <c r="H39" s="16"/>
      <c r="I39" s="16"/>
      <c r="J39" s="3"/>
    </row>
    <row r="40" spans="1:10" x14ac:dyDescent="0.35">
      <c r="A40" s="22" t="s">
        <v>27</v>
      </c>
      <c r="B40" s="21">
        <f t="shared" si="14"/>
        <v>181033.70251648183</v>
      </c>
      <c r="C40" s="21">
        <f t="shared" si="10"/>
        <v>933.60515697251731</v>
      </c>
      <c r="D40" s="21">
        <f t="shared" si="11"/>
        <v>678.8763844368068</v>
      </c>
      <c r="E40" s="21">
        <f t="shared" si="12"/>
        <v>1612.4815414093241</v>
      </c>
      <c r="F40" s="21">
        <f t="shared" si="13"/>
        <v>180100.09735950932</v>
      </c>
      <c r="G40" s="16"/>
      <c r="H40" s="16"/>
      <c r="I40" s="16"/>
      <c r="J40" s="3"/>
    </row>
    <row r="41" spans="1:10" x14ac:dyDescent="0.35">
      <c r="A41" s="22" t="s">
        <v>28</v>
      </c>
      <c r="B41" s="21">
        <f t="shared" si="14"/>
        <v>180100.09735950932</v>
      </c>
      <c r="C41" s="21">
        <f t="shared" si="10"/>
        <v>937.10617631116418</v>
      </c>
      <c r="D41" s="21">
        <f t="shared" si="11"/>
        <v>675.37536509815993</v>
      </c>
      <c r="E41" s="21">
        <f t="shared" si="12"/>
        <v>1612.4815414093241</v>
      </c>
      <c r="F41" s="21">
        <f t="shared" si="13"/>
        <v>179162.99118319817</v>
      </c>
      <c r="G41" s="16">
        <f>G27+1</f>
        <v>3</v>
      </c>
      <c r="H41" s="16"/>
      <c r="I41" s="16"/>
      <c r="J41" s="3"/>
    </row>
    <row r="42" spans="1:10" x14ac:dyDescent="0.35">
      <c r="A42" s="24" t="s">
        <v>29</v>
      </c>
      <c r="B42" s="21"/>
      <c r="C42" s="21">
        <f>SUM(C30:C41)</f>
        <v>11017.060344863959</v>
      </c>
      <c r="D42" s="21">
        <f>SUM(D30:D41)</f>
        <v>8332.7181520479298</v>
      </c>
      <c r="E42" s="21"/>
      <c r="F42" s="21"/>
      <c r="G42" s="16"/>
      <c r="H42" s="16"/>
      <c r="I42" s="16"/>
      <c r="J42" s="3"/>
    </row>
    <row r="43" spans="1:10" x14ac:dyDescent="0.35">
      <c r="A43" s="22"/>
      <c r="B43" s="21"/>
      <c r="C43" s="21"/>
      <c r="D43" s="21"/>
      <c r="E43" s="21"/>
      <c r="F43" s="21"/>
      <c r="G43" s="16"/>
      <c r="H43" s="16"/>
      <c r="I43" s="16"/>
      <c r="J43" s="3"/>
    </row>
    <row r="44" spans="1:10" x14ac:dyDescent="0.35">
      <c r="A44" s="20" t="s">
        <v>11</v>
      </c>
      <c r="B44" s="21">
        <f>+F41</f>
        <v>179162.99118319817</v>
      </c>
      <c r="C44" s="21">
        <f>+E44-D44</f>
        <v>940.62032447233094</v>
      </c>
      <c r="D44" s="21">
        <f>B44*$I$2</f>
        <v>671.86121693699317</v>
      </c>
      <c r="E44" s="21">
        <f t="shared" ref="E44:E55" si="15">-$I$9</f>
        <v>1612.4815414093241</v>
      </c>
      <c r="F44" s="21">
        <f>+B44-C44</f>
        <v>178222.37085872583</v>
      </c>
      <c r="G44" s="16"/>
      <c r="H44" s="16"/>
      <c r="I44" s="16"/>
      <c r="J44" s="3"/>
    </row>
    <row r="45" spans="1:10" x14ac:dyDescent="0.35">
      <c r="A45" s="22" t="s">
        <v>13</v>
      </c>
      <c r="B45" s="21">
        <f>+F44</f>
        <v>178222.37085872583</v>
      </c>
      <c r="C45" s="21">
        <f>+E45-D45</f>
        <v>944.14765068910231</v>
      </c>
      <c r="D45" s="21">
        <f>B45*$I$2</f>
        <v>668.3338907202218</v>
      </c>
      <c r="E45" s="21">
        <f t="shared" si="15"/>
        <v>1612.4815414093241</v>
      </c>
      <c r="F45" s="21">
        <f>+B45-C45</f>
        <v>177278.22320803674</v>
      </c>
      <c r="G45" s="16"/>
      <c r="H45" s="16"/>
      <c r="I45" s="16"/>
      <c r="J45" s="3"/>
    </row>
    <row r="46" spans="1:10" x14ac:dyDescent="0.35">
      <c r="A46" s="22" t="s">
        <v>15</v>
      </c>
      <c r="B46" s="21">
        <f>+F45</f>
        <v>177278.22320803674</v>
      </c>
      <c r="C46" s="21">
        <f>+E46-D46</f>
        <v>947.68820437918635</v>
      </c>
      <c r="D46" s="21">
        <f>B46*$I$2</f>
        <v>664.79333703013776</v>
      </c>
      <c r="E46" s="21">
        <f t="shared" si="15"/>
        <v>1612.4815414093241</v>
      </c>
      <c r="F46" s="21">
        <f>+B46-C46</f>
        <v>176330.53500365754</v>
      </c>
      <c r="G46" s="16"/>
      <c r="H46" s="16"/>
      <c r="I46" s="16"/>
      <c r="J46" s="3"/>
    </row>
    <row r="47" spans="1:10" x14ac:dyDescent="0.35">
      <c r="A47" s="22" t="s">
        <v>17</v>
      </c>
      <c r="B47" s="21">
        <f>+F46</f>
        <v>176330.53500365754</v>
      </c>
      <c r="C47" s="21">
        <f>+E47-D47</f>
        <v>951.24203514560838</v>
      </c>
      <c r="D47" s="21">
        <f>B47*$I$2</f>
        <v>661.23950626371573</v>
      </c>
      <c r="E47" s="21">
        <f t="shared" si="15"/>
        <v>1612.4815414093241</v>
      </c>
      <c r="F47" s="21">
        <f>+B47-C47</f>
        <v>175379.29296851193</v>
      </c>
      <c r="G47" s="16"/>
      <c r="H47" s="16"/>
      <c r="I47" s="16"/>
      <c r="J47" s="3"/>
    </row>
    <row r="48" spans="1:10" x14ac:dyDescent="0.35">
      <c r="A48" s="22" t="s">
        <v>19</v>
      </c>
      <c r="B48" s="21">
        <f t="shared" ref="B48:B55" si="16">+F47</f>
        <v>175379.29296851193</v>
      </c>
      <c r="C48" s="21">
        <f t="shared" ref="C48:C55" si="17">+E48-D48</f>
        <v>954.80919277740441</v>
      </c>
      <c r="D48" s="21">
        <f t="shared" ref="D48:D55" si="18">B48*$I$2</f>
        <v>657.6723486319197</v>
      </c>
      <c r="E48" s="21">
        <f t="shared" si="15"/>
        <v>1612.4815414093241</v>
      </c>
      <c r="F48" s="21">
        <f t="shared" ref="F48:F55" si="19">+B48-C48</f>
        <v>174424.48377573452</v>
      </c>
      <c r="G48" s="16"/>
      <c r="H48" s="16"/>
      <c r="I48" s="16"/>
      <c r="J48" s="3"/>
    </row>
    <row r="49" spans="1:10" x14ac:dyDescent="0.35">
      <c r="A49" s="22" t="s">
        <v>21</v>
      </c>
      <c r="B49" s="21">
        <f t="shared" si="16"/>
        <v>174424.48377573452</v>
      </c>
      <c r="C49" s="21">
        <f t="shared" si="17"/>
        <v>958.38972725031965</v>
      </c>
      <c r="D49" s="21">
        <f t="shared" si="18"/>
        <v>654.09181415900446</v>
      </c>
      <c r="E49" s="21">
        <f t="shared" si="15"/>
        <v>1612.4815414093241</v>
      </c>
      <c r="F49" s="21">
        <f t="shared" si="19"/>
        <v>173466.0940484842</v>
      </c>
      <c r="G49" s="16"/>
      <c r="H49" s="16"/>
      <c r="I49" s="16"/>
      <c r="J49" s="3"/>
    </row>
    <row r="50" spans="1:10" x14ac:dyDescent="0.35">
      <c r="A50" s="22" t="s">
        <v>23</v>
      </c>
      <c r="B50" s="21">
        <f t="shared" si="16"/>
        <v>173466.0940484842</v>
      </c>
      <c r="C50" s="21">
        <f t="shared" si="17"/>
        <v>961.98368872750837</v>
      </c>
      <c r="D50" s="21">
        <f t="shared" si="18"/>
        <v>650.49785268181574</v>
      </c>
      <c r="E50" s="21">
        <f t="shared" si="15"/>
        <v>1612.4815414093241</v>
      </c>
      <c r="F50" s="21">
        <f t="shared" si="19"/>
        <v>172504.11035975668</v>
      </c>
      <c r="G50" s="16"/>
      <c r="H50" s="16"/>
      <c r="I50" s="16"/>
      <c r="J50" s="3"/>
    </row>
    <row r="51" spans="1:10" x14ac:dyDescent="0.35">
      <c r="A51" s="22" t="s">
        <v>24</v>
      </c>
      <c r="B51" s="21">
        <f t="shared" si="16"/>
        <v>172504.11035975668</v>
      </c>
      <c r="C51" s="21">
        <f t="shared" si="17"/>
        <v>965.5911275602366</v>
      </c>
      <c r="D51" s="21">
        <f t="shared" si="18"/>
        <v>646.89041384908751</v>
      </c>
      <c r="E51" s="21">
        <f t="shared" si="15"/>
        <v>1612.4815414093241</v>
      </c>
      <c r="F51" s="21">
        <f t="shared" si="19"/>
        <v>171538.51923219644</v>
      </c>
      <c r="G51" s="16"/>
      <c r="H51" s="16"/>
      <c r="I51" s="16"/>
      <c r="J51" s="3"/>
    </row>
    <row r="52" spans="1:10" x14ac:dyDescent="0.35">
      <c r="A52" s="22" t="s">
        <v>25</v>
      </c>
      <c r="B52" s="21">
        <f t="shared" si="16"/>
        <v>171538.51923219644</v>
      </c>
      <c r="C52" s="21">
        <f t="shared" si="17"/>
        <v>969.21209428858742</v>
      </c>
      <c r="D52" s="21">
        <f t="shared" si="18"/>
        <v>643.26944712073669</v>
      </c>
      <c r="E52" s="21">
        <f t="shared" si="15"/>
        <v>1612.4815414093241</v>
      </c>
      <c r="F52" s="21">
        <f t="shared" si="19"/>
        <v>170569.30713790786</v>
      </c>
      <c r="G52" s="16"/>
      <c r="H52" s="16"/>
      <c r="I52" s="16"/>
      <c r="J52" s="3"/>
    </row>
    <row r="53" spans="1:10" x14ac:dyDescent="0.35">
      <c r="A53" s="22" t="s">
        <v>26</v>
      </c>
      <c r="B53" s="21">
        <f t="shared" si="16"/>
        <v>170569.30713790786</v>
      </c>
      <c r="C53" s="21">
        <f t="shared" si="17"/>
        <v>972.84663964216963</v>
      </c>
      <c r="D53" s="21">
        <f t="shared" si="18"/>
        <v>639.63490176715447</v>
      </c>
      <c r="E53" s="21">
        <f t="shared" si="15"/>
        <v>1612.4815414093241</v>
      </c>
      <c r="F53" s="21">
        <f t="shared" si="19"/>
        <v>169596.46049826569</v>
      </c>
      <c r="G53" s="16"/>
      <c r="H53" s="16"/>
      <c r="I53" s="16"/>
      <c r="J53" s="3"/>
    </row>
    <row r="54" spans="1:10" x14ac:dyDescent="0.35">
      <c r="A54" s="22" t="s">
        <v>27</v>
      </c>
      <c r="B54" s="21">
        <f t="shared" si="16"/>
        <v>169596.46049826569</v>
      </c>
      <c r="C54" s="21">
        <f t="shared" si="17"/>
        <v>976.49481454082775</v>
      </c>
      <c r="D54" s="21">
        <f t="shared" si="18"/>
        <v>635.98672686849636</v>
      </c>
      <c r="E54" s="21">
        <f t="shared" si="15"/>
        <v>1612.4815414093241</v>
      </c>
      <c r="F54" s="21">
        <f t="shared" si="19"/>
        <v>168619.96568372485</v>
      </c>
      <c r="G54" s="16"/>
      <c r="H54" s="16"/>
      <c r="I54" s="16"/>
      <c r="J54" s="3"/>
    </row>
    <row r="55" spans="1:10" x14ac:dyDescent="0.35">
      <c r="A55" s="22" t="s">
        <v>28</v>
      </c>
      <c r="B55" s="21">
        <f t="shared" si="16"/>
        <v>168619.96568372485</v>
      </c>
      <c r="C55" s="21">
        <f t="shared" si="17"/>
        <v>980.15667009535593</v>
      </c>
      <c r="D55" s="21">
        <f t="shared" si="18"/>
        <v>632.32487131396817</v>
      </c>
      <c r="E55" s="21">
        <f t="shared" si="15"/>
        <v>1612.4815414093241</v>
      </c>
      <c r="F55" s="21">
        <f t="shared" si="19"/>
        <v>167639.80901362948</v>
      </c>
      <c r="G55" s="16">
        <f>G41+1</f>
        <v>4</v>
      </c>
      <c r="H55" s="16"/>
      <c r="I55" s="16"/>
      <c r="J55" s="3"/>
    </row>
    <row r="56" spans="1:10" x14ac:dyDescent="0.35">
      <c r="A56" s="24" t="s">
        <v>29</v>
      </c>
      <c r="B56" s="21"/>
      <c r="C56" s="21">
        <f>SUM(C44:C55)</f>
        <v>11523.182169568638</v>
      </c>
      <c r="D56" s="21">
        <f>SUM(D44:D55)</f>
        <v>7826.5963273432526</v>
      </c>
      <c r="E56" s="21"/>
      <c r="F56" s="21"/>
      <c r="G56" s="16"/>
      <c r="H56" s="16"/>
      <c r="I56" s="16"/>
      <c r="J56" s="3"/>
    </row>
    <row r="57" spans="1:10" x14ac:dyDescent="0.35">
      <c r="A57" s="16"/>
      <c r="B57" s="21"/>
      <c r="C57" s="21"/>
      <c r="D57" s="21"/>
      <c r="E57" s="21"/>
      <c r="F57" s="21"/>
      <c r="G57" s="16"/>
      <c r="H57" s="16"/>
      <c r="I57" s="16"/>
      <c r="J57" s="3"/>
    </row>
    <row r="58" spans="1:10" x14ac:dyDescent="0.35">
      <c r="A58" s="20" t="s">
        <v>11</v>
      </c>
      <c r="B58" s="21">
        <f>+F55</f>
        <v>167639.80901362948</v>
      </c>
      <c r="C58" s="21">
        <f t="shared" ref="C58:C69" si="20">+E58-D58</f>
        <v>983.83225760821358</v>
      </c>
      <c r="D58" s="21">
        <f t="shared" ref="D58:D69" si="21">B58*$I$2</f>
        <v>628.64928380111053</v>
      </c>
      <c r="E58" s="21">
        <f t="shared" ref="E58:E69" si="22">-$I$9</f>
        <v>1612.4815414093241</v>
      </c>
      <c r="F58" s="21">
        <f t="shared" ref="F58:F69" si="23">+B58-C58</f>
        <v>166655.97675602126</v>
      </c>
      <c r="G58" s="16"/>
      <c r="H58" s="16"/>
      <c r="I58" s="16"/>
      <c r="J58" s="3"/>
    </row>
    <row r="59" spans="1:10" x14ac:dyDescent="0.35">
      <c r="A59" s="22" t="s">
        <v>13</v>
      </c>
      <c r="B59" s="21">
        <f t="shared" ref="B59:B69" si="24">+F58</f>
        <v>166655.97675602126</v>
      </c>
      <c r="C59" s="21">
        <f t="shared" si="20"/>
        <v>987.52162857424435</v>
      </c>
      <c r="D59" s="21">
        <f t="shared" si="21"/>
        <v>624.95991283507976</v>
      </c>
      <c r="E59" s="21">
        <f t="shared" si="22"/>
        <v>1612.4815414093241</v>
      </c>
      <c r="F59" s="21">
        <f t="shared" si="23"/>
        <v>165668.45512744703</v>
      </c>
      <c r="G59" s="16"/>
      <c r="H59" s="16"/>
      <c r="I59" s="16"/>
      <c r="J59" s="3"/>
    </row>
    <row r="60" spans="1:10" x14ac:dyDescent="0.35">
      <c r="A60" s="22" t="s">
        <v>15</v>
      </c>
      <c r="B60" s="21">
        <f t="shared" si="24"/>
        <v>165668.45512744703</v>
      </c>
      <c r="C60" s="21">
        <f t="shared" si="20"/>
        <v>991.22483468139774</v>
      </c>
      <c r="D60" s="21">
        <f t="shared" si="21"/>
        <v>621.25670672792637</v>
      </c>
      <c r="E60" s="21">
        <f t="shared" si="22"/>
        <v>1612.4815414093241</v>
      </c>
      <c r="F60" s="21">
        <f t="shared" si="23"/>
        <v>164677.23029276563</v>
      </c>
      <c r="G60" s="16"/>
      <c r="H60" s="16"/>
      <c r="I60" s="16"/>
      <c r="J60" s="3"/>
    </row>
    <row r="61" spans="1:10" x14ac:dyDescent="0.35">
      <c r="A61" s="22" t="s">
        <v>17</v>
      </c>
      <c r="B61" s="21">
        <f t="shared" si="24"/>
        <v>164677.23029276563</v>
      </c>
      <c r="C61" s="21">
        <f t="shared" si="20"/>
        <v>994.94192781145307</v>
      </c>
      <c r="D61" s="21">
        <f t="shared" si="21"/>
        <v>617.53961359787104</v>
      </c>
      <c r="E61" s="21">
        <f t="shared" si="22"/>
        <v>1612.4815414093241</v>
      </c>
      <c r="F61" s="21">
        <f t="shared" si="23"/>
        <v>163682.28836495418</v>
      </c>
      <c r="G61" s="16"/>
      <c r="H61" s="16"/>
      <c r="I61" s="16"/>
      <c r="J61" s="3"/>
    </row>
    <row r="62" spans="1:10" x14ac:dyDescent="0.35">
      <c r="A62" s="22" t="s">
        <v>19</v>
      </c>
      <c r="B62" s="21">
        <f t="shared" si="24"/>
        <v>163682.28836495418</v>
      </c>
      <c r="C62" s="21">
        <f t="shared" si="20"/>
        <v>998.67296004074592</v>
      </c>
      <c r="D62" s="21">
        <f t="shared" si="21"/>
        <v>613.80858136857819</v>
      </c>
      <c r="E62" s="21">
        <f t="shared" si="22"/>
        <v>1612.4815414093241</v>
      </c>
      <c r="F62" s="21">
        <f t="shared" si="23"/>
        <v>162683.61540491343</v>
      </c>
      <c r="G62" s="16"/>
      <c r="H62" s="16"/>
      <c r="I62" s="16"/>
      <c r="J62" s="3"/>
    </row>
    <row r="63" spans="1:10" x14ac:dyDescent="0.35">
      <c r="A63" s="22" t="s">
        <v>21</v>
      </c>
      <c r="B63" s="21">
        <f t="shared" si="24"/>
        <v>162683.61540491343</v>
      </c>
      <c r="C63" s="21">
        <f t="shared" si="20"/>
        <v>1002.4179836408988</v>
      </c>
      <c r="D63" s="21">
        <f t="shared" si="21"/>
        <v>610.06355776842531</v>
      </c>
      <c r="E63" s="21">
        <f t="shared" si="22"/>
        <v>1612.4815414093241</v>
      </c>
      <c r="F63" s="21">
        <f t="shared" si="23"/>
        <v>161681.19742127255</v>
      </c>
      <c r="G63" s="16"/>
      <c r="H63" s="16"/>
      <c r="I63" s="16"/>
      <c r="J63" s="3"/>
    </row>
    <row r="64" spans="1:10" x14ac:dyDescent="0.35">
      <c r="A64" s="22" t="s">
        <v>23</v>
      </c>
      <c r="B64" s="21">
        <f t="shared" si="24"/>
        <v>161681.19742127255</v>
      </c>
      <c r="C64" s="21">
        <f t="shared" si="20"/>
        <v>1006.177051079552</v>
      </c>
      <c r="D64" s="21">
        <f t="shared" si="21"/>
        <v>606.30449032977208</v>
      </c>
      <c r="E64" s="21">
        <f t="shared" si="22"/>
        <v>1612.4815414093241</v>
      </c>
      <c r="F64" s="21">
        <f t="shared" si="23"/>
        <v>160675.020370193</v>
      </c>
      <c r="G64" s="16"/>
      <c r="H64" s="16"/>
      <c r="I64" s="16"/>
      <c r="J64" s="3"/>
    </row>
    <row r="65" spans="1:10" x14ac:dyDescent="0.35">
      <c r="A65" s="22" t="s">
        <v>24</v>
      </c>
      <c r="B65" s="21">
        <f t="shared" si="24"/>
        <v>160675.020370193</v>
      </c>
      <c r="C65" s="21">
        <f t="shared" si="20"/>
        <v>1009.9502150211003</v>
      </c>
      <c r="D65" s="21">
        <f t="shared" si="21"/>
        <v>602.53132638822376</v>
      </c>
      <c r="E65" s="21">
        <f t="shared" si="22"/>
        <v>1612.4815414093241</v>
      </c>
      <c r="F65" s="21">
        <f t="shared" si="23"/>
        <v>159665.07015517191</v>
      </c>
      <c r="G65" s="16"/>
      <c r="H65" s="16"/>
      <c r="I65" s="16"/>
      <c r="J65" s="3"/>
    </row>
    <row r="66" spans="1:10" x14ac:dyDescent="0.35">
      <c r="A66" s="22" t="s">
        <v>25</v>
      </c>
      <c r="B66" s="21">
        <f t="shared" si="24"/>
        <v>159665.07015517191</v>
      </c>
      <c r="C66" s="21">
        <f t="shared" si="20"/>
        <v>1013.7375283274295</v>
      </c>
      <c r="D66" s="21">
        <f t="shared" si="21"/>
        <v>598.74401308189465</v>
      </c>
      <c r="E66" s="21">
        <f t="shared" si="22"/>
        <v>1612.4815414093241</v>
      </c>
      <c r="F66" s="21">
        <f t="shared" si="23"/>
        <v>158651.33262684449</v>
      </c>
      <c r="G66" s="16"/>
      <c r="H66" s="16"/>
      <c r="I66" s="16"/>
      <c r="J66" s="3"/>
    </row>
    <row r="67" spans="1:10" x14ac:dyDescent="0.35">
      <c r="A67" s="22" t="s">
        <v>26</v>
      </c>
      <c r="B67" s="21">
        <f t="shared" si="24"/>
        <v>158651.33262684449</v>
      </c>
      <c r="C67" s="21">
        <f t="shared" si="20"/>
        <v>1017.5390440586573</v>
      </c>
      <c r="D67" s="21">
        <f t="shared" si="21"/>
        <v>594.94249735066683</v>
      </c>
      <c r="E67" s="21">
        <f t="shared" si="22"/>
        <v>1612.4815414093241</v>
      </c>
      <c r="F67" s="21">
        <f t="shared" si="23"/>
        <v>157633.79358278585</v>
      </c>
      <c r="G67" s="16"/>
      <c r="H67" s="16"/>
      <c r="I67" s="16"/>
      <c r="J67" s="3"/>
    </row>
    <row r="68" spans="1:10" x14ac:dyDescent="0.35">
      <c r="A68" s="22" t="s">
        <v>27</v>
      </c>
      <c r="B68" s="21">
        <f t="shared" si="24"/>
        <v>157633.79358278585</v>
      </c>
      <c r="C68" s="21">
        <f t="shared" si="20"/>
        <v>1021.3548154738772</v>
      </c>
      <c r="D68" s="21">
        <f t="shared" si="21"/>
        <v>591.12672593544687</v>
      </c>
      <c r="E68" s="21">
        <f t="shared" si="22"/>
        <v>1612.4815414093241</v>
      </c>
      <c r="F68" s="21">
        <f t="shared" si="23"/>
        <v>156612.43876731198</v>
      </c>
      <c r="G68" s="16"/>
      <c r="H68" s="16"/>
      <c r="I68" s="16"/>
      <c r="J68" s="3"/>
    </row>
    <row r="69" spans="1:10" x14ac:dyDescent="0.35">
      <c r="A69" s="22" t="s">
        <v>28</v>
      </c>
      <c r="B69" s="21">
        <f t="shared" si="24"/>
        <v>156612.43876731198</v>
      </c>
      <c r="C69" s="21">
        <f t="shared" si="20"/>
        <v>1025.1848960319044</v>
      </c>
      <c r="D69" s="21">
        <f t="shared" si="21"/>
        <v>587.29664537741985</v>
      </c>
      <c r="E69" s="21">
        <f t="shared" si="22"/>
        <v>1612.4815414093241</v>
      </c>
      <c r="F69" s="21">
        <f t="shared" si="23"/>
        <v>155587.25387128006</v>
      </c>
      <c r="G69" s="16">
        <f>G55+1</f>
        <v>5</v>
      </c>
      <c r="H69" s="16"/>
      <c r="I69" s="16"/>
      <c r="J69" s="3"/>
    </row>
    <row r="70" spans="1:10" x14ac:dyDescent="0.35">
      <c r="A70" s="24" t="s">
        <v>29</v>
      </c>
      <c r="B70" s="21"/>
      <c r="C70" s="21">
        <f>SUM(C58:C69)</f>
        <v>12052.555142349473</v>
      </c>
      <c r="D70" s="21">
        <f>SUM(D58:D69)</f>
        <v>7297.2233545624158</v>
      </c>
      <c r="E70" s="21"/>
      <c r="F70" s="21"/>
      <c r="G70" s="16"/>
      <c r="H70" s="16"/>
      <c r="I70" s="16"/>
      <c r="J70" s="3"/>
    </row>
    <row r="71" spans="1:10" x14ac:dyDescent="0.35">
      <c r="A71" s="22"/>
      <c r="B71" s="21"/>
      <c r="C71" s="21"/>
      <c r="D71" s="21"/>
      <c r="E71" s="21"/>
      <c r="F71" s="21"/>
      <c r="G71" s="16"/>
      <c r="H71" s="16"/>
      <c r="I71" s="16"/>
      <c r="J71" s="3"/>
    </row>
    <row r="72" spans="1:10" x14ac:dyDescent="0.35">
      <c r="A72" s="20" t="s">
        <v>11</v>
      </c>
      <c r="B72" s="21">
        <f>+F69</f>
        <v>155587.25387128006</v>
      </c>
      <c r="C72" s="21">
        <f t="shared" ref="C72:C83" si="25">+E72-D72</f>
        <v>1029.0293393920238</v>
      </c>
      <c r="D72" s="21">
        <f t="shared" ref="D72:D83" si="26">B72*$I$2</f>
        <v>583.45220201730024</v>
      </c>
      <c r="E72" s="21">
        <f t="shared" ref="E72:E83" si="27">-$I$9</f>
        <v>1612.4815414093241</v>
      </c>
      <c r="F72" s="21">
        <f t="shared" ref="F72:F83" si="28">+B72-C72</f>
        <v>154558.22453188803</v>
      </c>
      <c r="G72" s="16"/>
      <c r="H72" s="16"/>
      <c r="I72" s="16"/>
      <c r="J72" s="3"/>
    </row>
    <row r="73" spans="1:10" x14ac:dyDescent="0.35">
      <c r="A73" s="22" t="s">
        <v>13</v>
      </c>
      <c r="B73" s="21">
        <f t="shared" ref="B73:B83" si="29">+F72</f>
        <v>154558.22453188803</v>
      </c>
      <c r="C73" s="21">
        <f t="shared" si="25"/>
        <v>1032.8881994147441</v>
      </c>
      <c r="D73" s="21">
        <f t="shared" si="26"/>
        <v>579.5933419945801</v>
      </c>
      <c r="E73" s="21">
        <f t="shared" si="27"/>
        <v>1612.4815414093241</v>
      </c>
      <c r="F73" s="21">
        <f t="shared" si="28"/>
        <v>153525.33633247329</v>
      </c>
      <c r="G73" s="16"/>
      <c r="H73" s="16"/>
      <c r="I73" s="16"/>
      <c r="J73" s="3"/>
    </row>
    <row r="74" spans="1:10" x14ac:dyDescent="0.35">
      <c r="A74" s="22" t="s">
        <v>15</v>
      </c>
      <c r="B74" s="21">
        <f t="shared" si="29"/>
        <v>153525.33633247329</v>
      </c>
      <c r="C74" s="21">
        <f t="shared" si="25"/>
        <v>1036.7615301625492</v>
      </c>
      <c r="D74" s="21">
        <f t="shared" si="26"/>
        <v>575.72001124677479</v>
      </c>
      <c r="E74" s="21">
        <f t="shared" si="27"/>
        <v>1612.4815414093241</v>
      </c>
      <c r="F74" s="21">
        <f t="shared" si="28"/>
        <v>152488.57480231073</v>
      </c>
      <c r="G74" s="16"/>
      <c r="H74" s="16"/>
      <c r="I74" s="16"/>
      <c r="J74" s="3"/>
    </row>
    <row r="75" spans="1:10" x14ac:dyDescent="0.35">
      <c r="A75" s="22" t="s">
        <v>17</v>
      </c>
      <c r="B75" s="21">
        <f t="shared" si="29"/>
        <v>152488.57480231073</v>
      </c>
      <c r="C75" s="21">
        <f t="shared" si="25"/>
        <v>1040.6493859006589</v>
      </c>
      <c r="D75" s="21">
        <f t="shared" si="26"/>
        <v>571.83215550866521</v>
      </c>
      <c r="E75" s="21">
        <f t="shared" si="27"/>
        <v>1612.4815414093241</v>
      </c>
      <c r="F75" s="21">
        <f t="shared" si="28"/>
        <v>151447.92541641006</v>
      </c>
      <c r="G75" s="16"/>
      <c r="H75" s="16"/>
      <c r="I75" s="16"/>
      <c r="J75" s="3"/>
    </row>
    <row r="76" spans="1:10" x14ac:dyDescent="0.35">
      <c r="A76" s="22" t="s">
        <v>19</v>
      </c>
      <c r="B76" s="21">
        <f t="shared" si="29"/>
        <v>151447.92541641006</v>
      </c>
      <c r="C76" s="21">
        <f t="shared" si="25"/>
        <v>1044.5518210977864</v>
      </c>
      <c r="D76" s="21">
        <f t="shared" si="26"/>
        <v>567.92972031153772</v>
      </c>
      <c r="E76" s="21">
        <f t="shared" si="27"/>
        <v>1612.4815414093241</v>
      </c>
      <c r="F76" s="21">
        <f t="shared" si="28"/>
        <v>150403.37359531227</v>
      </c>
      <c r="G76" s="16"/>
      <c r="H76" s="16"/>
      <c r="I76" s="16"/>
      <c r="J76" s="3"/>
    </row>
    <row r="77" spans="1:10" x14ac:dyDescent="0.35">
      <c r="A77" s="22" t="s">
        <v>21</v>
      </c>
      <c r="B77" s="21">
        <f t="shared" si="29"/>
        <v>150403.37359531227</v>
      </c>
      <c r="C77" s="21">
        <f t="shared" si="25"/>
        <v>1048.4688904269033</v>
      </c>
      <c r="D77" s="21">
        <f t="shared" si="26"/>
        <v>564.01265098242095</v>
      </c>
      <c r="E77" s="21">
        <f t="shared" si="27"/>
        <v>1612.4815414093241</v>
      </c>
      <c r="F77" s="21">
        <f t="shared" si="28"/>
        <v>149354.90470488535</v>
      </c>
      <c r="G77" s="16"/>
      <c r="H77" s="16"/>
      <c r="I77" s="16"/>
      <c r="J77" s="3"/>
    </row>
    <row r="78" spans="1:10" x14ac:dyDescent="0.35">
      <c r="A78" s="22" t="s">
        <v>23</v>
      </c>
      <c r="B78" s="21">
        <f t="shared" si="29"/>
        <v>149354.90470488535</v>
      </c>
      <c r="C78" s="21">
        <f t="shared" si="25"/>
        <v>1052.400648766004</v>
      </c>
      <c r="D78" s="21">
        <f t="shared" si="26"/>
        <v>560.08089264332</v>
      </c>
      <c r="E78" s="21">
        <f t="shared" si="27"/>
        <v>1612.4815414093241</v>
      </c>
      <c r="F78" s="21">
        <f t="shared" si="28"/>
        <v>148302.50405611936</v>
      </c>
      <c r="G78" s="16"/>
      <c r="H78" s="16"/>
      <c r="I78" s="16"/>
      <c r="J78" s="3"/>
    </row>
    <row r="79" spans="1:10" x14ac:dyDescent="0.35">
      <c r="A79" s="22" t="s">
        <v>24</v>
      </c>
      <c r="B79" s="21">
        <f t="shared" si="29"/>
        <v>148302.50405611936</v>
      </c>
      <c r="C79" s="21">
        <f t="shared" si="25"/>
        <v>1056.3471511988764</v>
      </c>
      <c r="D79" s="21">
        <f t="shared" si="26"/>
        <v>556.13439021044758</v>
      </c>
      <c r="E79" s="21">
        <f t="shared" si="27"/>
        <v>1612.4815414093241</v>
      </c>
      <c r="F79" s="21">
        <f t="shared" si="28"/>
        <v>147246.15690492047</v>
      </c>
      <c r="G79" s="16"/>
      <c r="H79" s="16"/>
      <c r="I79" s="16"/>
      <c r="J79" s="3"/>
    </row>
    <row r="80" spans="1:10" x14ac:dyDescent="0.35">
      <c r="A80" s="22" t="s">
        <v>25</v>
      </c>
      <c r="B80" s="21">
        <f t="shared" si="29"/>
        <v>147246.15690492047</v>
      </c>
      <c r="C80" s="21">
        <f t="shared" si="25"/>
        <v>1060.3084530158724</v>
      </c>
      <c r="D80" s="21">
        <f t="shared" si="26"/>
        <v>552.17308839345174</v>
      </c>
      <c r="E80" s="21">
        <f t="shared" si="27"/>
        <v>1612.4815414093241</v>
      </c>
      <c r="F80" s="21">
        <f t="shared" si="28"/>
        <v>146185.8484519046</v>
      </c>
      <c r="G80" s="16"/>
      <c r="H80" s="16"/>
      <c r="I80" s="16"/>
      <c r="J80" s="3"/>
    </row>
    <row r="81" spans="1:10" x14ac:dyDescent="0.35">
      <c r="A81" s="22" t="s">
        <v>26</v>
      </c>
      <c r="B81" s="21">
        <f t="shared" si="29"/>
        <v>146185.8484519046</v>
      </c>
      <c r="C81" s="21">
        <f t="shared" si="25"/>
        <v>1064.2846097146819</v>
      </c>
      <c r="D81" s="21">
        <f t="shared" si="26"/>
        <v>548.19693169464222</v>
      </c>
      <c r="E81" s="21">
        <f t="shared" si="27"/>
        <v>1612.4815414093241</v>
      </c>
      <c r="F81" s="21">
        <f t="shared" si="28"/>
        <v>145121.56384218993</v>
      </c>
      <c r="G81" s="16"/>
      <c r="H81" s="16"/>
      <c r="I81" s="16"/>
      <c r="J81" s="3"/>
    </row>
    <row r="82" spans="1:10" x14ac:dyDescent="0.35">
      <c r="A82" s="22" t="s">
        <v>27</v>
      </c>
      <c r="B82" s="21">
        <f t="shared" si="29"/>
        <v>145121.56384218993</v>
      </c>
      <c r="C82" s="21">
        <f t="shared" si="25"/>
        <v>1068.2756770011119</v>
      </c>
      <c r="D82" s="21">
        <f t="shared" si="26"/>
        <v>544.20586440821228</v>
      </c>
      <c r="E82" s="21">
        <f t="shared" si="27"/>
        <v>1612.4815414093241</v>
      </c>
      <c r="F82" s="21">
        <f t="shared" si="28"/>
        <v>144053.28816518883</v>
      </c>
      <c r="G82" s="16"/>
      <c r="H82" s="16"/>
      <c r="I82" s="16"/>
      <c r="J82" s="3"/>
    </row>
    <row r="83" spans="1:10" x14ac:dyDescent="0.35">
      <c r="A83" s="22" t="s">
        <v>28</v>
      </c>
      <c r="B83" s="21">
        <f t="shared" si="29"/>
        <v>144053.28816518883</v>
      </c>
      <c r="C83" s="21">
        <f t="shared" si="25"/>
        <v>1072.2817107898659</v>
      </c>
      <c r="D83" s="21">
        <f t="shared" si="26"/>
        <v>540.19983061945811</v>
      </c>
      <c r="E83" s="21">
        <f t="shared" si="27"/>
        <v>1612.4815414093241</v>
      </c>
      <c r="F83" s="21">
        <f t="shared" si="28"/>
        <v>142981.00645439897</v>
      </c>
      <c r="G83" s="16">
        <f>G69+1</f>
        <v>6</v>
      </c>
      <c r="H83" s="16"/>
      <c r="I83" s="16"/>
      <c r="J83" s="3"/>
    </row>
    <row r="84" spans="1:10" x14ac:dyDescent="0.35">
      <c r="A84" s="24" t="s">
        <v>29</v>
      </c>
      <c r="B84" s="21"/>
      <c r="C84" s="21">
        <f>SUM(C72:C83)</f>
        <v>12606.247416881077</v>
      </c>
      <c r="D84" s="21">
        <f>SUM(D72:D83)</f>
        <v>6743.5310800308116</v>
      </c>
      <c r="E84" s="21"/>
      <c r="F84" s="21"/>
      <c r="G84" s="16"/>
      <c r="H84" s="16"/>
      <c r="I84" s="16"/>
      <c r="J84" s="3"/>
    </row>
    <row r="85" spans="1:10" x14ac:dyDescent="0.35">
      <c r="A85" s="22"/>
      <c r="B85" s="21"/>
      <c r="C85" s="21"/>
      <c r="D85" s="21"/>
      <c r="E85" s="21"/>
      <c r="F85" s="21"/>
      <c r="G85" s="16"/>
      <c r="H85" s="16"/>
      <c r="I85" s="16"/>
      <c r="J85" s="3"/>
    </row>
    <row r="86" spans="1:10" x14ac:dyDescent="0.35">
      <c r="A86" s="20" t="s">
        <v>11</v>
      </c>
      <c r="B86" s="21">
        <f>+F83</f>
        <v>142981.00645439897</v>
      </c>
      <c r="C86" s="21">
        <f>+E86-D86</f>
        <v>1076.3027672053281</v>
      </c>
      <c r="D86" s="21">
        <f>B86*$I$2</f>
        <v>536.17877420399611</v>
      </c>
      <c r="E86" s="21">
        <f t="shared" ref="E86:E97" si="30">-$I$9</f>
        <v>1612.4815414093241</v>
      </c>
      <c r="F86" s="21">
        <f>+B86-C86</f>
        <v>141904.70368719366</v>
      </c>
      <c r="G86" s="3"/>
      <c r="H86" s="3"/>
      <c r="I86" s="3"/>
      <c r="J86" s="3"/>
    </row>
    <row r="87" spans="1:10" x14ac:dyDescent="0.35">
      <c r="A87" s="22" t="s">
        <v>13</v>
      </c>
      <c r="B87" s="21">
        <f>+F86</f>
        <v>141904.70368719366</v>
      </c>
      <c r="C87" s="21">
        <f>+E87-D87</f>
        <v>1080.3389025823481</v>
      </c>
      <c r="D87" s="21">
        <f>B87*$I$2</f>
        <v>532.14263882697617</v>
      </c>
      <c r="E87" s="21">
        <f t="shared" si="30"/>
        <v>1612.4815414093241</v>
      </c>
      <c r="F87" s="21">
        <f>+B87-C87</f>
        <v>140824.3647846113</v>
      </c>
      <c r="G87" s="3"/>
      <c r="H87" s="3"/>
      <c r="I87" s="3"/>
      <c r="J87" s="3"/>
    </row>
    <row r="88" spans="1:10" x14ac:dyDescent="0.35">
      <c r="A88" s="22" t="s">
        <v>15</v>
      </c>
      <c r="B88" s="21">
        <f>+F87</f>
        <v>140824.3647846113</v>
      </c>
      <c r="C88" s="21">
        <f>+E88-D88</f>
        <v>1084.3901734670317</v>
      </c>
      <c r="D88" s="21">
        <f>B88*$I$2</f>
        <v>528.09136794229232</v>
      </c>
      <c r="E88" s="21">
        <f t="shared" si="30"/>
        <v>1612.4815414093241</v>
      </c>
      <c r="F88" s="21">
        <f>+B88-C88</f>
        <v>139739.97461114428</v>
      </c>
    </row>
    <row r="89" spans="1:10" x14ac:dyDescent="0.35">
      <c r="A89" s="22" t="s">
        <v>17</v>
      </c>
      <c r="B89" s="21">
        <f>+F88</f>
        <v>139739.97461114428</v>
      </c>
      <c r="C89" s="21">
        <f>+E89-D89</f>
        <v>1088.4566366175331</v>
      </c>
      <c r="D89" s="21">
        <f>B89*$I$2</f>
        <v>524.02490479179107</v>
      </c>
      <c r="E89" s="21">
        <f t="shared" si="30"/>
        <v>1612.4815414093241</v>
      </c>
      <c r="F89" s="21">
        <f>+B89-C89</f>
        <v>138651.51797452674</v>
      </c>
    </row>
    <row r="90" spans="1:10" x14ac:dyDescent="0.35">
      <c r="A90" s="22" t="s">
        <v>19</v>
      </c>
      <c r="B90" s="21">
        <f t="shared" ref="B90:B97" si="31">+F89</f>
        <v>138651.51797452674</v>
      </c>
      <c r="C90" s="21">
        <f t="shared" ref="C90:C97" si="32">+E90-D90</f>
        <v>1092.5383490048489</v>
      </c>
      <c r="D90" s="21">
        <f t="shared" ref="D90:D97" si="33">B90*$I$2</f>
        <v>519.94319240447521</v>
      </c>
      <c r="E90" s="21">
        <f t="shared" si="30"/>
        <v>1612.4815414093241</v>
      </c>
      <c r="F90" s="21">
        <f t="shared" ref="F90:F97" si="34">+B90-C90</f>
        <v>137558.9796255219</v>
      </c>
    </row>
    <row r="91" spans="1:10" x14ac:dyDescent="0.35">
      <c r="A91" s="22" t="s">
        <v>21</v>
      </c>
      <c r="B91" s="21">
        <f t="shared" si="31"/>
        <v>137558.9796255219</v>
      </c>
      <c r="C91" s="21">
        <f t="shared" si="32"/>
        <v>1096.635367813617</v>
      </c>
      <c r="D91" s="21">
        <f t="shared" si="33"/>
        <v>515.84617359570711</v>
      </c>
      <c r="E91" s="21">
        <f t="shared" si="30"/>
        <v>1612.4815414093241</v>
      </c>
      <c r="F91" s="21">
        <f t="shared" si="34"/>
        <v>136462.34425770829</v>
      </c>
    </row>
    <row r="92" spans="1:10" x14ac:dyDescent="0.35">
      <c r="A92" s="22" t="s">
        <v>23</v>
      </c>
      <c r="B92" s="21">
        <f t="shared" si="31"/>
        <v>136462.34425770829</v>
      </c>
      <c r="C92" s="21">
        <f t="shared" si="32"/>
        <v>1100.747750442918</v>
      </c>
      <c r="D92" s="21">
        <f t="shared" si="33"/>
        <v>511.73379096640605</v>
      </c>
      <c r="E92" s="21">
        <f t="shared" si="30"/>
        <v>1612.4815414093241</v>
      </c>
      <c r="F92" s="21">
        <f t="shared" si="34"/>
        <v>135361.59650726538</v>
      </c>
    </row>
    <row r="93" spans="1:10" x14ac:dyDescent="0.35">
      <c r="A93" s="22" t="s">
        <v>24</v>
      </c>
      <c r="B93" s="21">
        <f t="shared" si="31"/>
        <v>135361.59650726538</v>
      </c>
      <c r="C93" s="21">
        <f t="shared" si="32"/>
        <v>1104.875554507079</v>
      </c>
      <c r="D93" s="21">
        <f t="shared" si="33"/>
        <v>507.60598690224515</v>
      </c>
      <c r="E93" s="21">
        <f t="shared" si="30"/>
        <v>1612.4815414093241</v>
      </c>
      <c r="F93" s="21">
        <f t="shared" si="34"/>
        <v>134256.7209527583</v>
      </c>
    </row>
    <row r="94" spans="1:10" x14ac:dyDescent="0.35">
      <c r="A94" s="22" t="s">
        <v>25</v>
      </c>
      <c r="B94" s="21">
        <f t="shared" si="31"/>
        <v>134256.7209527583</v>
      </c>
      <c r="C94" s="21">
        <f t="shared" si="32"/>
        <v>1109.0188378364805</v>
      </c>
      <c r="D94" s="21">
        <f t="shared" si="33"/>
        <v>503.46270357284362</v>
      </c>
      <c r="E94" s="21">
        <f t="shared" si="30"/>
        <v>1612.4815414093241</v>
      </c>
      <c r="F94" s="21">
        <f t="shared" si="34"/>
        <v>133147.70211492182</v>
      </c>
    </row>
    <row r="95" spans="1:10" x14ac:dyDescent="0.35">
      <c r="A95" s="22" t="s">
        <v>26</v>
      </c>
      <c r="B95" s="21">
        <f t="shared" si="31"/>
        <v>133147.70211492182</v>
      </c>
      <c r="C95" s="21">
        <f t="shared" si="32"/>
        <v>1113.1776584783672</v>
      </c>
      <c r="D95" s="21">
        <f t="shared" si="33"/>
        <v>499.30388293095683</v>
      </c>
      <c r="E95" s="21">
        <f t="shared" si="30"/>
        <v>1612.4815414093241</v>
      </c>
      <c r="F95" s="21">
        <f t="shared" si="34"/>
        <v>132034.52445644344</v>
      </c>
    </row>
    <row r="96" spans="1:10" x14ac:dyDescent="0.35">
      <c r="A96" s="22" t="s">
        <v>27</v>
      </c>
      <c r="B96" s="21">
        <f t="shared" si="31"/>
        <v>132034.52445644344</v>
      </c>
      <c r="C96" s="21">
        <f t="shared" si="32"/>
        <v>1117.3520746976612</v>
      </c>
      <c r="D96" s="21">
        <f t="shared" si="33"/>
        <v>495.12946671166287</v>
      </c>
      <c r="E96" s="21">
        <f t="shared" si="30"/>
        <v>1612.4815414093241</v>
      </c>
      <c r="F96" s="21">
        <f t="shared" si="34"/>
        <v>130917.17238174578</v>
      </c>
    </row>
    <row r="97" spans="1:7" x14ac:dyDescent="0.35">
      <c r="A97" s="22" t="s">
        <v>28</v>
      </c>
      <c r="B97" s="21">
        <f t="shared" si="31"/>
        <v>130917.17238174578</v>
      </c>
      <c r="C97" s="21">
        <f t="shared" si="32"/>
        <v>1121.5421449777775</v>
      </c>
      <c r="D97" s="21">
        <f t="shared" si="33"/>
        <v>490.93939643154664</v>
      </c>
      <c r="E97" s="21">
        <f t="shared" si="30"/>
        <v>1612.4815414093241</v>
      </c>
      <c r="F97" s="21">
        <f t="shared" si="34"/>
        <v>129795.630236768</v>
      </c>
      <c r="G97" s="16">
        <f>G83+1</f>
        <v>7</v>
      </c>
    </row>
    <row r="98" spans="1:7" x14ac:dyDescent="0.35">
      <c r="A98" s="24" t="s">
        <v>29</v>
      </c>
      <c r="B98" s="21"/>
      <c r="C98" s="21">
        <f>SUM(C86:C97)</f>
        <v>13185.37621763099</v>
      </c>
      <c r="D98" s="21">
        <f>SUM(D86:D97)</f>
        <v>6164.4022792808992</v>
      </c>
      <c r="E98" s="21"/>
      <c r="F98" s="21"/>
    </row>
    <row r="100" spans="1:7" x14ac:dyDescent="0.35">
      <c r="A100" s="20" t="s">
        <v>11</v>
      </c>
      <c r="B100" s="21">
        <f>+F97</f>
        <v>129795.630236768</v>
      </c>
      <c r="C100" s="21">
        <f t="shared" ref="C100:C111" si="35">+E100-D100</f>
        <v>1125.7479280214441</v>
      </c>
      <c r="D100" s="21">
        <f t="shared" ref="D100:D111" si="36">B100*$I$2</f>
        <v>486.73361338787998</v>
      </c>
      <c r="E100" s="21">
        <f t="shared" ref="E100:E111" si="37">-$I$9</f>
        <v>1612.4815414093241</v>
      </c>
      <c r="F100" s="21">
        <f t="shared" ref="F100:F111" si="38">+B100-C100</f>
        <v>128669.88230874656</v>
      </c>
    </row>
    <row r="101" spans="1:7" x14ac:dyDescent="0.35">
      <c r="A101" s="22" t="s">
        <v>13</v>
      </c>
      <c r="B101" s="21">
        <f t="shared" ref="B101:B111" si="39">+F100</f>
        <v>128669.88230874656</v>
      </c>
      <c r="C101" s="21">
        <f t="shared" si="35"/>
        <v>1129.9694827515245</v>
      </c>
      <c r="D101" s="21">
        <f t="shared" si="36"/>
        <v>482.51205865779957</v>
      </c>
      <c r="E101" s="21">
        <f t="shared" si="37"/>
        <v>1612.4815414093241</v>
      </c>
      <c r="F101" s="21">
        <f t="shared" si="38"/>
        <v>127539.91282599504</v>
      </c>
    </row>
    <row r="102" spans="1:7" x14ac:dyDescent="0.35">
      <c r="A102" s="22" t="s">
        <v>15</v>
      </c>
      <c r="B102" s="21">
        <f t="shared" si="39"/>
        <v>127539.91282599504</v>
      </c>
      <c r="C102" s="21">
        <f t="shared" si="35"/>
        <v>1134.2068683118428</v>
      </c>
      <c r="D102" s="21">
        <f t="shared" si="36"/>
        <v>478.27467309748135</v>
      </c>
      <c r="E102" s="21">
        <f t="shared" si="37"/>
        <v>1612.4815414093241</v>
      </c>
      <c r="F102" s="21">
        <f t="shared" si="38"/>
        <v>126405.7059576832</v>
      </c>
    </row>
    <row r="103" spans="1:7" x14ac:dyDescent="0.35">
      <c r="A103" s="22" t="s">
        <v>17</v>
      </c>
      <c r="B103" s="21">
        <f t="shared" si="39"/>
        <v>126405.7059576832</v>
      </c>
      <c r="C103" s="21">
        <f t="shared" si="35"/>
        <v>1138.4601440680121</v>
      </c>
      <c r="D103" s="21">
        <f t="shared" si="36"/>
        <v>474.02139734131197</v>
      </c>
      <c r="E103" s="21">
        <f t="shared" si="37"/>
        <v>1612.4815414093241</v>
      </c>
      <c r="F103" s="21">
        <f t="shared" si="38"/>
        <v>125267.24581361518</v>
      </c>
    </row>
    <row r="104" spans="1:7" x14ac:dyDescent="0.35">
      <c r="A104" s="22" t="s">
        <v>19</v>
      </c>
      <c r="B104" s="21">
        <f t="shared" si="39"/>
        <v>125267.24581361518</v>
      </c>
      <c r="C104" s="21">
        <f t="shared" si="35"/>
        <v>1142.7293696082672</v>
      </c>
      <c r="D104" s="21">
        <f t="shared" si="36"/>
        <v>469.75217180105693</v>
      </c>
      <c r="E104" s="21">
        <f t="shared" si="37"/>
        <v>1612.4815414093241</v>
      </c>
      <c r="F104" s="21">
        <f t="shared" si="38"/>
        <v>124124.51644400692</v>
      </c>
    </row>
    <row r="105" spans="1:7" x14ac:dyDescent="0.35">
      <c r="A105" s="22" t="s">
        <v>21</v>
      </c>
      <c r="B105" s="21">
        <f t="shared" si="39"/>
        <v>124124.51644400692</v>
      </c>
      <c r="C105" s="21">
        <f t="shared" si="35"/>
        <v>1147.0146047442981</v>
      </c>
      <c r="D105" s="21">
        <f t="shared" si="36"/>
        <v>465.46693666502591</v>
      </c>
      <c r="E105" s="21">
        <f t="shared" si="37"/>
        <v>1612.4815414093241</v>
      </c>
      <c r="F105" s="21">
        <f t="shared" si="38"/>
        <v>122977.50183926262</v>
      </c>
    </row>
    <row r="106" spans="1:7" x14ac:dyDescent="0.35">
      <c r="A106" s="22" t="s">
        <v>23</v>
      </c>
      <c r="B106" s="21">
        <f t="shared" si="39"/>
        <v>122977.50183926262</v>
      </c>
      <c r="C106" s="21">
        <f t="shared" si="35"/>
        <v>1151.3159095120893</v>
      </c>
      <c r="D106" s="21">
        <f t="shared" si="36"/>
        <v>461.16563189723479</v>
      </c>
      <c r="E106" s="21">
        <f t="shared" si="37"/>
        <v>1612.4815414093241</v>
      </c>
      <c r="F106" s="21">
        <f t="shared" si="38"/>
        <v>121826.18592975053</v>
      </c>
    </row>
    <row r="107" spans="1:7" x14ac:dyDescent="0.35">
      <c r="A107" s="22" t="s">
        <v>24</v>
      </c>
      <c r="B107" s="21">
        <f t="shared" si="39"/>
        <v>121826.18592975053</v>
      </c>
      <c r="C107" s="21">
        <f t="shared" si="35"/>
        <v>1155.6333441727597</v>
      </c>
      <c r="D107" s="21">
        <f t="shared" si="36"/>
        <v>456.84819723656449</v>
      </c>
      <c r="E107" s="21">
        <f t="shared" si="37"/>
        <v>1612.4815414093241</v>
      </c>
      <c r="F107" s="21">
        <f t="shared" si="38"/>
        <v>120670.55258557777</v>
      </c>
    </row>
    <row r="108" spans="1:7" x14ac:dyDescent="0.35">
      <c r="A108" s="22" t="s">
        <v>25</v>
      </c>
      <c r="B108" s="21">
        <f t="shared" si="39"/>
        <v>120670.55258557777</v>
      </c>
      <c r="C108" s="21">
        <f t="shared" si="35"/>
        <v>1159.9669692134075</v>
      </c>
      <c r="D108" s="21">
        <f t="shared" si="36"/>
        <v>452.51457219591663</v>
      </c>
      <c r="E108" s="21">
        <f t="shared" si="37"/>
        <v>1612.4815414093241</v>
      </c>
      <c r="F108" s="21">
        <f t="shared" si="38"/>
        <v>119510.58561636436</v>
      </c>
    </row>
    <row r="109" spans="1:7" x14ac:dyDescent="0.35">
      <c r="A109" s="22" t="s">
        <v>26</v>
      </c>
      <c r="B109" s="21">
        <f t="shared" si="39"/>
        <v>119510.58561636436</v>
      </c>
      <c r="C109" s="21">
        <f t="shared" si="35"/>
        <v>1164.3168453479577</v>
      </c>
      <c r="D109" s="21">
        <f t="shared" si="36"/>
        <v>448.16469606136633</v>
      </c>
      <c r="E109" s="21">
        <f t="shared" si="37"/>
        <v>1612.4815414093241</v>
      </c>
      <c r="F109" s="21">
        <f t="shared" si="38"/>
        <v>118346.2687710164</v>
      </c>
    </row>
    <row r="110" spans="1:7" x14ac:dyDescent="0.35">
      <c r="A110" s="22" t="s">
        <v>27</v>
      </c>
      <c r="B110" s="21">
        <f t="shared" si="39"/>
        <v>118346.2687710164</v>
      </c>
      <c r="C110" s="21">
        <f t="shared" si="35"/>
        <v>1168.6830335180125</v>
      </c>
      <c r="D110" s="21">
        <f t="shared" si="36"/>
        <v>443.79850789131149</v>
      </c>
      <c r="E110" s="21">
        <f t="shared" si="37"/>
        <v>1612.4815414093241</v>
      </c>
      <c r="F110" s="21">
        <f t="shared" si="38"/>
        <v>117177.58573749839</v>
      </c>
    </row>
    <row r="111" spans="1:7" x14ac:dyDescent="0.35">
      <c r="A111" s="22" t="s">
        <v>28</v>
      </c>
      <c r="B111" s="21">
        <f t="shared" si="39"/>
        <v>117177.58573749839</v>
      </c>
      <c r="C111" s="21">
        <f t="shared" si="35"/>
        <v>1173.0655948937051</v>
      </c>
      <c r="D111" s="21">
        <f t="shared" si="36"/>
        <v>439.41594651561894</v>
      </c>
      <c r="E111" s="21">
        <f t="shared" si="37"/>
        <v>1612.4815414093241</v>
      </c>
      <c r="F111" s="21">
        <f t="shared" si="38"/>
        <v>116004.52014260468</v>
      </c>
      <c r="G111" s="16">
        <f>G97+1</f>
        <v>8</v>
      </c>
    </row>
    <row r="112" spans="1:7" x14ac:dyDescent="0.35">
      <c r="A112" s="24" t="s">
        <v>29</v>
      </c>
      <c r="B112" s="21"/>
      <c r="C112" s="21">
        <f>SUM(C100:C111)</f>
        <v>13791.110094163321</v>
      </c>
      <c r="D112" s="21">
        <f>SUM(D100:D111)</f>
        <v>5558.668402748569</v>
      </c>
      <c r="E112" s="21"/>
      <c r="F112" s="21"/>
    </row>
    <row r="113" spans="1:7" x14ac:dyDescent="0.35">
      <c r="A113" s="22"/>
      <c r="B113" s="21"/>
      <c r="C113" s="21"/>
      <c r="D113" s="21"/>
      <c r="E113" s="21"/>
      <c r="F113" s="21"/>
    </row>
    <row r="114" spans="1:7" x14ac:dyDescent="0.35">
      <c r="A114" s="20" t="s">
        <v>11</v>
      </c>
      <c r="B114" s="21">
        <f>+F111</f>
        <v>116004.52014260468</v>
      </c>
      <c r="C114" s="21">
        <f t="shared" ref="C114:C125" si="40">+E114-D114</f>
        <v>1177.4645908745565</v>
      </c>
      <c r="D114" s="21">
        <f t="shared" ref="D114:D125" si="41">B114*$I$2</f>
        <v>435.01695053476755</v>
      </c>
      <c r="E114" s="21">
        <f t="shared" ref="E114:E125" si="42">-$I$9</f>
        <v>1612.4815414093241</v>
      </c>
      <c r="F114" s="21">
        <f t="shared" ref="F114:F125" si="43">+B114-C114</f>
        <v>114827.05555173013</v>
      </c>
    </row>
    <row r="115" spans="1:7" x14ac:dyDescent="0.35">
      <c r="A115" s="22" t="s">
        <v>13</v>
      </c>
      <c r="B115" s="21">
        <f t="shared" ref="B115:B125" si="44">+F114</f>
        <v>114827.05555173013</v>
      </c>
      <c r="C115" s="21">
        <f t="shared" si="40"/>
        <v>1181.880083090336</v>
      </c>
      <c r="D115" s="21">
        <f t="shared" si="41"/>
        <v>430.60145831898797</v>
      </c>
      <c r="E115" s="21">
        <f t="shared" si="42"/>
        <v>1612.4815414093241</v>
      </c>
      <c r="F115" s="21">
        <f t="shared" si="43"/>
        <v>113645.17546863979</v>
      </c>
    </row>
    <row r="116" spans="1:7" x14ac:dyDescent="0.35">
      <c r="A116" s="22" t="s">
        <v>15</v>
      </c>
      <c r="B116" s="21">
        <f t="shared" si="44"/>
        <v>113645.17546863979</v>
      </c>
      <c r="C116" s="21">
        <f t="shared" si="40"/>
        <v>1186.3121334019249</v>
      </c>
      <c r="D116" s="21">
        <f t="shared" si="41"/>
        <v>426.16940800739923</v>
      </c>
      <c r="E116" s="21">
        <f t="shared" si="42"/>
        <v>1612.4815414093241</v>
      </c>
      <c r="F116" s="21">
        <f t="shared" si="43"/>
        <v>112458.86333523787</v>
      </c>
    </row>
    <row r="117" spans="1:7" x14ac:dyDescent="0.35">
      <c r="A117" s="22" t="s">
        <v>17</v>
      </c>
      <c r="B117" s="21">
        <f t="shared" si="44"/>
        <v>112458.86333523787</v>
      </c>
      <c r="C117" s="21">
        <f t="shared" si="40"/>
        <v>1190.760803902182</v>
      </c>
      <c r="D117" s="21">
        <f t="shared" si="41"/>
        <v>421.72073750714196</v>
      </c>
      <c r="E117" s="21">
        <f t="shared" si="42"/>
        <v>1612.4815414093241</v>
      </c>
      <c r="F117" s="21">
        <f t="shared" si="43"/>
        <v>111268.10253133568</v>
      </c>
    </row>
    <row r="118" spans="1:7" x14ac:dyDescent="0.35">
      <c r="A118" s="22" t="s">
        <v>19</v>
      </c>
      <c r="B118" s="21">
        <f t="shared" si="44"/>
        <v>111268.10253133568</v>
      </c>
      <c r="C118" s="21">
        <f t="shared" si="40"/>
        <v>1195.2261569168154</v>
      </c>
      <c r="D118" s="21">
        <f t="shared" si="41"/>
        <v>417.25538449250877</v>
      </c>
      <c r="E118" s="21">
        <f t="shared" si="42"/>
        <v>1612.4815414093241</v>
      </c>
      <c r="F118" s="21">
        <f t="shared" si="43"/>
        <v>110072.87637441886</v>
      </c>
    </row>
    <row r="119" spans="1:7" x14ac:dyDescent="0.35">
      <c r="A119" s="22" t="s">
        <v>21</v>
      </c>
      <c r="B119" s="21">
        <f t="shared" si="44"/>
        <v>110072.87637441886</v>
      </c>
      <c r="C119" s="21">
        <f t="shared" si="40"/>
        <v>1199.7082550052535</v>
      </c>
      <c r="D119" s="21">
        <f t="shared" si="41"/>
        <v>412.77328640407069</v>
      </c>
      <c r="E119" s="21">
        <f t="shared" si="42"/>
        <v>1612.4815414093241</v>
      </c>
      <c r="F119" s="21">
        <f t="shared" si="43"/>
        <v>108873.1681194136</v>
      </c>
    </row>
    <row r="120" spans="1:7" x14ac:dyDescent="0.35">
      <c r="A120" s="22" t="s">
        <v>23</v>
      </c>
      <c r="B120" s="21">
        <f t="shared" si="44"/>
        <v>108873.1681194136</v>
      </c>
      <c r="C120" s="21">
        <f t="shared" si="40"/>
        <v>1204.2071609615232</v>
      </c>
      <c r="D120" s="21">
        <f t="shared" si="41"/>
        <v>408.27438044780098</v>
      </c>
      <c r="E120" s="21">
        <f t="shared" si="42"/>
        <v>1612.4815414093241</v>
      </c>
      <c r="F120" s="21">
        <f t="shared" si="43"/>
        <v>107668.96095845208</v>
      </c>
    </row>
    <row r="121" spans="1:7" x14ac:dyDescent="0.35">
      <c r="A121" s="22" t="s">
        <v>24</v>
      </c>
      <c r="B121" s="21">
        <f t="shared" si="44"/>
        <v>107668.96095845208</v>
      </c>
      <c r="C121" s="21">
        <f t="shared" si="40"/>
        <v>1208.7229378151287</v>
      </c>
      <c r="D121" s="21">
        <f t="shared" si="41"/>
        <v>403.75860359419528</v>
      </c>
      <c r="E121" s="21">
        <f t="shared" si="42"/>
        <v>1612.4815414093241</v>
      </c>
      <c r="F121" s="21">
        <f t="shared" si="43"/>
        <v>106460.23802063696</v>
      </c>
    </row>
    <row r="122" spans="1:7" x14ac:dyDescent="0.35">
      <c r="A122" s="22" t="s">
        <v>25</v>
      </c>
      <c r="B122" s="21">
        <f t="shared" si="44"/>
        <v>106460.23802063696</v>
      </c>
      <c r="C122" s="21">
        <f t="shared" si="40"/>
        <v>1213.2556488319356</v>
      </c>
      <c r="D122" s="21">
        <f t="shared" si="41"/>
        <v>399.22589257738855</v>
      </c>
      <c r="E122" s="21">
        <f t="shared" si="42"/>
        <v>1612.4815414093241</v>
      </c>
      <c r="F122" s="21">
        <f t="shared" si="43"/>
        <v>105246.98237180502</v>
      </c>
    </row>
    <row r="123" spans="1:7" x14ac:dyDescent="0.35">
      <c r="A123" s="22" t="s">
        <v>26</v>
      </c>
      <c r="B123" s="21">
        <f t="shared" si="44"/>
        <v>105246.98237180502</v>
      </c>
      <c r="C123" s="21">
        <f t="shared" si="40"/>
        <v>1217.8053575150552</v>
      </c>
      <c r="D123" s="21">
        <f t="shared" si="41"/>
        <v>394.67618389426877</v>
      </c>
      <c r="E123" s="21">
        <f t="shared" si="42"/>
        <v>1612.4815414093241</v>
      </c>
      <c r="F123" s="21">
        <f t="shared" si="43"/>
        <v>104029.17701428996</v>
      </c>
    </row>
    <row r="124" spans="1:7" x14ac:dyDescent="0.35">
      <c r="A124" s="22" t="s">
        <v>27</v>
      </c>
      <c r="B124" s="21">
        <f t="shared" si="44"/>
        <v>104029.17701428996</v>
      </c>
      <c r="C124" s="21">
        <f t="shared" si="40"/>
        <v>1222.3721276057368</v>
      </c>
      <c r="D124" s="21">
        <f t="shared" si="41"/>
        <v>390.10941380358736</v>
      </c>
      <c r="E124" s="21">
        <f t="shared" si="42"/>
        <v>1612.4815414093241</v>
      </c>
      <c r="F124" s="21">
        <f t="shared" si="43"/>
        <v>102806.80488668423</v>
      </c>
    </row>
    <row r="125" spans="1:7" x14ac:dyDescent="0.35">
      <c r="A125" s="22" t="s">
        <v>28</v>
      </c>
      <c r="B125" s="21">
        <f t="shared" si="44"/>
        <v>102806.80488668423</v>
      </c>
      <c r="C125" s="21">
        <f t="shared" si="40"/>
        <v>1226.9560230842583</v>
      </c>
      <c r="D125" s="21">
        <f t="shared" si="41"/>
        <v>385.52551832506583</v>
      </c>
      <c r="E125" s="21">
        <f t="shared" si="42"/>
        <v>1612.4815414093241</v>
      </c>
      <c r="F125" s="21">
        <f t="shared" si="43"/>
        <v>101579.84886359997</v>
      </c>
      <c r="G125" s="16">
        <f>G111+1</f>
        <v>9</v>
      </c>
    </row>
    <row r="126" spans="1:7" x14ac:dyDescent="0.35">
      <c r="A126" s="24" t="s">
        <v>29</v>
      </c>
      <c r="B126" s="21"/>
      <c r="C126" s="21">
        <f>SUM(C114:C125)</f>
        <v>14424.671279004706</v>
      </c>
      <c r="D126" s="21">
        <f>SUM(D114:D125)</f>
        <v>4925.1072179071825</v>
      </c>
      <c r="E126" s="21"/>
      <c r="F126" s="21"/>
    </row>
    <row r="127" spans="1:7" x14ac:dyDescent="0.35">
      <c r="A127" s="22"/>
      <c r="B127" s="21"/>
      <c r="C127" s="21"/>
      <c r="D127" s="21"/>
      <c r="E127" s="21"/>
      <c r="F127" s="21"/>
    </row>
    <row r="128" spans="1:7" x14ac:dyDescent="0.35">
      <c r="A128" s="20" t="s">
        <v>11</v>
      </c>
      <c r="B128" s="21">
        <f>+F125</f>
        <v>101579.84886359997</v>
      </c>
      <c r="C128" s="21">
        <f>+E128-D128</f>
        <v>1231.5571081708242</v>
      </c>
      <c r="D128" s="21">
        <f>B128*$I$2</f>
        <v>380.92443323849989</v>
      </c>
      <c r="E128" s="21">
        <f t="shared" ref="E128:E139" si="45">-$I$9</f>
        <v>1612.4815414093241</v>
      </c>
      <c r="F128" s="21">
        <f>+B128-C128</f>
        <v>100348.29175542915</v>
      </c>
    </row>
    <row r="129" spans="1:7" x14ac:dyDescent="0.35">
      <c r="A129" s="22" t="s">
        <v>13</v>
      </c>
      <c r="B129" s="21">
        <f>+F128</f>
        <v>100348.29175542915</v>
      </c>
      <c r="C129" s="21">
        <f>+E129-D129</f>
        <v>1236.1754473264648</v>
      </c>
      <c r="D129" s="21">
        <f>B129*$I$2</f>
        <v>376.30609408285932</v>
      </c>
      <c r="E129" s="21">
        <f t="shared" si="45"/>
        <v>1612.4815414093241</v>
      </c>
      <c r="F129" s="21">
        <f>+B129-C129</f>
        <v>99112.11630810269</v>
      </c>
    </row>
    <row r="130" spans="1:7" x14ac:dyDescent="0.35">
      <c r="A130" s="22" t="s">
        <v>15</v>
      </c>
      <c r="B130" s="21">
        <f>+F129</f>
        <v>99112.11630810269</v>
      </c>
      <c r="C130" s="21">
        <f>+E130-D130</f>
        <v>1240.8111052539391</v>
      </c>
      <c r="D130" s="21">
        <f>B130*$I$2</f>
        <v>371.67043615538506</v>
      </c>
      <c r="E130" s="21">
        <f t="shared" si="45"/>
        <v>1612.4815414093241</v>
      </c>
      <c r="F130" s="21">
        <f>+B130-C130</f>
        <v>97871.305202848744</v>
      </c>
    </row>
    <row r="131" spans="1:7" x14ac:dyDescent="0.35">
      <c r="A131" s="22" t="s">
        <v>17</v>
      </c>
      <c r="B131" s="21">
        <f>+F130</f>
        <v>97871.305202848744</v>
      </c>
      <c r="C131" s="21">
        <f>+E131-D131</f>
        <v>1245.4641468986413</v>
      </c>
      <c r="D131" s="21">
        <f>B131*$I$2</f>
        <v>367.01739451068278</v>
      </c>
      <c r="E131" s="21">
        <f t="shared" si="45"/>
        <v>1612.4815414093241</v>
      </c>
      <c r="F131" s="21">
        <f>+B131-C131</f>
        <v>96625.841055950106</v>
      </c>
    </row>
    <row r="132" spans="1:7" x14ac:dyDescent="0.35">
      <c r="A132" s="22" t="s">
        <v>19</v>
      </c>
      <c r="B132" s="21">
        <f t="shared" ref="B132:B139" si="46">+F131</f>
        <v>96625.841055950106</v>
      </c>
      <c r="C132" s="21">
        <f t="shared" ref="C132:C139" si="47">+E132-D132</f>
        <v>1250.1346374495113</v>
      </c>
      <c r="D132" s="21">
        <f t="shared" ref="D132:D139" si="48">B132*$I$2</f>
        <v>362.34690395981289</v>
      </c>
      <c r="E132" s="21">
        <f t="shared" si="45"/>
        <v>1612.4815414093241</v>
      </c>
      <c r="F132" s="21">
        <f t="shared" ref="F132:F139" si="49">+B132-C132</f>
        <v>95375.706418500602</v>
      </c>
    </row>
    <row r="133" spans="1:7" x14ac:dyDescent="0.35">
      <c r="A133" s="22" t="s">
        <v>21</v>
      </c>
      <c r="B133" s="21">
        <f t="shared" si="46"/>
        <v>95375.706418500602</v>
      </c>
      <c r="C133" s="21">
        <f t="shared" si="47"/>
        <v>1254.8226423399469</v>
      </c>
      <c r="D133" s="21">
        <f t="shared" si="48"/>
        <v>357.65889906937724</v>
      </c>
      <c r="E133" s="21">
        <f t="shared" si="45"/>
        <v>1612.4815414093241</v>
      </c>
      <c r="F133" s="21">
        <f t="shared" si="49"/>
        <v>94120.883776160656</v>
      </c>
    </row>
    <row r="134" spans="1:7" x14ac:dyDescent="0.35">
      <c r="A134" s="22" t="s">
        <v>23</v>
      </c>
      <c r="B134" s="21">
        <f t="shared" si="46"/>
        <v>94120.883776160656</v>
      </c>
      <c r="C134" s="21">
        <f t="shared" si="47"/>
        <v>1259.5282272487216</v>
      </c>
      <c r="D134" s="21">
        <f t="shared" si="48"/>
        <v>352.95331416060242</v>
      </c>
      <c r="E134" s="21">
        <f t="shared" si="45"/>
        <v>1612.4815414093241</v>
      </c>
      <c r="F134" s="21">
        <f t="shared" si="49"/>
        <v>92861.355548911932</v>
      </c>
    </row>
    <row r="135" spans="1:7" x14ac:dyDescent="0.35">
      <c r="A135" s="22" t="s">
        <v>24</v>
      </c>
      <c r="B135" s="21">
        <f t="shared" si="46"/>
        <v>92861.355548911932</v>
      </c>
      <c r="C135" s="21">
        <f t="shared" si="47"/>
        <v>1264.2514581009043</v>
      </c>
      <c r="D135" s="21">
        <f t="shared" si="48"/>
        <v>348.23008330841975</v>
      </c>
      <c r="E135" s="21">
        <f t="shared" si="45"/>
        <v>1612.4815414093241</v>
      </c>
      <c r="F135" s="21">
        <f t="shared" si="49"/>
        <v>91597.10409081103</v>
      </c>
    </row>
    <row r="136" spans="1:7" x14ac:dyDescent="0.35">
      <c r="A136" s="22" t="s">
        <v>25</v>
      </c>
      <c r="B136" s="21">
        <f t="shared" si="46"/>
        <v>91597.10409081103</v>
      </c>
      <c r="C136" s="21">
        <f t="shared" si="47"/>
        <v>1268.9924010687828</v>
      </c>
      <c r="D136" s="21">
        <f t="shared" si="48"/>
        <v>343.48914034054133</v>
      </c>
      <c r="E136" s="21">
        <f t="shared" si="45"/>
        <v>1612.4815414093241</v>
      </c>
      <c r="F136" s="21">
        <f t="shared" si="49"/>
        <v>90328.111689742247</v>
      </c>
    </row>
    <row r="137" spans="1:7" x14ac:dyDescent="0.35">
      <c r="A137" s="22" t="s">
        <v>26</v>
      </c>
      <c r="B137" s="21">
        <f t="shared" si="46"/>
        <v>90328.111689742247</v>
      </c>
      <c r="C137" s="21">
        <f t="shared" si="47"/>
        <v>1273.7511225727908</v>
      </c>
      <c r="D137" s="21">
        <f t="shared" si="48"/>
        <v>338.73041883653343</v>
      </c>
      <c r="E137" s="21">
        <f t="shared" si="45"/>
        <v>1612.4815414093241</v>
      </c>
      <c r="F137" s="21">
        <f t="shared" si="49"/>
        <v>89054.360567169453</v>
      </c>
    </row>
    <row r="138" spans="1:7" x14ac:dyDescent="0.35">
      <c r="A138" s="22" t="s">
        <v>27</v>
      </c>
      <c r="B138" s="21">
        <f t="shared" si="46"/>
        <v>89054.360567169453</v>
      </c>
      <c r="C138" s="21">
        <f t="shared" si="47"/>
        <v>1278.5276892824386</v>
      </c>
      <c r="D138" s="21">
        <f t="shared" si="48"/>
        <v>333.95385212688547</v>
      </c>
      <c r="E138" s="21">
        <f t="shared" si="45"/>
        <v>1612.4815414093241</v>
      </c>
      <c r="F138" s="21">
        <f t="shared" si="49"/>
        <v>87775.83287788702</v>
      </c>
    </row>
    <row r="139" spans="1:7" x14ac:dyDescent="0.35">
      <c r="A139" s="22" t="s">
        <v>28</v>
      </c>
      <c r="B139" s="21">
        <f t="shared" si="46"/>
        <v>87775.83287788702</v>
      </c>
      <c r="C139" s="21">
        <f t="shared" si="47"/>
        <v>1283.3221681172477</v>
      </c>
      <c r="D139" s="21">
        <f t="shared" si="48"/>
        <v>329.15937329207634</v>
      </c>
      <c r="E139" s="21">
        <f t="shared" si="45"/>
        <v>1612.4815414093241</v>
      </c>
      <c r="F139" s="21">
        <f t="shared" si="49"/>
        <v>86492.510709769776</v>
      </c>
      <c r="G139" s="16">
        <f>G125+1</f>
        <v>10</v>
      </c>
    </row>
    <row r="140" spans="1:7" x14ac:dyDescent="0.35">
      <c r="A140" s="24" t="s">
        <v>29</v>
      </c>
      <c r="B140" s="21"/>
      <c r="C140" s="21">
        <f>SUM(C128:C139)</f>
        <v>15087.338153830213</v>
      </c>
      <c r="D140" s="21">
        <f>SUM(D128:D139)</f>
        <v>4262.4403430816756</v>
      </c>
      <c r="E140" s="21"/>
      <c r="F14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20" sqref="A20"/>
    </sheetView>
  </sheetViews>
  <sheetFormatPr defaultColWidth="15.1796875" defaultRowHeight="15" customHeight="1" x14ac:dyDescent="0.35"/>
  <cols>
    <col min="1" max="1" width="43.26953125" customWidth="1"/>
    <col min="2" max="2" width="77.26953125" customWidth="1"/>
  </cols>
  <sheetData>
    <row r="1" spans="1:2" ht="15" customHeight="1" x14ac:dyDescent="0.35">
      <c r="A1" s="29"/>
      <c r="B1" s="29"/>
    </row>
    <row r="2" spans="1:2" ht="15" customHeight="1" x14ac:dyDescent="0.35">
      <c r="A2" s="6"/>
      <c r="B2" s="2"/>
    </row>
    <row r="3" spans="1:2" ht="15" customHeight="1" x14ac:dyDescent="0.35">
      <c r="A3" s="1"/>
      <c r="B3" s="2"/>
    </row>
    <row r="4" spans="1:2" ht="15" customHeight="1" x14ac:dyDescent="0.35">
      <c r="A4" s="1"/>
      <c r="B4" s="2"/>
    </row>
    <row r="5" spans="1:2" ht="15" customHeight="1" x14ac:dyDescent="0.35">
      <c r="A5" s="1"/>
      <c r="B5" s="2"/>
    </row>
    <row r="6" spans="1:2" ht="15" customHeight="1" x14ac:dyDescent="0.35">
      <c r="A6" s="1"/>
      <c r="B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Forecasts</vt:lpstr>
      <vt:lpstr>Amortization Table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Jack</dc:creator>
  <cp:lastModifiedBy>Tanner Allen</cp:lastModifiedBy>
  <dcterms:created xsi:type="dcterms:W3CDTF">2015-10-07T04:22:46Z</dcterms:created>
  <dcterms:modified xsi:type="dcterms:W3CDTF">2022-07-16T15:45:14Z</dcterms:modified>
</cp:coreProperties>
</file>