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3"/>
  <workbookPr defaultThemeVersion="166925"/>
  <mc:AlternateContent xmlns:mc="http://schemas.openxmlformats.org/markup-compatibility/2006">
    <mc:Choice Requires="x15">
      <x15ac:absPath xmlns:x15ac="http://schemas.microsoft.com/office/spreadsheetml/2010/11/ac" url="https://tud365-my.sharepoint.com/personal/pkoljensic_tudelft_nl/Documents/Sustainable Highrise WP3/MODELLING/00_DATA_FEEDING/"/>
    </mc:Choice>
  </mc:AlternateContent>
  <xr:revisionPtr revIDLastSave="0" documentId="8_{1B6AB26E-B7C3-42CF-ACBD-C7EC10230621}" xr6:coauthVersionLast="47" xr6:coauthVersionMax="47" xr10:uidLastSave="{00000000-0000-0000-0000-000000000000}"/>
  <bookViews>
    <workbookView xWindow="-108" yWindow="-108" windowWidth="23256" windowHeight="12456" tabRatio="744" firstSheet="11" activeTab="11" xr2:uid="{00000000-000D-0000-FFFF-FFFF00000000}"/>
  </bookViews>
  <sheets>
    <sheet name="data overview" sheetId="1" r:id="rId1"/>
    <sheet name="materialNames_conversion" sheetId="13" r:id="rId2"/>
    <sheet name="vehicles_info" sheetId="12" r:id="rId3"/>
    <sheet name="materials_logistics_info" sheetId="2" r:id="rId4"/>
    <sheet name="buildingTypes_matComposition" sheetId="17" r:id="rId5"/>
    <sheet name="module_info" sheetId="20" r:id="rId6"/>
    <sheet name="building_types" sheetId="15" r:id="rId7"/>
    <sheet name="suppliers" sheetId="14" r:id="rId8"/>
    <sheet name="hubs_macro" sheetId="4" r:id="rId9"/>
    <sheet name="hubs_candidateLocations" sheetId="10" r:id="rId10"/>
    <sheet name="construction_sites" sheetId="22" r:id="rId11"/>
    <sheet name="construction_sites_sample" sheetId="21" r:id="rId12"/>
  </sheets>
  <definedNames>
    <definedName name="ExternalData_1" localSheetId="9" hidden="1">hubs_candidateLocations!#REF!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2" l="1"/>
  <c r="G48" i="17"/>
  <c r="F48" i="17"/>
  <c r="E48" i="17"/>
  <c r="P3" i="22"/>
  <c r="P4" i="22"/>
  <c r="P5" i="22"/>
  <c r="P6" i="22"/>
  <c r="P7" i="22"/>
  <c r="P8" i="22"/>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2" i="22"/>
  <c r="P203" i="22"/>
  <c r="P204" i="22"/>
  <c r="P205" i="22"/>
  <c r="P206" i="22"/>
  <c r="P20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P347" i="22"/>
  <c r="P348" i="22"/>
  <c r="P349" i="22"/>
  <c r="P350" i="22"/>
  <c r="P351" i="22"/>
  <c r="P352" i="22"/>
  <c r="P353" i="22"/>
  <c r="P354" i="22"/>
  <c r="P355" i="22"/>
  <c r="P356" i="22"/>
  <c r="P357" i="22"/>
  <c r="P2" i="22"/>
  <c r="E44" i="17"/>
  <c r="E87" i="17" s="1"/>
  <c r="C2" i="20"/>
  <c r="C3" i="20"/>
  <c r="F44" i="17"/>
  <c r="F87" i="17" s="1"/>
  <c r="C4" i="20"/>
  <c r="C7" i="20"/>
  <c r="G18" i="2"/>
  <c r="J3" i="12"/>
  <c r="J4" i="12"/>
  <c r="J5" i="12"/>
  <c r="J6" i="12"/>
  <c r="J7" i="12"/>
  <c r="J8" i="12"/>
  <c r="J9" i="12"/>
  <c r="J10" i="12"/>
  <c r="J11" i="12"/>
  <c r="J12" i="12"/>
  <c r="J13" i="12"/>
  <c r="J14" i="12"/>
  <c r="J15" i="12"/>
  <c r="J2" i="12"/>
  <c r="I14" i="12"/>
  <c r="I12" i="12"/>
  <c r="I10" i="12"/>
  <c r="I8" i="12"/>
  <c r="I6" i="12"/>
  <c r="I4" i="12"/>
  <c r="I2" i="12"/>
  <c r="H14" i="12"/>
  <c r="H12" i="12"/>
  <c r="H10" i="12"/>
  <c r="H8" i="12"/>
  <c r="H6" i="12"/>
  <c r="H4" i="12"/>
  <c r="H2" i="12"/>
  <c r="L3" i="12"/>
  <c r="L2" i="12"/>
  <c r="L5" i="12"/>
  <c r="L6" i="12"/>
  <c r="L7" i="12"/>
  <c r="L8" i="12"/>
  <c r="L9" i="12"/>
  <c r="L10" i="12"/>
  <c r="L11" i="12"/>
  <c r="L12" i="12"/>
  <c r="L13" i="12"/>
  <c r="L14" i="12"/>
  <c r="L15" i="12"/>
  <c r="L4" i="12"/>
  <c r="H17" i="12"/>
  <c r="G20" i="17"/>
  <c r="G19" i="17"/>
  <c r="F20" i="17"/>
  <c r="F19" i="17"/>
  <c r="E20" i="17"/>
  <c r="E19" i="17"/>
  <c r="F44" i="15"/>
  <c r="K17" i="12"/>
  <c r="K18" i="12"/>
  <c r="K16" i="12"/>
  <c r="J17" i="12"/>
  <c r="J18" i="12"/>
  <c r="J16" i="12"/>
  <c r="I17" i="12"/>
  <c r="I18" i="12"/>
  <c r="I16" i="12"/>
  <c r="H18" i="12"/>
  <c r="H16" i="12"/>
  <c r="N16" i="12"/>
  <c r="O16" i="12"/>
  <c r="N17" i="12"/>
  <c r="O17" i="12"/>
  <c r="N18" i="12"/>
  <c r="O18" i="12"/>
  <c r="P18" i="12"/>
  <c r="G34" i="17"/>
  <c r="F34" i="17"/>
  <c r="E34" i="17"/>
  <c r="J3" i="15"/>
  <c r="F42" i="17"/>
  <c r="F41" i="17"/>
  <c r="F39" i="17"/>
  <c r="F38" i="17"/>
  <c r="F36" i="17"/>
  <c r="F35" i="17"/>
  <c r="F32" i="17"/>
  <c r="F31" i="17"/>
  <c r="F30" i="17"/>
  <c r="F14" i="17"/>
  <c r="E3" i="12"/>
  <c r="E4" i="12"/>
  <c r="E5" i="12"/>
  <c r="E6" i="12"/>
  <c r="E7" i="12"/>
  <c r="E8" i="12"/>
  <c r="E9" i="12"/>
  <c r="E10" i="12"/>
  <c r="E11" i="12"/>
  <c r="E12" i="12"/>
  <c r="E13" i="12"/>
  <c r="E14" i="12"/>
  <c r="E15" i="12"/>
  <c r="E2" i="12"/>
  <c r="E30" i="17"/>
  <c r="E31" i="17"/>
  <c r="G31" i="17"/>
  <c r="G36" i="17"/>
  <c r="E39" i="17"/>
  <c r="G32" i="17"/>
  <c r="E36" i="17"/>
  <c r="G28" i="17"/>
  <c r="F28" i="17" s="1"/>
  <c r="E14" i="17"/>
  <c r="G14" i="17"/>
  <c r="G30" i="17"/>
  <c r="G35" i="17"/>
  <c r="G38" i="17"/>
  <c r="G39" i="17"/>
  <c r="G41" i="17"/>
  <c r="G42" i="17"/>
  <c r="G44" i="17" l="1"/>
  <c r="G87" i="17" s="1"/>
  <c r="E28" i="17"/>
  <c r="J2" i="15" l="1"/>
  <c r="J4" i="15"/>
  <c r="G3" i="2"/>
  <c r="G4" i="2"/>
  <c r="G7" i="2"/>
  <c r="G8" i="2"/>
  <c r="G2" i="2"/>
  <c r="E5" i="2"/>
  <c r="G5" i="2" s="1"/>
  <c r="E6" i="2"/>
  <c r="G6" i="2" s="1"/>
  <c r="E9" i="2"/>
  <c r="G9" i="2" s="1"/>
  <c r="E10" i="2"/>
  <c r="G10" i="2" s="1"/>
  <c r="G11" i="2"/>
  <c r="G12" i="2"/>
  <c r="G13" i="2"/>
  <c r="G14" i="2"/>
  <c r="G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tc={87145D5A-3F36-408E-B418-32D602EB1F87}</author>
  </authors>
  <commentList>
    <comment ref="A17" authorId="0" shapeId="0" xr:uid="{87145D5A-3F36-408E-B418-32D602EB1F87}">
      <text>
        <t>[Threaded comment]
Your version of Excel allows you to read this threaded comment; however, any edits to it will get removed if the file is opened in a newer version of Excel. Learn more: https://go.microsoft.com/fwlink/?linkid=870924
Comment:
    distinguished between modules_2D and modules_3D: the perc_fill_material is different.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tc={C2D9ABE3-DC40-4D7D-8737-723D3AFDF519}</author>
    <author>tc={619DD740-55FD-41D5-B47B-6A436B7D439D}</author>
    <author>tc={00B52FD5-03C0-46C7-9805-F85144869EA9}</author>
    <author>tc={C6C5DA6F-0871-41CA-8BC8-0B664D679453}</author>
    <author>tc={C5A0CE8A-F88F-4F8B-8005-AEE83DFCA0C8}</author>
    <author>tc={0379B084-0A9A-44A4-AFAD-45F831763EC6}</author>
    <author>tc={F6DF67B8-78BF-4451-BC2A-071A8E151598}</author>
    <author>tc={8F4D579B-C0C2-4D01-BFAB-41CDA20ABDE1}</author>
    <author>tc={B72F2DA4-6C02-45B6-BC08-00E0FB246538}</author>
    <author>tc={9FE89FFC-B141-4D21-BFA2-0989603D322A}</author>
    <author>tc={B8D02E97-21E9-4EC8-965F-4399A7ECD1EF}</author>
    <author>tc={7072C0D4-E9BB-49E7-A891-2DD1B6DB05CC}</author>
  </authors>
  <commentList>
    <comment ref="A41" authorId="0" shapeId="0" xr:uid="{C2D9ABE3-DC40-4D7D-8737-723D3AFDF519}">
      <text>
        <t>[Threaded comment]
Your version of Excel allows you to read this threaded comment; however, any edits to it will get removed if the file is opened in a newer version of Excel. Learn more: https://go.microsoft.com/fwlink/?linkid=870924
Comment:
    This row was previously "rubber", and there was another empty row for "bitumen". I did two changes: 
- changed "rubber" to "bitumen",
- removed the empty row with "bitumen"</t>
      </text>
    </comment>
    <comment ref="A44" authorId="1" shapeId="0" xr:uid="{619DD740-55FD-41D5-B47B-6A436B7D439D}">
      <text>
        <t>[Threaded comment]
Your version of Excel allows you to read this threaded comment; however, any edits to it will get removed if the file is opened in a newer version of Excel. Learn more: https://go.microsoft.com/fwlink/?linkid=870924
Comment:
    added modules amount (in tons)</t>
      </text>
    </comment>
    <comment ref="E48" authorId="2" shapeId="0" xr:uid="{00B52FD5-03C0-46C7-9805-F85144869EA9}">
      <text>
        <t>[Threaded comment]
Your version of Excel allows you to read this threaded comment; however, any edits to it will get removed if the file is opened in a newer version of Excel. Learn more: https://go.microsoft.com/fwlink/?linkid=870924
Comment:
    I didn't find a good way to calculate this. So I applied a factor 0.75 based on a study that I found. I left the values for gravel/sand and steel the same. Steel reinforcement will be important also for potential tension forces due to wind, which will become more critical due to the lower weight.
Reply:
    thanks! That makes sense</t>
      </text>
    </comment>
    <comment ref="E72" authorId="3" shapeId="0" xr:uid="{C6C5DA6F-0871-41CA-8BC8-0B664D679453}">
      <text>
        <t>[Threaded comment]
Your version of Excel allows you to read this threaded comment; however, any edits to it will get removed if the file is opened in a newer version of Excel. Learn more: https://go.microsoft.com/fwlink/?linkid=870924
Comment:
    Based on our parametric model
Reply:
    Nice - any ideas for the concrete core? Or should we keep it fully timber?</t>
      </text>
    </comment>
    <comment ref="E73" authorId="4" shapeId="0" xr:uid="{C5A0CE8A-F88F-4F8B-8005-AEE83DFCA0C8}">
      <text>
        <t xml:space="preserve">[Threaded comment]
Your version of Excel allows you to read this threaded comment; however, any edits to it will get removed if the file is opened in a newer version of Excel. Learn more: https://go.microsoft.com/fwlink/?linkid=870924
Comment:
    I'm guessing this is mainly for the window frames. They would be made out of timber in the biobased variant. Based on what I could find, we can assume that the weight remains more or less the same.
Reply:
    So it means - it's so to say timber? </t>
      </text>
    </comment>
    <comment ref="E74" authorId="5" shapeId="0" xr:uid="{0379B084-0A9A-44A4-AFAD-45F831763EC6}">
      <text>
        <t>[Threaded comment]
Your version of Excel allows you to read this threaded comment; however, any edits to it will get removed if the file is opened in a newer version of Excel. Learn more: https://go.microsoft.com/fwlink/?linkid=870924
Comment:
    Converted to a biobased façade panel</t>
      </text>
    </comment>
    <comment ref="E77" authorId="6" shapeId="0" xr:uid="{F6DF67B8-78BF-4451-BC2A-071A8E151598}">
      <text>
        <t xml:space="preserve">[Threaded comment]
Your version of Excel allows you to read this threaded comment; however, any edits to it will get removed if the file is opened in a newer version of Excel. Learn more: https://go.microsoft.com/fwlink/?linkid=870924
Comment:
    It's not entirely clear what the prefab concrete represents in the non-structural category. I'll leave it for now. </t>
      </text>
    </comment>
    <comment ref="E79" authorId="7" shapeId="0" xr:uid="{8F4D579B-C0C2-4D01-BFAB-41CDA20ABDE1}">
      <text>
        <t>[Threaded comment]
Your version of Excel allows you to read this threaded comment; however, any edits to it will get removed if the file is opened in a newer version of Excel. Learn more: https://go.microsoft.com/fwlink/?linkid=870924
Comment:
    This will remain for biobased variant</t>
      </text>
    </comment>
    <comment ref="E81" authorId="8" shapeId="0" xr:uid="{B72F2DA4-6C02-45B6-BC08-00E0FB246538}">
      <text>
        <t>[Threaded comment]
Your version of Excel allows you to read this threaded comment; however, any edits to it will get removed if the file is opened in a newer version of Excel. Learn more: https://go.microsoft.com/fwlink/?linkid=870924
Comment:
    I would leave this, since a biobased variant weights more or less the same.</t>
      </text>
    </comment>
    <comment ref="E82" authorId="9" shapeId="0" xr:uid="{9FE89FFC-B141-4D21-BFA2-0989603D322A}">
      <text>
        <t>[Threaded comment]
Your version of Excel allows you to read this threaded comment; however, any edits to it will get removed if the file is opened in a newer version of Excel. Learn more: https://go.microsoft.com/fwlink/?linkid=870924
Comment:
    Converted based on average insulation value for biobased materials</t>
      </text>
    </comment>
    <comment ref="E84" authorId="10" shapeId="0" xr:uid="{B8D02E97-21E9-4EC8-965F-4399A7ECD1EF}">
      <text>
        <t>[Threaded comment]
Your version of Excel allows you to read this threaded comment; however, any edits to it will get removed if the file is opened in a newer version of Excel. Learn more: https://go.microsoft.com/fwlink/?linkid=870924
Comment:
    I'm assuming that a biobased variant would have more or less the same weight.</t>
      </text>
    </comment>
    <comment ref="E86" authorId="11" shapeId="0" xr:uid="{7072C0D4-E9BB-49E7-A891-2DD1B6DB05CC}">
      <text>
        <t>[Threaded comment]
Your version of Excel allows you to read this threaded comment; however, any edits to it will get removed if the file is opened in a newer version of Excel. Learn more: https://go.microsoft.com/fwlink/?linkid=870924
Comment:
    Not sure what this is for. Probably best to leave it, amount is quite low anyway.</t>
      </text>
    </comment>
  </commentList>
</comments>
</file>

<file path=xl/sharedStrings.xml><?xml version="1.0" encoding="utf-8"?>
<sst xmlns="http://schemas.openxmlformats.org/spreadsheetml/2006/main" count="2210" uniqueCount="871">
  <si>
    <t>sheet_name</t>
  </si>
  <si>
    <t>file_type</t>
  </si>
  <si>
    <t>description</t>
  </si>
  <si>
    <t>materials_conversion_cons2dem</t>
  </si>
  <si>
    <t>.xlsx</t>
  </si>
  <si>
    <t>list of material names from the materials_logistics_info sheet, and their corresponding material names in the demolition sites shpfile.</t>
  </si>
  <si>
    <t>materials_logistics_info</t>
  </si>
  <si>
    <t>list of construction materials and associated logistics information, including volume to mass conversions, and typical fill percentage when loaded in trucks, usage of certain facitlities such as road, hubs by vehicles</t>
  </si>
  <si>
    <t>buildingTypes_matComposition</t>
  </si>
  <si>
    <t>amount of materials needed for construction sites based on building type (low, mid, or high-rise), biobased_type (none, semi, full). Amounts separated into structural and non-structural materials</t>
  </si>
  <si>
    <t>vehicles_info</t>
  </si>
  <si>
    <t xml:space="preserve">capacity (in tons and m3) and emissions per km for vehicles based on their transportation network (road, water, rail), and type of vehicle (diesel, electric), number of axels, emissions per t km </t>
  </si>
  <si>
    <t>suppliers</t>
  </si>
  <si>
    <t xml:space="preserve">locations of material suppliers (factories). There is one supplier per material, and the list of materials matches the materials in the materials_logistics_info.xlsx including the distance </t>
  </si>
  <si>
    <t>hubs_macro</t>
  </si>
  <si>
    <t>locations of planned macro hubs in AMS and modular hub in MRA</t>
  </si>
  <si>
    <t>hubs_candidateLocations</t>
  </si>
  <si>
    <t>candidate locations for hubs - industrial sites with an environmental category of 2-3</t>
  </si>
  <si>
    <t>construction_sites</t>
  </si>
  <si>
    <t>future construction sites in AMS, locations, type (mid / high rise), number of housing unites, part of the city, name, start year</t>
  </si>
  <si>
    <t>module_info</t>
  </si>
  <si>
    <t xml:space="preserve">Main attributes about module - weight, size, volume; for materials and logistics quantities </t>
  </si>
  <si>
    <t>building_types</t>
  </si>
  <si>
    <t xml:space="preserve">Info about contsruction project types, height, number of housing units, etc. </t>
  </si>
  <si>
    <t>name_from_conSiteData</t>
  </si>
  <si>
    <t>name_from_demSiteData</t>
  </si>
  <si>
    <t>aluminium</t>
  </si>
  <si>
    <t>brick</t>
  </si>
  <si>
    <t>cement_cover-floor</t>
  </si>
  <si>
    <t>concrete</t>
  </si>
  <si>
    <t>concrete_in-situ</t>
  </si>
  <si>
    <t>concrete_prefab</t>
  </si>
  <si>
    <t>furnishing_stone</t>
  </si>
  <si>
    <t>other</t>
  </si>
  <si>
    <t>glass</t>
  </si>
  <si>
    <t>gravel_sand</t>
  </si>
  <si>
    <t>gypsum</t>
  </si>
  <si>
    <t>isolation</t>
  </si>
  <si>
    <t>insulation</t>
  </si>
  <si>
    <t>plaster</t>
  </si>
  <si>
    <t>bitumen</t>
  </si>
  <si>
    <t>steel</t>
  </si>
  <si>
    <t>timber</t>
  </si>
  <si>
    <t>modules</t>
  </si>
  <si>
    <t>modules_2D</t>
  </si>
  <si>
    <t>modules_3D</t>
  </si>
  <si>
    <t>biobased</t>
  </si>
  <si>
    <t>vehicle_name</t>
  </si>
  <si>
    <t>transportation_network</t>
  </si>
  <si>
    <t>vehicle_type</t>
  </si>
  <si>
    <t>capacity_tons</t>
  </si>
  <si>
    <t>vehicle_tons</t>
  </si>
  <si>
    <t>total_tons</t>
  </si>
  <si>
    <t>capacity_m3</t>
  </si>
  <si>
    <t>emissions_perKm_tCO2</t>
  </si>
  <si>
    <t>emissions_perKm_gNOX</t>
  </si>
  <si>
    <t>emissions_perKm_gPM2p5</t>
  </si>
  <si>
    <t>emissions_perKm_gPM10</t>
  </si>
  <si>
    <t>difference</t>
  </si>
  <si>
    <t>emissions_perTonKm_tCO2</t>
  </si>
  <si>
    <t>emissions_perTonKm_gNOX</t>
  </si>
  <si>
    <t>emissions_perTonKm_gPM10</t>
  </si>
  <si>
    <t>emissions_perTonKm_gPM5</t>
  </si>
  <si>
    <t>nAxels</t>
  </si>
  <si>
    <t xml:space="preserve">Bestelauto </t>
  </si>
  <si>
    <t>road</t>
  </si>
  <si>
    <t>diesel</t>
  </si>
  <si>
    <t>electric</t>
  </si>
  <si>
    <t>Bakwagen</t>
  </si>
  <si>
    <t>Trekker-opleggercombinatie</t>
  </si>
  <si>
    <t>Trekker-aanhangwagenkombinatie</t>
  </si>
  <si>
    <t>Langere en Zwaardere Vrachtautocombinatie</t>
  </si>
  <si>
    <t>Mixer</t>
  </si>
  <si>
    <t xml:space="preserve">Kiepwagen </t>
  </si>
  <si>
    <t>Kiepwagen</t>
  </si>
  <si>
    <t xml:space="preserve">electric </t>
  </si>
  <si>
    <t>Schip Klein</t>
  </si>
  <si>
    <t>water</t>
  </si>
  <si>
    <t>Schip Groot</t>
  </si>
  <si>
    <t>Trein</t>
  </si>
  <si>
    <t>rail</t>
  </si>
  <si>
    <t>material</t>
  </si>
  <si>
    <t>m3_to_t</t>
  </si>
  <si>
    <t>main_unit</t>
  </si>
  <si>
    <t>multiplicator_material</t>
  </si>
  <si>
    <t>perc_fill_material</t>
  </si>
  <si>
    <t>perc_fill_operational</t>
  </si>
  <si>
    <t>perc_fill_total</t>
  </si>
  <si>
    <t>hub_usage</t>
  </si>
  <si>
    <t>road_usage</t>
  </si>
  <si>
    <t>rail_usage</t>
  </si>
  <si>
    <t>water_usage</t>
  </si>
  <si>
    <t xml:space="preserve">aluminium </t>
  </si>
  <si>
    <t>tons</t>
  </si>
  <si>
    <t>yes</t>
  </si>
  <si>
    <t>no</t>
  </si>
  <si>
    <t>m3</t>
  </si>
  <si>
    <t xml:space="preserve">bitumen </t>
  </si>
  <si>
    <t xml:space="preserve">timber </t>
  </si>
  <si>
    <t>unit</t>
  </si>
  <si>
    <t>biobased_type</t>
  </si>
  <si>
    <t>structural_type</t>
  </si>
  <si>
    <t>B</t>
  </si>
  <si>
    <t>C</t>
  </si>
  <si>
    <t>D</t>
  </si>
  <si>
    <t>none</t>
  </si>
  <si>
    <t>foundation</t>
  </si>
  <si>
    <t>structural</t>
  </si>
  <si>
    <t>non-structural</t>
  </si>
  <si>
    <t>full</t>
  </si>
  <si>
    <t>plastic</t>
  </si>
  <si>
    <t xml:space="preserve">structural </t>
  </si>
  <si>
    <t>info</t>
  </si>
  <si>
    <t>value</t>
  </si>
  <si>
    <t>floor_area</t>
  </si>
  <si>
    <t>m2</t>
  </si>
  <si>
    <t>weight</t>
  </si>
  <si>
    <t>volume</t>
  </si>
  <si>
    <t>length</t>
  </si>
  <si>
    <t>m</t>
  </si>
  <si>
    <t>heigth</t>
  </si>
  <si>
    <t>width</t>
  </si>
  <si>
    <t>=ROUNDUP('building_types'!$I$2/'module_info'!$C$2*'module_info'!$C$3, 0)</t>
  </si>
  <si>
    <t>buildType</t>
  </si>
  <si>
    <t>size</t>
  </si>
  <si>
    <t>name</t>
  </si>
  <si>
    <t>number_of_units</t>
  </si>
  <si>
    <t>gross_floor_area</t>
  </si>
  <si>
    <t>height</t>
  </si>
  <si>
    <t>number_floors</t>
  </si>
  <si>
    <t>number_towers</t>
  </si>
  <si>
    <t>residential_floor_area</t>
  </si>
  <si>
    <t>residential_percentage</t>
  </si>
  <si>
    <t xml:space="preserve">construction_duration_months </t>
  </si>
  <si>
    <t>project_link</t>
  </si>
  <si>
    <t>notes</t>
  </si>
  <si>
    <t>small</t>
  </si>
  <si>
    <t>Stepstone</t>
  </si>
  <si>
    <t>https://www.levs.nl/projecten/stepstone</t>
  </si>
  <si>
    <t>medium</t>
  </si>
  <si>
    <t>World of Food</t>
  </si>
  <si>
    <t>https://www.levs.nl/en/projects/world-of-food-2-0</t>
  </si>
  <si>
    <t>large</t>
  </si>
  <si>
    <t>The Ensemble</t>
  </si>
  <si>
    <t>https://wonam.nl/project/the-ensemble/</t>
  </si>
  <si>
    <t>lat</t>
  </si>
  <si>
    <t>lng</t>
  </si>
  <si>
    <t>rubber</t>
  </si>
  <si>
    <t>hub_type</t>
  </si>
  <si>
    <t>Amsterdam Logistic CityHub</t>
  </si>
  <si>
    <t>macro</t>
  </si>
  <si>
    <t>Zuid Oost hub - De Nieuwe Kern</t>
  </si>
  <si>
    <t>Assembly hub for modules</t>
  </si>
  <si>
    <t>macro_assembly</t>
  </si>
  <si>
    <t>enviCat</t>
  </si>
  <si>
    <t>pPerSqm</t>
  </si>
  <si>
    <t>Projectnaa</t>
  </si>
  <si>
    <t>start_year</t>
  </si>
  <si>
    <t>n_units</t>
  </si>
  <si>
    <t>Stadsdeel</t>
  </si>
  <si>
    <t>geometry</t>
  </si>
  <si>
    <t>n_units_type</t>
  </si>
  <si>
    <t>material_percentage</t>
  </si>
  <si>
    <t>gross_floor_area_type</t>
  </si>
  <si>
    <t>gross_floor_area_real</t>
  </si>
  <si>
    <t>duration</t>
  </si>
  <si>
    <t>residential_floor_area_type</t>
  </si>
  <si>
    <t>residential_floor_area_real</t>
  </si>
  <si>
    <t>multiplier_typeToReal</t>
  </si>
  <si>
    <t>Arenapoort Oost cluster 7 1B</t>
  </si>
  <si>
    <t>Zuidoost</t>
  </si>
  <si>
    <t>POINT (4.955131318522966 52.3143766246714)</t>
  </si>
  <si>
    <t>Arenapoort West UID Cluster 3</t>
  </si>
  <si>
    <t>POINT (4.942414366666666 52.31203966666666)</t>
  </si>
  <si>
    <t>BSH k1a Klaprozenweg</t>
  </si>
  <si>
    <t>Noord</t>
  </si>
  <si>
    <t>POINT (4.90156478643953 52.40014883619122)</t>
  </si>
  <si>
    <t>De Bongerd ~ deelgebied 4 k-s</t>
  </si>
  <si>
    <t>POINT (4.902995838240023 52.40539159933486)</t>
  </si>
  <si>
    <t>Elzenhagen NZ2</t>
  </si>
  <si>
    <t>POINT (4.927792192450529 52.40236657106057)</t>
  </si>
  <si>
    <t>Elzenhagen NZ3</t>
  </si>
  <si>
    <t>POINT (4.92892721414759 52.40224364893872)</t>
  </si>
  <si>
    <t>Elzenhagen Zuid -  NN2</t>
  </si>
  <si>
    <t>POINT (4.928033999679851 52.40318840225905)</t>
  </si>
  <si>
    <t>Elzenhagen Zuid -  NN3</t>
  </si>
  <si>
    <t>POINT (4.929152027236093 52.40301631315266)</t>
  </si>
  <si>
    <t>Houthaven Cluster I</t>
  </si>
  <si>
    <t>West</t>
  </si>
  <si>
    <t>POINT (4.87510662501798 52.39421738610051)</t>
  </si>
  <si>
    <t>Hullenbergweg 1-3</t>
  </si>
  <si>
    <t>POINT (4.948567278477203 52.30369739325799)</t>
  </si>
  <si>
    <t>Kauwgumballen Kavel A KBF DOCK</t>
  </si>
  <si>
    <t>Oost</t>
  </si>
  <si>
    <t>POINT (4.921804045988833 52.33364608673049)</t>
  </si>
  <si>
    <t>Nieuwe Meer Oost | IBM-locatie,Bouw blok 2</t>
  </si>
  <si>
    <t>Nieuw-West</t>
  </si>
  <si>
    <t>POINT (4.832269418805527 52.34324624774656)</t>
  </si>
  <si>
    <t>Nieuwe Meer Oost | IBM-locatie,Bouw blok 4</t>
  </si>
  <si>
    <t>POINT (4.834046066666667 52.344869)</t>
  </si>
  <si>
    <t>Nieuwe Meer Oost | IBM-locatie,Bouw blok 5</t>
  </si>
  <si>
    <t>POINT (4.828388033333333 52.34008933333333)</t>
  </si>
  <si>
    <t>Nieuwendam Nrd De Kubus</t>
  </si>
  <si>
    <t>POINT (4.952722381460467 52.39340608052829)</t>
  </si>
  <si>
    <t>Nieuwendam Nrd IJdoornschool</t>
  </si>
  <si>
    <t>POINT (4.953317999999999 52.391628)</t>
  </si>
  <si>
    <t>Overamstel/Weespertrekvaart_Oost - 1e ontwikkeling Weespertrekvaart Oost blok 8 en 9</t>
  </si>
  <si>
    <t>POINT (4.926546781651367 52.3393494582335)</t>
  </si>
  <si>
    <t>Overhoeks 3.3 blok P</t>
  </si>
  <si>
    <t>POINT (4.905916884442081 52.38740043095493)</t>
  </si>
  <si>
    <t>Overhoeks_Fase 3.4_Blok Q -  Overhoeks_Fase 3.4_Blok Q</t>
  </si>
  <si>
    <t>POINT (4.906277415697041 52.38701741495621)</t>
  </si>
  <si>
    <t>Lelylaan~HetPodiumkavelCD</t>
  </si>
  <si>
    <t>POINT (4.8373890907516 52.35722859964435)</t>
  </si>
  <si>
    <t>Vreeswijkpad,Blok 1/2</t>
  </si>
  <si>
    <t>POINT (4.983317858071562 52.29721229501951)</t>
  </si>
  <si>
    <t>World of Food 2.0</t>
  </si>
  <si>
    <t>POINT (4.956521206585897 52.32300655652818)</t>
  </si>
  <si>
    <t>Amstelkwartier 2  kavel 7a</t>
  </si>
  <si>
    <t>POINT (4.916440218959012 52.33759460902227)</t>
  </si>
  <si>
    <t>FITz</t>
  </si>
  <si>
    <t>POINT (4.915690205720161 52.33286120046409)</t>
  </si>
  <si>
    <t>Zeeburgereiland/Sluisbuurt/RF2/Kavel4B1</t>
  </si>
  <si>
    <t>POINT (4.961005831723508 52.37398817721181)</t>
  </si>
  <si>
    <t>Zeeburgereiland/Sluisbuurt/RF2/Kavel5C2-Horizons</t>
  </si>
  <si>
    <t>POINT (4.96246898127252 52.37575227757561)</t>
  </si>
  <si>
    <t>Zeeburgereiland/Sluisbuurt/RF2/Kavel 4A</t>
  </si>
  <si>
    <t>POINT (4.960712864075684 52.37446710175157)</t>
  </si>
  <si>
    <t>Brediuslocatie</t>
  </si>
  <si>
    <t>POINT (4.870407421714931 52.39178017120702)</t>
  </si>
  <si>
    <t>Zuidas/Ravel, ontwikkelveld 2</t>
  </si>
  <si>
    <t>Zuid</t>
  </si>
  <si>
    <t>POINT (4.880638056916373 52.3361013793745)</t>
  </si>
  <si>
    <t>Zuidas/Beethoven, fase 2</t>
  </si>
  <si>
    <t>POINT (4.878689912505812 52.34134770034025)</t>
  </si>
  <si>
    <t>Struykenkade  blok 1</t>
  </si>
  <si>
    <t>POINT (4.813115522873532 52.38122320230897)</t>
  </si>
  <si>
    <t>Tomas A Kempiskavel</t>
  </si>
  <si>
    <t>POINT (4.809143037454752 52.37618045660408)</t>
  </si>
  <si>
    <t>Delfland Hart locatie B1</t>
  </si>
  <si>
    <t>POINT (4.840943412950004 52.34943763645801)</t>
  </si>
  <si>
    <t>JohanGreivestraat sociaal complex</t>
  </si>
  <si>
    <t>POINT (4.835867092062666 52.36534623180698)</t>
  </si>
  <si>
    <t>Jacob Geelbuurt blok3</t>
  </si>
  <si>
    <t>POINT (4.832077278551109 52.36103374457328)</t>
  </si>
  <si>
    <t>Jacob Geelbuurt blok 4</t>
  </si>
  <si>
    <t>POINT (4.8320998626687 52.36038488725939)</t>
  </si>
  <si>
    <t>NDSM_Kavel  A8</t>
  </si>
  <si>
    <t>POINT (4.893509134118404 52.40302867115841)</t>
  </si>
  <si>
    <t>Buiksloterham 28/29</t>
  </si>
  <si>
    <t>POINT (4.910992174710284 52.39433744109399)</t>
  </si>
  <si>
    <t>Klaprozenbuurt,Kavel A2</t>
  </si>
  <si>
    <t>POINT (4.909139273688389 52.39834121615574)</t>
  </si>
  <si>
    <t>Klaprozenbuurt, kavel D5</t>
  </si>
  <si>
    <t>POINT (4.906114812860546 52.39963622956694)</t>
  </si>
  <si>
    <t>Cruquiusdg 7 Kop Cruquius Houtsma</t>
  </si>
  <si>
    <t>POINT (4.954692064538292 52.37088936586436)</t>
  </si>
  <si>
    <t>Cruquius Deelgebied 7</t>
  </si>
  <si>
    <t>POINT (4.954491242686382 52.3719017342781)</t>
  </si>
  <si>
    <t>Zeeburgereiland/Sluisbuurt/RF2/Kavel1B</t>
  </si>
  <si>
    <t>POINT (4.958918018786483 52.37539620096798)</t>
  </si>
  <si>
    <t>Amstelstation_Amsteloever Amstelvista</t>
  </si>
  <si>
    <t>POINT (4.913963575199738 52.34809815148301)</t>
  </si>
  <si>
    <t>Sloterdijk I Zuid</t>
  </si>
  <si>
    <t>POINT (4.845024889766528 52.39007253880099)</t>
  </si>
  <si>
    <t>Sloterdijk 1 Blok I Noord</t>
  </si>
  <si>
    <t>POINT (4.845769200723122 52.39107670835697)</t>
  </si>
  <si>
    <t>Zuidas/Ravel, ontwikkelveld 2 B2</t>
  </si>
  <si>
    <t>POINT (4.880226258340779 52.33583772320996)</t>
  </si>
  <si>
    <t>Hettenheuvelweg 12-16</t>
  </si>
  <si>
    <t>POINT (4.94610752418308 52.30389002214916)</t>
  </si>
  <si>
    <t>Hettenheuvelweg 8-10</t>
  </si>
  <si>
    <t>POINT (4.947135253857487 52.30356900136769)</t>
  </si>
  <si>
    <t>Hettenheuvelweg 109-119/Hessenbergweg 109-119</t>
  </si>
  <si>
    <t>POINT (4.94579505571011 52.30518575648555)</t>
  </si>
  <si>
    <t>DAS-gebouw/Karspeldreef 15</t>
  </si>
  <si>
    <t>POINT (4.952923153717673 52.30769877168303)</t>
  </si>
  <si>
    <t>Hettenheuvelweg 206A</t>
  </si>
  <si>
    <t>POINT (4.943747908352826 52.30487240187006)</t>
  </si>
  <si>
    <t>ArenapoortOost_Cluster7</t>
  </si>
  <si>
    <t>POINT (4.955663449654114 52.31506235720512)</t>
  </si>
  <si>
    <t>E-buurt Oost -</t>
  </si>
  <si>
    <t>POINT (4.970003435293346 52.32521800814222)</t>
  </si>
  <si>
    <t>E-buurt Oost</t>
  </si>
  <si>
    <t>POINT (4.969773229668318 52.32541458584989)</t>
  </si>
  <si>
    <t>De Venser Blok B</t>
  </si>
  <si>
    <t>POINT (4.947378844275015 52.31848713677032)</t>
  </si>
  <si>
    <t>Schinkelkwartier blok 4 Timeless</t>
  </si>
  <si>
    <t>POINT (4.830435744739956 52.3435829142344)</t>
  </si>
  <si>
    <t>Sloterstrip | Vlaardingenlaan 11</t>
  </si>
  <si>
    <t>POINT (4.841975456418301 52.34704395019755)</t>
  </si>
  <si>
    <t>Struykenkade  blok 2</t>
  </si>
  <si>
    <t>POINT (4.813080264848468 52.38181491485981)</t>
  </si>
  <si>
    <t>Overamstel/Bajeskwartier, C</t>
  </si>
  <si>
    <t>POINT (4.924662736932745 52.3378133050535)</t>
  </si>
  <si>
    <t>Overamstel/Bajeskwartier,KLM</t>
  </si>
  <si>
    <t>POINT (4.9233026677984 52.339775989019)</t>
  </si>
  <si>
    <t>Nieuwenhuijsenbuurt 1e  fase</t>
  </si>
  <si>
    <t>POINT (4.820973421098664 52.38305390000561)</t>
  </si>
  <si>
    <t>Weespersluis  5A2</t>
  </si>
  <si>
    <t>Weesp</t>
  </si>
  <si>
    <t>POINT (5.044675605962341 52.32473350928064)</t>
  </si>
  <si>
    <t>Nieuwe Meer Oost | IBM-locatie,Bouw blok 3 IBM</t>
  </si>
  <si>
    <t>POINT (4.828850485082741 52.34176206412456)</t>
  </si>
  <si>
    <t>Arenapoort West_UID,Cluster 4: Bovenbouw Studenten</t>
  </si>
  <si>
    <t>POINT (4.943492366666667 52.3116523)</t>
  </si>
  <si>
    <t>Sloterstrip|Overschiestraat182-188,</t>
  </si>
  <si>
    <t>POINT (4.830127526658747 52.34625623194383)</t>
  </si>
  <si>
    <t>Overamstel/Bajeskwartier,Gebouw B = The Stern (was voorheen kantoren nu woningen) aantal is PM</t>
  </si>
  <si>
    <t>POINT (4.924672571804053 52.3369906269353)</t>
  </si>
  <si>
    <t>Overamstel/Bajeskwartier,Realisatie E = Ruby  PROJECT ON HOLD START BOUW PM EIND 23)</t>
  </si>
  <si>
    <t>POINT (4.924438585108416 52.33870089786989)</t>
  </si>
  <si>
    <t>Marktplein_Cluster 6,Realisatie Blok B1 en C (137 woningen)</t>
  </si>
  <si>
    <t>POINT (4.95906574118446 52.3158612394493)</t>
  </si>
  <si>
    <t>Elzenhagen Zuid -  Villa 10 t/m 12</t>
  </si>
  <si>
    <t>POINT (4.925379682392888 52.40104897893936)</t>
  </si>
  <si>
    <t>Ravenstein 1</t>
  </si>
  <si>
    <t>POINT (4.973307749595334 52.2947801540986)</t>
  </si>
  <si>
    <t>Arenapoort West - Vanzz</t>
  </si>
  <si>
    <t>POINT (4.944992106946622 52.31125536879294)</t>
  </si>
  <si>
    <t>Zuidas/Verdi-Tripolis transformatie</t>
  </si>
  <si>
    <t>POINT (4.856898874427744 52.34159900981825)</t>
  </si>
  <si>
    <t>Buiksloterham_Kavel 17.3 (Maarsen Groep)</t>
  </si>
  <si>
    <t>POINT (4.911322504818251 52.39501652184865)</t>
  </si>
  <si>
    <t>Buiksloterham_ Kavel 42C</t>
  </si>
  <si>
    <t>POINT (4.903247072861816 52.39425132385791)</t>
  </si>
  <si>
    <t>E-buurt,Realisatie 3 120 woningen</t>
  </si>
  <si>
    <t>POINT (4.96922965596151 52.32610217435878)</t>
  </si>
  <si>
    <t>E-buurt, 5</t>
  </si>
  <si>
    <t>POINT (4.967664019412377 52.32700798192942)</t>
  </si>
  <si>
    <t>Sloterdijk Stationskwartier Kavel 10 Naritaweg 14</t>
  </si>
  <si>
    <t>POINT (4.830262011869911 52.3882368228509)</t>
  </si>
  <si>
    <t>Amerbos 590-606 Korthagenhuis</t>
  </si>
  <si>
    <t>POINT (4.939703759587019 52.40498646615735)</t>
  </si>
  <si>
    <t>Banne Noord -  Banne Noord 1e jaar</t>
  </si>
  <si>
    <t>POINT (4.922312021516034 52.41456038507628)</t>
  </si>
  <si>
    <t>CAN Buikslotermeerplein - Centrumplein</t>
  </si>
  <si>
    <t>POINT (4.941274625221284 52.39851512409073)</t>
  </si>
  <si>
    <t>CAN Buikslotermeerplein - Transformatie Winkelcentrum</t>
  </si>
  <si>
    <t>POINT (4.941580431276957 52.39851079649247)</t>
  </si>
  <si>
    <t>H-Midden -</t>
  </si>
  <si>
    <t>POINT (4.956756009330914 52.30783053212217)</t>
  </si>
  <si>
    <t>JanEvertsen-WTennispark(1)</t>
  </si>
  <si>
    <t>POINT (4.833567097716052 52.37163063859465)</t>
  </si>
  <si>
    <t>Meer en vaart 101-151 (Vrijzicht)</t>
  </si>
  <si>
    <t>POINT (4.807017015956188 52.36299706936723)</t>
  </si>
  <si>
    <t>NDSM_Kavel  B7</t>
  </si>
  <si>
    <t>POINT (4.889354669933669 52.40322341976789)</t>
  </si>
  <si>
    <t>Nelson Mandelapark_De Flanken</t>
  </si>
  <si>
    <t>POINT (4.965546352219094 52.31329866345582)</t>
  </si>
  <si>
    <t>SuHa-buurt 2 blok 2C2</t>
  </si>
  <si>
    <t>POINT (4.805937647162419 52.35647090266445)</t>
  </si>
  <si>
    <t>Amstelstation_ A2</t>
  </si>
  <si>
    <t>POINT (4.919539984843226 52.34733044156859)</t>
  </si>
  <si>
    <t>Entree Gulden Winckel</t>
  </si>
  <si>
    <t>POINT (4.845916813633295 52.38441410916476)</t>
  </si>
  <si>
    <t>Vreugdenhof</t>
  </si>
  <si>
    <t>POINT (4.883749599532427 52.33392396512912)</t>
  </si>
  <si>
    <t>Vreeswijkpad,Blok 3</t>
  </si>
  <si>
    <t>POINT (4.984342981972379 52.29721262447499)</t>
  </si>
  <si>
    <t>IJburg 2/Centrumeiland_Tranche 1_Blok 10</t>
  </si>
  <si>
    <t>POINT (4.98553308738619 52.36303498730234)</t>
  </si>
  <si>
    <t>IJburg2/Strandeiland_Muidenbuurt_C1(M5b.)</t>
  </si>
  <si>
    <t>POINT (5.023003672921396 52.35471358670065)</t>
  </si>
  <si>
    <t>IJburg 2/Strandeiland_Muidenbuurt_T1 (M5a., M5b., M5c.,  M7a. en M7b., hub 15)</t>
  </si>
  <si>
    <t>POINT (5.022376474303538 52.35544917566174)</t>
  </si>
  <si>
    <t>POINT (4.879997332980135 52.34023673289184)</t>
  </si>
  <si>
    <t>2e fase Eendrachtspark buurt 2b</t>
  </si>
  <si>
    <t>POINT (4.804091573785239 52.38131963303678)</t>
  </si>
  <si>
    <t>AugustAllebpleinI Blok 6</t>
  </si>
  <si>
    <t>POINT (4.835336875805654 52.36303205012236)</t>
  </si>
  <si>
    <t>Lebowoningen</t>
  </si>
  <si>
    <t>POINT (4.836863168353145 52.36223405173956)</t>
  </si>
  <si>
    <t>Johan Greivestraat</t>
  </si>
  <si>
    <t>POINT (4.835260285601137 52.36536237277098)</t>
  </si>
  <si>
    <t>Riekerhof</t>
  </si>
  <si>
    <t>POINT (4.839701954136712 52.35895554189551)</t>
  </si>
  <si>
    <t>CNW_Bladergroen</t>
  </si>
  <si>
    <t>POINT (4.806729500129907 52.35691479344903)</t>
  </si>
  <si>
    <t>Buiksloterham Kavel 6B</t>
  </si>
  <si>
    <t>POINT (4.908945755186298 52.39681384711587)</t>
  </si>
  <si>
    <t>Buiksloterham Kavel 11</t>
  </si>
  <si>
    <t>POINT (4.90470069276489 52.39770098009465)</t>
  </si>
  <si>
    <t>Buiksloterham 55AenC</t>
  </si>
  <si>
    <t>POINT (4.905513551617467 52.39238049920631)</t>
  </si>
  <si>
    <t>Buiksloterham 55B</t>
  </si>
  <si>
    <t>POINT (4.90461031576895 52.39262920201192)</t>
  </si>
  <si>
    <t>HamerkwartierA1t/m3 , A2enA3</t>
  </si>
  <si>
    <t>POINT (4.921252866978731 52.38345432174174)</t>
  </si>
  <si>
    <t>HamerkwartierA6t/m13 , 6t/mA8</t>
  </si>
  <si>
    <t>POINT (4.922482615211405 52.38284446154157)</t>
  </si>
  <si>
    <t>HamerkwartierA6t/m13 , A9t/mA11</t>
  </si>
  <si>
    <t>POINT (4.924144761251579 52.38383913200425)</t>
  </si>
  <si>
    <t>Hamerkwartier C5tm10, C5t/mC10</t>
  </si>
  <si>
    <t>POINT (4.9288805689556 52.38441432293635)</t>
  </si>
  <si>
    <t>Hamerkwartier E0, E0</t>
  </si>
  <si>
    <t>POINT (4.920041767429035 52.38524763447285)</t>
  </si>
  <si>
    <t>POINT (4.953596114651515 52.37092726139768)</t>
  </si>
  <si>
    <t>IJburg 2/Strandeiland_Muidenbuurt_C3 (M1)</t>
  </si>
  <si>
    <t>POINT (5.021429994330987 52.35509316535966)</t>
  </si>
  <si>
    <t>IJburg 2/Strandeiland_Muidenbuurt_C4 (M3)</t>
  </si>
  <si>
    <t>POINT (5.021425506627813 52.35346153179781)</t>
  </si>
  <si>
    <t>Overamstel/Amstelkwartier3efase_kavel 11</t>
  </si>
  <si>
    <t>POINT (4.918495 52.33686163333333)</t>
  </si>
  <si>
    <t>Zeeburgereiland/Sluisbuurt/RF3/Kavel1C</t>
  </si>
  <si>
    <t>POINT (4.959090297629625 52.37493504610578)</t>
  </si>
  <si>
    <t>Kolenkitbuurt Project 3c</t>
  </si>
  <si>
    <t>POINT (4.840060630110171 52.38237659567613)</t>
  </si>
  <si>
    <t>FoodCenter Amsterdam(1)</t>
  </si>
  <si>
    <t>POINT (4.864852545904016 52.37700972442394)</t>
  </si>
  <si>
    <t>FoodCenter Amsterdam(2)</t>
  </si>
  <si>
    <t>POINT (4.865164633333333 52.37715133333333)</t>
  </si>
  <si>
    <t>Sloterdijk 1 Zuid(1)</t>
  </si>
  <si>
    <t>POINT (4.846971092492499 52.39104478860489)</t>
  </si>
  <si>
    <t>POINT (4.844768704376174 52.39007414479514)</t>
  </si>
  <si>
    <t>Zuidas/Gershwin, cluster I, kavels 1 t/m 4</t>
  </si>
  <si>
    <t>POINT (4.861062887736955 52.34167778425427)</t>
  </si>
  <si>
    <t>Zuidas/Kenniskwartier 2B</t>
  </si>
  <si>
    <t>POINT (4.866354476460322 52.33755139025267)</t>
  </si>
  <si>
    <t>Zuidas/Verdi 2B</t>
  </si>
  <si>
    <t>POINT (4.855425127097109 52.3399272382878)</t>
  </si>
  <si>
    <t>Struykenkade  blok 3</t>
  </si>
  <si>
    <t>POINT (4.813072204862822 52.38239892714292)</t>
  </si>
  <si>
    <t>Struykenkade  blok 4</t>
  </si>
  <si>
    <t>POINT (4.813049266625567 52.38299583548953)</t>
  </si>
  <si>
    <t>Hilversumstraat</t>
  </si>
  <si>
    <t>POINT (4.962974141049338 52.39110967048916)</t>
  </si>
  <si>
    <t>Sloterdijk Centrum kavel 53 L Midden</t>
  </si>
  <si>
    <t>POINT (4.840896588875526 52.38813523304808)</t>
  </si>
  <si>
    <t>Duinkerken-Moermond,Realiseren transformatie Duinkerken Moermond</t>
  </si>
  <si>
    <t>POINT (4.876308954987076 52.32595499083623)</t>
  </si>
  <si>
    <t>Reigersbos,</t>
  </si>
  <si>
    <t>POINT (4.976545429554304 52.29685830540226)</t>
  </si>
  <si>
    <t>Sloterstrip | Aletta Jacobslaan 7</t>
  </si>
  <si>
    <t>POINT (4.830869549726866 52.34658152410628)</t>
  </si>
  <si>
    <t>Weespersluis  5B2</t>
  </si>
  <si>
    <t>POINT (5.04007668661056 52.32487348939188)</t>
  </si>
  <si>
    <t>Weespersluis  6A1</t>
  </si>
  <si>
    <t>POINT (5.029667467679551 52.32376713541233)</t>
  </si>
  <si>
    <t>Weespersluis  6B2</t>
  </si>
  <si>
    <t>POINT (5.027556729277486 52.32176581734695)</t>
  </si>
  <si>
    <t>de Plantijn I Centrum voor Zorg,Bouw Zusterflat</t>
  </si>
  <si>
    <t>POINT (4.82665803406649 52.34867650078584)</t>
  </si>
  <si>
    <t>OA/KBK Algemeen -  Kauwgomballenkwartier  1e tranche</t>
  </si>
  <si>
    <t>POINT (4.917145267819689 52.33429554295156)</t>
  </si>
  <si>
    <t>OA/KBK Algemeen -  Kauwgomballenkwartier  2e tranche</t>
  </si>
  <si>
    <t>POINT (4.919651899917151 52.33492331766796)</t>
  </si>
  <si>
    <t>Nieuw.Nrd Breehorn Vianney (2)</t>
  </si>
  <si>
    <t>POINT (4.958477059729778 52.39187202222165)</t>
  </si>
  <si>
    <t>A.J. Ernststraat 199</t>
  </si>
  <si>
    <t>POINT (4.882873729456051 52.33188496508691)</t>
  </si>
  <si>
    <t>Waldorpstraat (fase 3)</t>
  </si>
  <si>
    <t>POINT (4.841184299799258 52.36235170293812)</t>
  </si>
  <si>
    <t>Kolenkitbuurt_Noord Midden,Realisatie nieuwbouw Sinjeur Semeijnstraat</t>
  </si>
  <si>
    <t>POINT (4.843811615384368 52.38082817287385)</t>
  </si>
  <si>
    <t>Marktplein_Cluster 6,Realisatie Blof D (67 woningen)</t>
  </si>
  <si>
    <t>POINT (4.958473578685502 52.31581115796362)</t>
  </si>
  <si>
    <t>Marktplein_Cluster 6,Realisatie Blok B2 (69 woningen)</t>
  </si>
  <si>
    <t>POINT (4.958868217428429 52.31532318600269)</t>
  </si>
  <si>
    <t>Marktplein_Cluster 6,Realisatie Blok E (94 woningen)</t>
  </si>
  <si>
    <t>POINT (4.957069647434298 52.31564845326321)</t>
  </si>
  <si>
    <t>Buiksloterham_Kavel 17.4</t>
  </si>
  <si>
    <t>POINT (4.908914799787714 52.39603906814418)</t>
  </si>
  <si>
    <t>Buiksloterham_Kavel 17.1 fase 2</t>
  </si>
  <si>
    <t>POINT (4.909838295847972 52.395719532952)</t>
  </si>
  <si>
    <t>Buiksloterham_ Kavel 65 fase 2</t>
  </si>
  <si>
    <t>POINT (4.903792470266098 52.38911905372343)</t>
  </si>
  <si>
    <t>Hamerkwartier  A10</t>
  </si>
  <si>
    <t>POINT (4.923997104511581 52.38307377084097)</t>
  </si>
  <si>
    <t>Hamerkwartier  A11</t>
  </si>
  <si>
    <t>POINT (4.924641975169722 52.38316898220502)</t>
  </si>
  <si>
    <t>Hamerkwartier  A12</t>
  </si>
  <si>
    <t>POINT (4.925263492405988 52.38411474104056)</t>
  </si>
  <si>
    <t>Hamerkwartier  A13</t>
  </si>
  <si>
    <t>POINT (4.925483439891257 52.38338926898542)</t>
  </si>
  <si>
    <t>Hamerkwartier  A7 (incl kantoor)</t>
  </si>
  <si>
    <t>POINT (4.923057176002311 52.38367510673855)</t>
  </si>
  <si>
    <t>Hamerkwartier  A8</t>
  </si>
  <si>
    <t>POINT (4.923148989133101 52.38295290763261)</t>
  </si>
  <si>
    <t>Hamerkwartier Ontwikkelveld E2b</t>
  </si>
  <si>
    <t>POINT (4.920886978061645 52.38434723283554)</t>
  </si>
  <si>
    <t>Gaasperdammertunnelzone</t>
  </si>
  <si>
    <t>POINT (4.983401388871338 52.31229657290123)</t>
  </si>
  <si>
    <t>K-buurt Midden Experiment, kouwenoord</t>
  </si>
  <si>
    <t>POINT (4.984887017519948 52.31754850183142)</t>
  </si>
  <si>
    <t>Sloterdijk Stationskwartier Kavel 07 Naritaweg 50-52</t>
  </si>
  <si>
    <t>POINT (4.826408596234477 52.38829839625555)</t>
  </si>
  <si>
    <t>Sloterdijk Stationskwartier Kavel 11 Naritaweg 12</t>
  </si>
  <si>
    <t>POINT (4.831581744214388 52.38838900696251)</t>
  </si>
  <si>
    <t>Banne Noord -  Banne Noord 2e jaar</t>
  </si>
  <si>
    <t>POINT (4.923003312681119 52.41427393240913)</t>
  </si>
  <si>
    <t>Buiksloterham Kavel 39 - Uitvoering 39 oost</t>
  </si>
  <si>
    <t>POINT (4.899153852776472 52.39582176338912)</t>
  </si>
  <si>
    <t>IJburg 2/Strandeiland_Muidenbuurt_T2 (M1 M2a. M2b. M3 hub 14),Realisatie M1</t>
  </si>
  <si>
    <t>POINT (5.018904179366783 52.35493806926804)</t>
  </si>
  <si>
    <t>NDSM_B5(toren)</t>
  </si>
  <si>
    <t>POINT (4.893066966320247 52.40252943915389)</t>
  </si>
  <si>
    <t>Reigersbos, Rhenenhof</t>
  </si>
  <si>
    <t>POINT (4.971850139302148 52.29743101557061)</t>
  </si>
  <si>
    <t>Sterngarage</t>
  </si>
  <si>
    <t>POINT (4.914242489299638 52.33430584943178)</t>
  </si>
  <si>
    <t>Buiksloterham Kavel 19.A</t>
  </si>
  <si>
    <t>POINT (4.902464056142047 52.39745670163924)</t>
  </si>
  <si>
    <t>Buiksloterham Kavel 19 EenFW</t>
  </si>
  <si>
    <t>POINT (4.902885528212787 52.39663120739655)</t>
  </si>
  <si>
    <t>Buiksloterham Kavel 19.C</t>
  </si>
  <si>
    <t>POINT (4.901884252267456 52.39694485855008)</t>
  </si>
  <si>
    <t>Dichtersbuurt</t>
  </si>
  <si>
    <t>POINT (4.820513877531252 52.37740817451294)</t>
  </si>
  <si>
    <t>NDSM_Kavel  A7`</t>
  </si>
  <si>
    <t>POINT (4.893637726158191 52.40359322963949)</t>
  </si>
  <si>
    <t>NDSM_Kavel A4</t>
  </si>
  <si>
    <t>POINT (4.891051024276155 52.40456820366774)</t>
  </si>
  <si>
    <t>HamerkwartierA1t/m3 , A1.a(VOSchool)</t>
  </si>
  <si>
    <t>POINT (4.92005650713819 52.38362387733342)</t>
  </si>
  <si>
    <t>Hamerkwartier C3.b, C3.b</t>
  </si>
  <si>
    <t>POINT (4.928612186358832 52.38545078849899)</t>
  </si>
  <si>
    <t>Cruquiusgebied 8.2+3</t>
  </si>
  <si>
    <t>POINT (4.948219836750559 52.36824838469295)</t>
  </si>
  <si>
    <t>Overamstel/Amstelkwartier3efase_kavel 10B</t>
  </si>
  <si>
    <t>POINT (4.9176121244239 52.33671033565187)</t>
  </si>
  <si>
    <t>Overamstel/Amstelkwartier 3e fase_kavel 10A</t>
  </si>
  <si>
    <t>POINT (4.916932978806269 52.33652781159021)</t>
  </si>
  <si>
    <t>Amstelstation_Delta Lloyd</t>
  </si>
  <si>
    <t>POINT (4.91715913120202 52.34317728612839)</t>
  </si>
  <si>
    <t>Amstelstation_Amsteloever-VdKunbuurt, 1SG</t>
  </si>
  <si>
    <t>POINT (4.914642257512296 52.34685533892402)</t>
  </si>
  <si>
    <t>Amstelstation_Amsteloever-VdKunbuurt, tender(blok3en4)</t>
  </si>
  <si>
    <t>POINT (4.915222 52.34690845)</t>
  </si>
  <si>
    <t>Food Center Amsterdam(3)</t>
  </si>
  <si>
    <t>POINT (4.864707028967648 52.3777698493362)</t>
  </si>
  <si>
    <t>Zuidas/Verdi - IJsbaanpad noordzone kavel 4</t>
  </si>
  <si>
    <t>POINT (4.854626701355681 52.34160333277726)</t>
  </si>
  <si>
    <t>Zuidas/Ravel, ontwikkelveld 2 C</t>
  </si>
  <si>
    <t>POINT (4.878858371033836 52.3358005285416)</t>
  </si>
  <si>
    <t>Zuidas/Vivaldi</t>
  </si>
  <si>
    <t>POINT (4.88485186606564 52.33577996794408)</t>
  </si>
  <si>
    <t>Zuidas/Kenniskwartier</t>
  </si>
  <si>
    <t>POINT (4.867758011603073 52.33648298691902)</t>
  </si>
  <si>
    <t>Holendrecht -</t>
  </si>
  <si>
    <t>POINT (4.962720995075604 52.29738875105603)</t>
  </si>
  <si>
    <t>De Venser blok A+C</t>
  </si>
  <si>
    <t>POINT (4.947068183193156 52.318191659454)</t>
  </si>
  <si>
    <t>Schinkelhaven</t>
  </si>
  <si>
    <t>POINT (4.844988480416455 52.34195175236493)</t>
  </si>
  <si>
    <t>Ruychaver Kwartier 1e</t>
  </si>
  <si>
    <t>POINT (4.803720177767075 52.37695117372512)</t>
  </si>
  <si>
    <t>Zeeburgereiland/Sluisbuurt/RF3/Kavel 5c3</t>
  </si>
  <si>
    <t>POINT (4.962119704194385 52.37523736333213)</t>
  </si>
  <si>
    <t>Mercatorpark,Realistatie fase 1b West _Blok MW1</t>
  </si>
  <si>
    <t>POINT (4.84323391553546 52.37089839010371)</t>
  </si>
  <si>
    <t>Zuidas/Parnas C2/C3</t>
  </si>
  <si>
    <t>POINT (4.866764298089769 52.34088172317318)</t>
  </si>
  <si>
    <t>Reigersbos, /  Reeuwijkplein (incl. bouwrijp maken door eigenaar)</t>
  </si>
  <si>
    <t>POINT (4.974888423644422 52.29660395056388)</t>
  </si>
  <si>
    <t>Reigersbos, /  Renooiplein</t>
  </si>
  <si>
    <t>POINT (4.975899120687931 52.29486935556474)</t>
  </si>
  <si>
    <t>Weespersluis  6A2</t>
  </si>
  <si>
    <t>POINT (5.030832497769846 52.3256435005972)</t>
  </si>
  <si>
    <t>Weespersluis  6B1</t>
  </si>
  <si>
    <t>POINT (5.029308349571636 52.32177273064507)</t>
  </si>
  <si>
    <t>Weespersluis  6C1</t>
  </si>
  <si>
    <t>POINT (5.025501313389201 52.32429656126934)</t>
  </si>
  <si>
    <t>Nieuwe Meer Oost</t>
  </si>
  <si>
    <t>POINT (4.829130551590448 52.34229113231527)</t>
  </si>
  <si>
    <t>Zeeburgereiland/Sluisbuurt/RF2/Kavel4B2</t>
  </si>
  <si>
    <t>POINT (4.961622723353764 52.37410762928637)</t>
  </si>
  <si>
    <t>Zeeburgereiland/Sluisbuurt/RF2/Kavel5B2</t>
  </si>
  <si>
    <t>POINT (4.961420131779001 52.37514561917374)</t>
  </si>
  <si>
    <t>Delfland Maassluis/Spoorzone</t>
  </si>
  <si>
    <t>POINT (4.835989546407267 52.34893331629667)</t>
  </si>
  <si>
    <t>CNW - NWA van Wijnen,NWH-A3</t>
  </si>
  <si>
    <t>POINT (4.800468485396304 52.35898897278746)</t>
  </si>
  <si>
    <t>Klaprozenbuurt C2 C3 C4 C5 C7</t>
  </si>
  <si>
    <t>POINT (4.90622254179314 52.4010098617878)</t>
  </si>
  <si>
    <t>Zuidas/Ravel, ontwikkelveld 2,Ravel, ontwikkelveld 2, fase 1, kavel D, woningen: bouw incl maaiveld</t>
  </si>
  <si>
    <t>POINT (4.878285205412 52.33639926614094)</t>
  </si>
  <si>
    <t>Marktplein_Cluster 6,Realisatie Blok A (80 woningen)</t>
  </si>
  <si>
    <t>POINT (4.957626037511116 52.31607355884272)</t>
  </si>
  <si>
    <t>GS - Couperusbuurt incl Burgemeester Cramergrachtlocatie,bouwen Couperusbuurt   blok 13</t>
  </si>
  <si>
    <t>POINT (4.825074989054023 52.376652981594)</t>
  </si>
  <si>
    <t>GS - Couperusbuurt incl Burgemeester Cramergrachtlocatie  blok 9</t>
  </si>
  <si>
    <t>POINT (4.82962654092109 52.37480291874366)</t>
  </si>
  <si>
    <t>GS - Couperusbuurt incl Burgemeester Cramergrachtlocatie  blok  8</t>
  </si>
  <si>
    <t>POINT (4.828266106988303 52.37500935880347)</t>
  </si>
  <si>
    <t>GS - Couperusbuurt incl Burgemeester Cramergrachtlocatie   blok 12</t>
  </si>
  <si>
    <t>POINT (4.825164306091514 52.37640093960042)</t>
  </si>
  <si>
    <t>Buiksloterham_ Kavel 19B</t>
  </si>
  <si>
    <t>POINT (4.903340027921671 52.39713734754827)</t>
  </si>
  <si>
    <t>Klaprozenbuurt C8</t>
  </si>
  <si>
    <t>POINT (4.90621540413004 52.40062284915407)</t>
  </si>
  <si>
    <t>Hamerkwartier  A3</t>
  </si>
  <si>
    <t>POINT (4.921474047694854 52.38275249733964)</t>
  </si>
  <si>
    <t>Holendrecht, (pilot jongerenhuisvesting)</t>
  </si>
  <si>
    <t>POINT (4.963009898005904 52.29914308378067)</t>
  </si>
  <si>
    <t>K-buurt Midden Experiment,</t>
  </si>
  <si>
    <t>POINT (4.979733467498023 52.31627340534369)</t>
  </si>
  <si>
    <t>K-buurt Midden Experiment, Kralenbeek</t>
  </si>
  <si>
    <t>POINT (4.976354004646629 52.31460750762266)</t>
  </si>
  <si>
    <t>K-buurt Midden Experiment, Kempering</t>
  </si>
  <si>
    <t>POINT (4.978867291303119 52.31535245597383)</t>
  </si>
  <si>
    <t>Banne Noord -  Banne Noord 3e jaar 2e deel Parlevinker 2e fase Noorderbreedte</t>
  </si>
  <si>
    <t>POINT (4.92156617818403 52.41155126648646)</t>
  </si>
  <si>
    <t>Buiksloterham Kavel 25 - Uitvoering 25.1</t>
  </si>
  <si>
    <t>POINT (4.906866440210357 52.39545220809254)</t>
  </si>
  <si>
    <t>Buiksloterham Kavel 25 - Uitvoering 25.2</t>
  </si>
  <si>
    <t>POINT (4.907508244373382 52.39521543461012)</t>
  </si>
  <si>
    <t>Buiksloterham Kavel 37/38 - Uitvoering K37/38</t>
  </si>
  <si>
    <t>POINT (4.912037322016854 52.39307606972972)</t>
  </si>
  <si>
    <t>Buiksloterham Kavel 39 - Uitvoering 39 west</t>
  </si>
  <si>
    <t>POINT (4.897767241568601 52.39634683313701)</t>
  </si>
  <si>
    <t>De Nieuwe Kern Ouder Amstel -  eerste fase</t>
  </si>
  <si>
    <t>Duivendrecht</t>
  </si>
  <si>
    <t>POINT (4.929506897235484 52.32353512957315)</t>
  </si>
  <si>
    <t>IJburg 2/Strandeiland_Muidenbuurt_T2 (M1 M2a. M2b. M3 hub 14),Realisatie M2a.</t>
  </si>
  <si>
    <t>POINT (5.019889706579479 52.35529804660317)</t>
  </si>
  <si>
    <t>IJburg 2/Strandeiland_Muidenbuurt_T2 (M1 M2a. M2b. M3 hub 14),Realisatie M2b.</t>
  </si>
  <si>
    <t>POINT (5.020653609188227 52.35438417922706)</t>
  </si>
  <si>
    <t>IJburg 2/Strandeiland_Muidenbuurt_T2 (M1 M2a. M2b. M3 hub 14),Realisatie M3</t>
  </si>
  <si>
    <t>POINT (5.021052716487898 52.35551760713889)</t>
  </si>
  <si>
    <t>IJburg 2/Strandeiland_Pampusbuurt_P9,Realisatie periode</t>
  </si>
  <si>
    <t>POINT (5.018882692414722 52.35892276036346)</t>
  </si>
  <si>
    <t>Marineterrein</t>
  </si>
  <si>
    <t>Centrum</t>
  </si>
  <si>
    <t>POINT (4.916780487380385 52.37404913163081)</t>
  </si>
  <si>
    <t>Overamstel/Amstelkwartier 3e fase_kavel 13</t>
  </si>
  <si>
    <t>POINT (4.918031472020995 52.33604551541019)</t>
  </si>
  <si>
    <t>Amstelstation_A1</t>
  </si>
  <si>
    <t>POINT (4.919373893193226 52.34761006568927)</t>
  </si>
  <si>
    <t>POINT (4.880572863303685 52.33648427292491)</t>
  </si>
  <si>
    <t>Hoekenes toren A</t>
  </si>
  <si>
    <t>POINT (4.798143369974806 52.36042656556893)</t>
  </si>
  <si>
    <t>Ontwikkeling Groenstrook+Talentenhuis</t>
  </si>
  <si>
    <t>POINT (4.806047500093449 52.36153988850833)</t>
  </si>
  <si>
    <t>Sloterdijk Centrum kavel M Naritaweg</t>
  </si>
  <si>
    <t>POINT (4.831288333745048 52.38794468868527)</t>
  </si>
  <si>
    <t>NDSM_Toekomstigekavels B8</t>
  </si>
  <si>
    <t>POINT (4.890520084952441 52.40276903863998)</t>
  </si>
  <si>
    <t>NDSM_Kavel A5/A6</t>
  </si>
  <si>
    <t>POINT (4.891664136160894 52.40397898877039)</t>
  </si>
  <si>
    <t>Klaprozenbuurt, kavel A3</t>
  </si>
  <si>
    <t>POINT (4.908052814312575 52.39871694581774)</t>
  </si>
  <si>
    <t>HamerkwartierA5 , A5</t>
  </si>
  <si>
    <t>POINT (4.922154994845744 52.3835925209166)</t>
  </si>
  <si>
    <t>IJburg2/Centrumeiland_Tranche5_Blok16</t>
  </si>
  <si>
    <t>POINT (5.016955919139805 52.35066411906981)</t>
  </si>
  <si>
    <t>Overamstel/Weespertrekvaart_Oost blok 10 en 11</t>
  </si>
  <si>
    <t>POINT (4.927243400689362 52.33886070243495)</t>
  </si>
  <si>
    <t>Overamstel/Amstelkwartier3efase_kavel 12AB</t>
  </si>
  <si>
    <t>POINT (4.915880481657656 52.33551276770458)</t>
  </si>
  <si>
    <t>Overamstel/Amstelkwartier 3e fase_kavel 9</t>
  </si>
  <si>
    <t>POINT (4.916083186644106 52.33629818905227)</t>
  </si>
  <si>
    <t>Zeeburgereiland Sluisbuurt/realisatie overige fases</t>
  </si>
  <si>
    <t>POINT (4.960818695985666 52.37325901845009)</t>
  </si>
  <si>
    <t>Amstelstation_Amsteloever-VdKunbuurt, 2SG</t>
  </si>
  <si>
    <t>POINT (4.914929531653192 52.3469074506822)</t>
  </si>
  <si>
    <t>FoodCenter Amsterdam(4)</t>
  </si>
  <si>
    <t>POINT (4.864478044864917 52.37838337463178)</t>
  </si>
  <si>
    <t>Sloterdijk1Zuid(4)^Sloterdijk1Zuid(4)</t>
  </si>
  <si>
    <t>POINT (4.852322384698168 52.3911578873401)</t>
  </si>
  <si>
    <t>Zuidas/Ravel, ontwikkelveld 2 DEF</t>
  </si>
  <si>
    <t>POINT (4.879277589690803 52.33645344865324)</t>
  </si>
  <si>
    <t>Zuidas/Kenniskwartier 2C</t>
  </si>
  <si>
    <t>POINT (4.866102706765949 52.33703160725982)</t>
  </si>
  <si>
    <t>Arenapoort Oost_Cluster 2</t>
  </si>
  <si>
    <t>POINT (4.949907333333333 52.3139337)</t>
  </si>
  <si>
    <t>Holendrecht - fase 2</t>
  </si>
  <si>
    <t>POINT (4.963649692555852 52.2974181958076)</t>
  </si>
  <si>
    <t>POINT (4.844775980642542 52.34195075106301)</t>
  </si>
  <si>
    <t>Nieuwenhuijsenbuurt 2e  fase</t>
  </si>
  <si>
    <t>POINT (4.821034634845042 52.38235021319248)</t>
  </si>
  <si>
    <t>IJburg 2/Strandeiland_Pampusbuurt_C01_P9</t>
  </si>
  <si>
    <t>POINT (5.017320549999998 52.35884799999999)</t>
  </si>
  <si>
    <t>IJburg 2/Strandeiland_Pampusbuurt_T1 (P9 P10 HUB 4),  P10 (incl. hub 4)</t>
  </si>
  <si>
    <t>POINT (5.019473604759588 52.3582329367237)</t>
  </si>
  <si>
    <t>Zeeburgereiland/Sluisbuurt/RF3/Kavel 6d3</t>
  </si>
  <si>
    <t>POINT (4.962976615180362 52.37665693170486)</t>
  </si>
  <si>
    <t>Mercatorpark,Realistatie fase 1a Oost _Blok MO1</t>
  </si>
  <si>
    <t>POINT (4.845797942305276 52.37063617146025)</t>
  </si>
  <si>
    <t>Mercatorpark,Realistatie fase 1b West _Blok MW3</t>
  </si>
  <si>
    <t>POINT (4.844854049137384 52.37144458760499)</t>
  </si>
  <si>
    <t>Reigersbos,  Schonerwoerdstraat</t>
  </si>
  <si>
    <t>POINT (4.975991529498229 52.29373931694283)</t>
  </si>
  <si>
    <t>Holendrecht, Centrum fase 2 (Blok B5.1 + B5.2 + B6.1)</t>
  </si>
  <si>
    <t>POINT (4.96510096051738 52.29746501008648)</t>
  </si>
  <si>
    <t>Weespersluis  5C2</t>
  </si>
  <si>
    <t>POINT (5.035264416884852 52.32512693583617)</t>
  </si>
  <si>
    <t>OA/KBK Algemeen -  Kauwgomballenkwartier  3e tranche</t>
  </si>
  <si>
    <t>POINT (4.917942458243427 52.33264420688584)</t>
  </si>
  <si>
    <t>NieuweMeerOost|Programma,Woningbouw</t>
  </si>
  <si>
    <t>POINT (4.830307506048309 52.34263958392972)</t>
  </si>
  <si>
    <t>JacobGeelbuurt-oost(tender+ontw.blok5)- JGB-blok5</t>
  </si>
  <si>
    <t>POINT (4.831808575770048 52.3596548212964)</t>
  </si>
  <si>
    <t>CNW-NWA EigenHaard,  NWH-A1</t>
  </si>
  <si>
    <t>POINT (4.799825654396622 52.35886195312509)</t>
  </si>
  <si>
    <t>Cluster 2 CBRE en Donniger gebouwontwikkeling,Uitvoering cluster 2 Donniger</t>
  </si>
  <si>
    <t>POINT (4.95069966444085 52.31388144677906)</t>
  </si>
  <si>
    <t>Buiksloterham_Kavel_58/60</t>
  </si>
  <si>
    <t>POINT (4.904748974538961 52.39102001081691)</t>
  </si>
  <si>
    <t>Overamstel/Amstelkwartier 3e fase_kavel 12b</t>
  </si>
  <si>
    <t>POINT (4.916555592481898 52.33570155354541)</t>
  </si>
  <si>
    <t>NDSM_West_Kavel_A5_</t>
  </si>
  <si>
    <t>POINT (4.892268241592953 52.40426064539053)</t>
  </si>
  <si>
    <t>CAN Buikslotermeerplein - Olof Palmeplein</t>
  </si>
  <si>
    <t>POINT (4.941218039166116 52.39703434095428)</t>
  </si>
  <si>
    <t>De Nieuwe Kern Ouder Amstel -  tweede fase</t>
  </si>
  <si>
    <t>POINT (4.92564300132285 52.31942617495678)</t>
  </si>
  <si>
    <t>IJburg 2/Strandeiland_Pampusbuurt_P1 -</t>
  </si>
  <si>
    <t>POINT (5.014792006176032 52.36077857448826)</t>
  </si>
  <si>
    <t>IJburg 2/Strandeiland_Pampusbuurt_P3 -</t>
  </si>
  <si>
    <t>POINT (5.015084867448935 52.35943862012664)</t>
  </si>
  <si>
    <t>Reigersbos,  Remmerdenplein Zuid</t>
  </si>
  <si>
    <t>POINT (4.974226506550274 52.29725923291409)</t>
  </si>
  <si>
    <t>Buiksloterham Kavel 39/39A</t>
  </si>
  <si>
    <t>POINT (4.897406618084043 52.39648217389946)</t>
  </si>
  <si>
    <t>Naritaweg 211</t>
  </si>
  <si>
    <t>POINT (4.831914959100083 52.38768469841957)</t>
  </si>
  <si>
    <t>Naritaweg 175-177</t>
  </si>
  <si>
    <t>POINT (4.832048660035849 52.38676159296296)</t>
  </si>
  <si>
    <t>Kavel 22 Sloterdijk centrum</t>
  </si>
  <si>
    <t>POINT (4.83234555107054 52.38629484109002)</t>
  </si>
  <si>
    <t>Sloterdijk Centrum Kavel 29</t>
  </si>
  <si>
    <t>POINT (4.836825081409527 52.38822745380271)</t>
  </si>
  <si>
    <t>Sloterdijk Centrum Kavel 52L</t>
  </si>
  <si>
    <t>POINT (4.839940598411304 52.3881329654111)</t>
  </si>
  <si>
    <t>NDSM: Klaprozenweg Noord Projectbesluit - Fase 1</t>
  </si>
  <si>
    <t>POINT (4.894671571523656 52.40469639216227)</t>
  </si>
  <si>
    <t>POINT (4.961098110505502 52.37725935600049)</t>
  </si>
  <si>
    <t>FoodCenter Amsterdam(5)</t>
  </si>
  <si>
    <t>POINT (4.864144060417146 52.37902884262483)</t>
  </si>
  <si>
    <t>Sloterdijk 1 Zuid (5)</t>
  </si>
  <si>
    <t>POINT (4.852348693227231 52.38998490940592)</t>
  </si>
  <si>
    <t>De Venser blok D+E</t>
  </si>
  <si>
    <t>POINT (4.946301513535005 52.31783896649338)</t>
  </si>
  <si>
    <t>De VenserblokF</t>
  </si>
  <si>
    <t>POINT (4.946930472525032 52.31728186489815)</t>
  </si>
  <si>
    <t>De Venser blok G+H+I+J</t>
  </si>
  <si>
    <t>POINT (4.947676403013801 52.3175370547543)</t>
  </si>
  <si>
    <t>POINT (4.8445635 52.34194950000001)</t>
  </si>
  <si>
    <t>Sloterstrip</t>
  </si>
  <si>
    <t>POINT (4.833022473008125 52.34626501126795)</t>
  </si>
  <si>
    <t>dePlantijn</t>
  </si>
  <si>
    <t>POINT (4.826450469723075 52.34914769398136)</t>
  </si>
  <si>
    <t>Ruychaver  3e + 4e fase</t>
  </si>
  <si>
    <t>POINT (4.805085647355877 52.3768170066766)</t>
  </si>
  <si>
    <t>IJburg 2/Strandeiland_Pampusbuurt_T2 (P4 P5 HUB2),  P5</t>
  </si>
  <si>
    <t>POINT (5.016032836192003 52.3580538678572)</t>
  </si>
  <si>
    <t>IJburg 2/Strandeiland_Pampusbuurt_T3 (P1 P2 P3 HUB 1),  P2</t>
  </si>
  <si>
    <t>POINT (5.014780703885995 52.36010599589616)</t>
  </si>
  <si>
    <t>POINT (4.833847867306087 52.34417433224465)</t>
  </si>
  <si>
    <t>Zeeburgereiland/Sluisbuurt/RF3/Kavel2B2</t>
  </si>
  <si>
    <t>POINT (4.959397144213989 52.37388959967746)</t>
  </si>
  <si>
    <t>CNW-Suha III, S3 1 tm S3 5</t>
  </si>
  <si>
    <t>POINT (4.801853530384792 52.3573924977052)</t>
  </si>
  <si>
    <t>CNW-Tussen Meer Zuid</t>
  </si>
  <si>
    <t>POINT (4.801184422980514 52.35790456982522)</t>
  </si>
  <si>
    <t>Hamerkwartier A1</t>
  </si>
  <si>
    <t>POINT (4.920240987908342 52.38269774220161)</t>
  </si>
  <si>
    <t>Nellestein, Lopikhof</t>
  </si>
  <si>
    <t>POINT (4.984140842197943 52.30935558433766)</t>
  </si>
  <si>
    <t>NDSM_West_Kavel_A7</t>
  </si>
  <si>
    <t>POINT (4.89301318225669 52.40371021117967)</t>
  </si>
  <si>
    <t>Buiksloterham Kavel 57 -  Kavel 57</t>
  </si>
  <si>
    <t>POINT (4.905973429350091 52.39170742951018)</t>
  </si>
  <si>
    <t>FoodCenterAmsterdam(6)</t>
  </si>
  <si>
    <t>POINT (4.863879464064421 52.37963219910283)</t>
  </si>
  <si>
    <t>IJburg 2/Strandeiland_Pampusbuurt_P6,Realisatie periode</t>
  </si>
  <si>
    <t>POINT (5.018403715508177 52.36094623136916)</t>
  </si>
  <si>
    <t>IJburg blok 13a Haveneiland -  IJ_13a</t>
  </si>
  <si>
    <t>POINT (4.994124949325213 52.35901898556516)</t>
  </si>
  <si>
    <t>NDSM_Toekomstige kavels B4</t>
  </si>
  <si>
    <t>POINT (4.891382687569292 52.40327695780719)</t>
  </si>
  <si>
    <t>Overamstel/Weespertrekvaart_Oost - Gefaseerd ontwikkelen Weespertrekvaart Oost blok 6 en 7</t>
  </si>
  <si>
    <t>POINT (4.9254127694547 52.3399997157454)</t>
  </si>
  <si>
    <t>Sloterdijk Centrum  Arlandaweg 92</t>
  </si>
  <si>
    <t>POINT (4.838112319740742 52.38552652265634)</t>
  </si>
  <si>
    <t>NDSM:Klaprozenweg:Fase2</t>
  </si>
  <si>
    <t>POINT (4.896204643813444 52.40398936666667)</t>
  </si>
  <si>
    <t>Overamstel/Amstelkwartier 3e fase_kavel 14</t>
  </si>
  <si>
    <t>POINT (4.919043099145281 52.33628828752911)</t>
  </si>
  <si>
    <t>Zeeburgereiland/Sluisbuurt/RF3/Kavel1A1</t>
  </si>
  <si>
    <t>POINT (4.957789317463932 52.37529480334094)</t>
  </si>
  <si>
    <t>Amstelstation_Amsteloever-VdKunbuurt, 5SG(Amstelblok)</t>
  </si>
  <si>
    <t>POINT (4.915514438119266 52.34690952886996)</t>
  </si>
  <si>
    <t>Sloterdijk 1 Zuid (6)</t>
  </si>
  <si>
    <t>POINT (4.854522694663573 52.39117744199073)</t>
  </si>
  <si>
    <t>Zuidas/Kop Zuidas L2</t>
  </si>
  <si>
    <t>POINT (4.895018666666666 52.33705466666667)</t>
  </si>
  <si>
    <t>Kavel A Stadgenoot fase 1</t>
  </si>
  <si>
    <t>POINT (4.844351019357457 52.34194824893698)</t>
  </si>
  <si>
    <t>POINT (4.83398745 52.3462665)</t>
  </si>
  <si>
    <t>POINT (4.82618340455622 52.34913513517324)</t>
  </si>
  <si>
    <t>Dichtersbuurt   (2e fase)</t>
  </si>
  <si>
    <t>POINT (4.822300025361351 52.37713103729342)</t>
  </si>
  <si>
    <t>Buiksloterham Kavel 40</t>
  </si>
  <si>
    <t>POINT (4.901246191928359 52.39502162036762)</t>
  </si>
  <si>
    <t>IJburg 2/Strandeiland_Pampusbuurt_C03_P6</t>
  </si>
  <si>
    <t>POINT (5.016841552602489 52.36087149027367)</t>
  </si>
  <si>
    <t>IJburg 2/Strandeiland_Pampusbuurt_T4 (P6 P7 P8),  P7</t>
  </si>
  <si>
    <t>POINT (5.0188517671658 52.36029146178053)</t>
  </si>
  <si>
    <t>Mercatorpark,Realistatie fase 1a Oost _Blok MO2</t>
  </si>
  <si>
    <t>POINT (4.84583528702041 52.37002680226157)</t>
  </si>
  <si>
    <t>Mercatorpark,Realistatie fase 1a Oost_Blok MO3</t>
  </si>
  <si>
    <t>POINT (4.846901835293172 52.37011733005681)</t>
  </si>
  <si>
    <t>OA/KBK Algemeen -  Kauwgomballenkwartier  4e tranche</t>
  </si>
  <si>
    <t>POINT (4.921620484132712 52.33417221529999)</t>
  </si>
  <si>
    <t>POINT (4.83352588422443 52.34393077770414)</t>
  </si>
  <si>
    <t>Zeeburgereiland Baaibuurten, West</t>
  </si>
  <si>
    <t>POINT (4.958101388421167 52.37030544143801)</t>
  </si>
  <si>
    <t>POINT (4.95890004231585 52.3704038385705)</t>
  </si>
  <si>
    <t>Zeeburgereiland/Sluisbuurt/RF3/Kavel2A1</t>
  </si>
  <si>
    <t>POINT (4.957977228296675 52.37395953899733)</t>
  </si>
  <si>
    <t>Foodcenter,Woningbouw Food Center bouwveld 08</t>
  </si>
  <si>
    <t>POINT (4.867826355089159 52.3782880838554)</t>
  </si>
  <si>
    <t>GS - Couperusbuurt incl Burgemeester Cramergrachtlocatie  blok 6</t>
  </si>
  <si>
    <t>POINT (4.825473234770325 52.37542609787884)</t>
  </si>
  <si>
    <t>GS - Couperusbuurt incl Burgemeester Cramergrachtlocatie   blok 7</t>
  </si>
  <si>
    <t>POINT (4.826765377670152 52.37522584471221)</t>
  </si>
  <si>
    <t>Buiksloterham Kavel 18 A - Uitvoering K18A</t>
  </si>
  <si>
    <t>POINT (4.898946920345901 52.3984776844503)</t>
  </si>
  <si>
    <t>Buiksloterham Kavel 8 - Uitvoering K8</t>
  </si>
  <si>
    <t>POINT (4.900924699313189 52.39914701810108)</t>
  </si>
  <si>
    <t>De Nieuwe Kern Ouder Amstel -  vierde fase</t>
  </si>
  <si>
    <t>POINT (4.927971069297224 52.31426132768696)</t>
  </si>
  <si>
    <t>IJburg 2/Strandeiland_Muiderbuurt_M23 -</t>
  </si>
  <si>
    <t>POINT (5.034433943990694 52.35575883658302)</t>
  </si>
  <si>
    <t>IJburg 2/Strandeiland_Muiderbuurt_M24 -</t>
  </si>
  <si>
    <t>POINT (5.035146940040075 52.35605986467627)</t>
  </si>
  <si>
    <t>IJburg 2/Strandeiland_Pampusbuurt_P13 -</t>
  </si>
  <si>
    <t>POINT (5.021641824607124 52.35972229144465)</t>
  </si>
  <si>
    <t>IJburg 2/Strandeiland_Pampusbuurt_P14 -</t>
  </si>
  <si>
    <t>POINT (5.023343327887662 52.35980327458339)</t>
  </si>
  <si>
    <t>WTV Oost blok 14</t>
  </si>
  <si>
    <t>POINT (4.928655193557932 52.33789549794211)</t>
  </si>
  <si>
    <t>WTV Oost blok 15</t>
  </si>
  <si>
    <t>POINT (4.929163033333333 52.33816163333334)</t>
  </si>
  <si>
    <t>Sloterdijk Centrum Travelport 501-519</t>
  </si>
  <si>
    <t>POINT (4.835444700217833 52.38550097898632)</t>
  </si>
  <si>
    <t>Sloterdijk Centrum Heathrowstr 3-5</t>
  </si>
  <si>
    <t>POINT (4.83344409826104 52.38538567350118)</t>
  </si>
  <si>
    <t>NDSM:Klaprozenweg:Fase3</t>
  </si>
  <si>
    <t>POINT (4.897600217621984 52.40334468137609)</t>
  </si>
  <si>
    <t>POINT (4.959984170954125 52.37819733422207)</t>
  </si>
  <si>
    <t>SloterdijkIZuid-Uitvoeringfase7woningbouwSloterdijk1[4692won.in12jaardivcategorien]^Sloterdijk1Zuid(7)</t>
  </si>
  <si>
    <t>POINT (4.854534564973995 52.3899925682106)</t>
  </si>
  <si>
    <t>Zuidas/Ravel, ontwikkelveld 2 GH</t>
  </si>
  <si>
    <t>POINT (4.883233155415474 52.33618127074678)</t>
  </si>
  <si>
    <t>POINT (4.864247025290593 52.33598849899067)</t>
  </si>
  <si>
    <t>Zuidas/Verdi 3</t>
  </si>
  <si>
    <t>POINT (4.856112529423228 52.34165654232886)</t>
  </si>
  <si>
    <t>Holendrecht - fase 3</t>
  </si>
  <si>
    <t>POINT (4.964401558895823 52.29744301225184)</t>
  </si>
  <si>
    <t>Kavel A Stadgenoot fase 2</t>
  </si>
  <si>
    <t>POINT (4.9657856478627 52.2974873504932)</t>
  </si>
  <si>
    <t>Nieuwe Meer Oost | IBM-locatie</t>
  </si>
  <si>
    <t>POINT (4.833165860910479 52.34373516238681)</t>
  </si>
  <si>
    <t>Sloterstripk</t>
  </si>
  <si>
    <t>POINT (4.834952769944221 52.34626788739638)</t>
  </si>
  <si>
    <t>POINT (4.825917987022235 52.34912203560754)</t>
  </si>
  <si>
    <t>Zuidas/Verdi-Pompstation</t>
  </si>
  <si>
    <t>POINT (4.856645749540658 52.33622119665144)</t>
  </si>
  <si>
    <t>Ruychaver Kwartier 5e + 6e fase</t>
  </si>
  <si>
    <t>POINT (4.80576948296517 52.37674982861627)</t>
  </si>
  <si>
    <t>IJburg 2/Strandeiland_Pampusbuurt_T5 (P13 P14 P15 HUB 5),  P15</t>
  </si>
  <si>
    <t>POINT (5.023283930901684 52.35850170591806)</t>
  </si>
  <si>
    <t>Mercatorpark,Realisatie fase 2_Blok MW2</t>
  </si>
  <si>
    <t>POINT (4.844472537242782 52.37060121996009)</t>
  </si>
  <si>
    <t>Holendrecht, Centrum fase 3 (Blok B1.2 en B1.4)</t>
  </si>
  <si>
    <t>POINT (4.959576986814876 52.37048727077259)</t>
  </si>
  <si>
    <t>NDSM_Kavel_A08</t>
  </si>
  <si>
    <t>POINT (4.892687290303268 52.40341186417634)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</si>
</sst>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0000"/>
    <numFmt numFmtId="166" formatCode="0.000"/>
    <numFmt numFmtId="167" formatCode="#,##0.0000000"/>
  </numFmts>
  <fonts count="2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1"/>
      <color rgb="FF000000"/>
      <name val="Calibri"/>
      <family val="2"/>
      <scheme val="minor"/>
    </font>
    <font>
      <sz val="11"/>
      <color rgb="FF000000"/>
      <name val="Calibri"/>
      <scheme val="minor"/>
    </font>
    <font>
      <b/>
      <sz val="11"/>
      <color rgb="FF000000"/>
      <name val="Calibri"/>
      <family val="2"/>
    </font>
    <font>
      <b/>
      <sz val="11"/>
      <color rgb="FFFF0000"/>
      <name val="Calibri"/>
      <family val="2"/>
    </font>
    <font>
      <sz val="11"/>
      <color rgb="FF000000"/>
      <name val="Calibri"/>
      <family val="2"/>
    </font>
    <font>
      <sz val="11"/>
      <color rgb="FFFF0000"/>
      <name val="Calibri"/>
      <family val="2"/>
    </font>
    <font>
      <u/>
      <sz val="11"/>
      <color theme="10"/>
      <name val="Calibri"/>
      <family val="2"/>
      <scheme val="minor"/>
    </font>
    <font>
      <sz val="11"/>
      <color rgb="FF000000"/>
      <name val="Calibri"/>
    </font>
    <font>
      <b/>
      <sz val="11"/>
      <color rgb="FF000000"/>
      <name val="Calibri"/>
    </font>
    <font>
      <b/>
      <sz val="11"/>
      <color rgb="FF000000"/>
      <name val="Calibri"/>
      <charset val="1"/>
    </font>
    <font>
      <sz val="11"/>
      <name val="Calibri"/>
    </font>
    <font>
      <sz val="11"/>
      <name val="Calibri"/>
      <family val="2"/>
    </font>
    <font>
      <b/>
      <sz val="11"/>
      <color rgb="FF000000"/>
      <name val="Calibri"/>
      <family val="2"/>
      <scheme val="minor"/>
    </font>
    <font>
      <sz val="11"/>
      <color theme="1"/>
      <name val="Calibri"/>
      <family val="2"/>
      <charset val="1"/>
    </font>
    <font>
      <sz val="11"/>
      <color rgb="FF000000"/>
      <name val="Calibri"/>
      <charset val="1"/>
    </font>
    <font>
      <sz val="11"/>
      <color rgb="FFFF0000"/>
      <name val="Calibri"/>
      <family val="2"/>
      <scheme val="minor"/>
    </font>
    <font>
      <b/>
      <sz val="11"/>
      <color rgb="FFFF000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FF"/>
        <bgColor indexed="64"/>
      </patternFill>
    </fill>
    <fill>
      <patternFill patternType="solid">
        <fgColor theme="6"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8"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op>
      <bottom style="medium">
        <color theme="1"/>
      </bottom>
      <diagonal/>
    </border>
    <border>
      <left style="thin">
        <color rgb="FF000000"/>
      </left>
      <right style="thin">
        <color rgb="FF000000"/>
      </right>
      <top style="thin">
        <color rgb="FF000000"/>
      </top>
      <bottom style="thin">
        <color rgb="FF000000"/>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style="thin">
        <color theme="1"/>
      </top>
      <bottom style="medium">
        <color theme="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theme="1" tint="0.499984740745262"/>
      </left>
      <right style="thin">
        <color theme="1" tint="0.499984740745262"/>
      </right>
      <top style="thin">
        <color rgb="FF000000"/>
      </top>
      <bottom style="medium">
        <color rgb="FF000000"/>
      </bottom>
      <diagonal/>
    </border>
    <border>
      <left style="thin">
        <color theme="1" tint="0.499984740745262"/>
      </left>
      <right/>
      <top style="thin">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right style="thin">
        <color rgb="FF000000"/>
      </right>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medium">
        <color rgb="FF000000"/>
      </bottom>
      <diagonal/>
    </border>
    <border>
      <left style="thin">
        <color rgb="FF000000"/>
      </left>
      <right/>
      <top/>
      <bottom/>
      <diagonal/>
    </border>
  </borders>
  <cellStyleXfs count="2">
    <xf numFmtId="0" fontId="0" fillId="0" borderId="0"/>
    <xf numFmtId="0" fontId="10" fillId="0" borderId="0" applyNumberFormat="0" applyFill="0" applyBorder="0" applyAlignment="0" applyProtection="0"/>
  </cellStyleXfs>
  <cellXfs count="97">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2" borderId="0" xfId="0" applyFill="1"/>
    <xf numFmtId="0" fontId="0" fillId="2" borderId="2" xfId="0" applyFill="1" applyBorder="1"/>
    <xf numFmtId="2" fontId="0" fillId="2" borderId="2" xfId="0" applyNumberFormat="1"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6" fillId="0" borderId="0" xfId="0" applyFont="1"/>
    <xf numFmtId="0" fontId="7" fillId="0" borderId="0" xfId="0" applyFont="1"/>
    <xf numFmtId="0" fontId="8" fillId="0" borderId="0" xfId="0" applyFont="1"/>
    <xf numFmtId="0" fontId="9" fillId="0" borderId="0" xfId="0" applyFont="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3" borderId="6" xfId="0" applyFill="1" applyBorder="1"/>
    <xf numFmtId="0" fontId="0" fillId="3" borderId="20" xfId="0" applyFill="1" applyBorder="1"/>
    <xf numFmtId="0" fontId="0" fillId="3" borderId="19" xfId="0" applyFill="1" applyBorder="1"/>
    <xf numFmtId="0" fontId="0" fillId="3" borderId="17" xfId="0" applyFill="1" applyBorder="1"/>
    <xf numFmtId="0" fontId="0" fillId="3" borderId="11" xfId="0" applyFill="1" applyBorder="1"/>
    <xf numFmtId="0" fontId="0" fillId="3" borderId="16" xfId="0" applyFill="1" applyBorder="1"/>
    <xf numFmtId="0" fontId="0" fillId="3" borderId="13" xfId="0" applyFill="1" applyBorder="1"/>
    <xf numFmtId="0" fontId="0" fillId="3" borderId="18" xfId="0" applyFill="1" applyBorder="1"/>
    <xf numFmtId="164" fontId="0" fillId="0" borderId="0" xfId="0" applyNumberFormat="1"/>
    <xf numFmtId="0" fontId="10" fillId="0" borderId="0" xfId="1"/>
    <xf numFmtId="0" fontId="10" fillId="5" borderId="0" xfId="1" applyFill="1" applyAlignment="1">
      <alignment wrapText="1"/>
    </xf>
    <xf numFmtId="0" fontId="6" fillId="0" borderId="22" xfId="0" applyFont="1" applyBorder="1"/>
    <xf numFmtId="10" fontId="0" fillId="0" borderId="0" xfId="0" applyNumberFormat="1"/>
    <xf numFmtId="0" fontId="1" fillId="0" borderId="22" xfId="0" applyFont="1" applyBorder="1"/>
    <xf numFmtId="0" fontId="11" fillId="0" borderId="0" xfId="0" applyFont="1"/>
    <xf numFmtId="0" fontId="1" fillId="0" borderId="23" xfId="0" applyFont="1" applyBorder="1"/>
    <xf numFmtId="0" fontId="0" fillId="0" borderId="24" xfId="0" applyBorder="1"/>
    <xf numFmtId="0" fontId="5" fillId="0" borderId="24" xfId="0" applyFont="1" applyBorder="1"/>
    <xf numFmtId="0" fontId="8" fillId="0" borderId="24" xfId="0" applyFont="1" applyBorder="1"/>
    <xf numFmtId="0" fontId="11" fillId="0" borderId="24" xfId="0" applyFont="1" applyBorder="1"/>
    <xf numFmtId="0" fontId="4" fillId="0" borderId="0" xfId="0" applyFont="1"/>
    <xf numFmtId="0" fontId="0" fillId="3" borderId="26" xfId="0" applyFill="1" applyBorder="1"/>
    <xf numFmtId="0" fontId="0" fillId="3" borderId="27" xfId="0" applyFill="1" applyBorder="1"/>
    <xf numFmtId="0" fontId="0" fillId="3" borderId="12" xfId="0" applyFill="1" applyBorder="1"/>
    <xf numFmtId="0" fontId="0" fillId="3" borderId="21" xfId="0" applyFill="1" applyBorder="1"/>
    <xf numFmtId="0" fontId="12" fillId="0" borderId="0" xfId="0" applyFont="1"/>
    <xf numFmtId="11" fontId="0" fillId="0" borderId="0" xfId="0" applyNumberFormat="1"/>
    <xf numFmtId="0" fontId="10" fillId="0" borderId="0" xfId="1" applyFill="1"/>
    <xf numFmtId="165" fontId="0" fillId="0" borderId="0" xfId="0" applyNumberFormat="1"/>
    <xf numFmtId="0" fontId="14" fillId="0" borderId="0" xfId="0" applyFont="1"/>
    <xf numFmtId="0" fontId="6" fillId="0" borderId="1" xfId="0" applyFont="1" applyBorder="1"/>
    <xf numFmtId="0" fontId="6" fillId="0" borderId="25" xfId="0" applyFont="1" applyBorder="1"/>
    <xf numFmtId="0" fontId="0" fillId="0" borderId="28" xfId="0" applyBorder="1"/>
    <xf numFmtId="0" fontId="8" fillId="4" borderId="20" xfId="0" applyFont="1" applyFill="1" applyBorder="1"/>
    <xf numFmtId="0" fontId="8" fillId="0" borderId="6" xfId="0" applyFont="1" applyBorder="1"/>
    <xf numFmtId="0" fontId="8" fillId="0" borderId="6" xfId="0" applyFont="1" applyBorder="1" applyAlignment="1">
      <alignment wrapText="1"/>
    </xf>
    <xf numFmtId="0" fontId="0" fillId="0" borderId="6" xfId="0" applyBorder="1"/>
    <xf numFmtId="0" fontId="12" fillId="0" borderId="23" xfId="0" applyFont="1" applyBorder="1"/>
    <xf numFmtId="0" fontId="13" fillId="0" borderId="23" xfId="0" applyFont="1" applyBorder="1"/>
    <xf numFmtId="0" fontId="0" fillId="6" borderId="0" xfId="0" applyFill="1"/>
    <xf numFmtId="0" fontId="1" fillId="0" borderId="23" xfId="0" applyFont="1" applyBorder="1" applyAlignment="1">
      <alignment wrapText="1"/>
    </xf>
    <xf numFmtId="0" fontId="15" fillId="0" borderId="0" xfId="0" applyFont="1"/>
    <xf numFmtId="0" fontId="1" fillId="2" borderId="2" xfId="0" applyFont="1" applyFill="1" applyBorder="1"/>
    <xf numFmtId="0" fontId="1" fillId="2" borderId="6" xfId="0" applyFont="1" applyFill="1" applyBorder="1"/>
    <xf numFmtId="0" fontId="16" fillId="2" borderId="6" xfId="0" applyFont="1" applyFill="1" applyBorder="1"/>
    <xf numFmtId="0" fontId="1" fillId="2" borderId="7" xfId="0" applyFont="1" applyFill="1" applyBorder="1"/>
    <xf numFmtId="0" fontId="16" fillId="2" borderId="7" xfId="0" applyFont="1" applyFill="1" applyBorder="1"/>
    <xf numFmtId="0" fontId="12" fillId="7" borderId="0" xfId="0" applyFont="1" applyFill="1"/>
    <xf numFmtId="0" fontId="1" fillId="7" borderId="22" xfId="0" applyFont="1" applyFill="1" applyBorder="1"/>
    <xf numFmtId="0" fontId="17" fillId="0" borderId="0" xfId="0" applyFont="1"/>
    <xf numFmtId="0" fontId="0" fillId="8" borderId="0" xfId="0" applyFill="1"/>
    <xf numFmtId="2" fontId="15" fillId="0" borderId="0" xfId="0" applyNumberFormat="1" applyFont="1"/>
    <xf numFmtId="0" fontId="18" fillId="0" borderId="0" xfId="0" applyFont="1"/>
    <xf numFmtId="0" fontId="1" fillId="3" borderId="11" xfId="0" applyFont="1" applyFill="1" applyBorder="1"/>
    <xf numFmtId="0" fontId="1" fillId="3" borderId="16" xfId="0" applyFont="1" applyFill="1" applyBorder="1"/>
    <xf numFmtId="0" fontId="1" fillId="3" borderId="12" xfId="0" applyFont="1" applyFill="1" applyBorder="1"/>
    <xf numFmtId="0" fontId="1" fillId="3" borderId="27" xfId="0" applyFont="1" applyFill="1" applyBorder="1"/>
    <xf numFmtId="0" fontId="1" fillId="3" borderId="6" xfId="0" applyFont="1" applyFill="1" applyBorder="1"/>
    <xf numFmtId="0" fontId="1" fillId="3" borderId="19" xfId="0" applyFont="1" applyFill="1" applyBorder="1"/>
    <xf numFmtId="166" fontId="8" fillId="9" borderId="0" xfId="0" applyNumberFormat="1" applyFont="1" applyFill="1"/>
    <xf numFmtId="167" fontId="8" fillId="0" borderId="0" xfId="0" applyNumberFormat="1" applyFont="1"/>
    <xf numFmtId="0" fontId="0" fillId="3" borderId="14" xfId="0" applyFill="1" applyBorder="1"/>
    <xf numFmtId="0" fontId="0" fillId="10" borderId="14" xfId="0" applyFill="1" applyBorder="1"/>
    <xf numFmtId="167" fontId="18" fillId="0" borderId="0" xfId="0" applyNumberFormat="1" applyFont="1"/>
    <xf numFmtId="0" fontId="19" fillId="3" borderId="13" xfId="0" applyFont="1" applyFill="1" applyBorder="1"/>
    <xf numFmtId="0" fontId="20" fillId="3" borderId="6" xfId="0" applyFont="1" applyFill="1" applyBorder="1"/>
    <xf numFmtId="0" fontId="20" fillId="3" borderId="11" xfId="0" applyFont="1" applyFill="1" applyBorder="1"/>
    <xf numFmtId="0" fontId="20" fillId="3" borderId="19" xfId="0" applyFont="1" applyFill="1" applyBorder="1"/>
    <xf numFmtId="0" fontId="20" fillId="3" borderId="16" xfId="0" applyFont="1" applyFill="1" applyBorder="1"/>
    <xf numFmtId="0" fontId="19" fillId="3" borderId="26" xfId="0" applyFont="1" applyFill="1" applyBorder="1"/>
    <xf numFmtId="0" fontId="6" fillId="0" borderId="0" xfId="0" applyFont="1" applyAlignment="1"/>
    <xf numFmtId="0" fontId="9"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anya Tsui" id="{2592633F-EBE1-412E-8317-D24BB118F977}" userId="S::tpytsui@tudelft.nl::d0d7da9b-3fac-4891-92f0-dae9e2ece50e" providerId="AD"/>
  <person displayName="Stijn Brancart" id="{6FA5F08C-3983-4104-A7D2-4EE2C04B2318}" userId="S::sbrancart@tudelft.nl::cef94883-db55-4d24-9d00-e951951b5ba6" providerId="AD"/>
  <person displayName="Petar Koljensic" id="{A3D8008E-4A39-4B47-A202-13232F3C5B2C}" userId="S::pkoljensic@tudelft.nl::d51ffc88-7dc0-4705-a51c-22faed42c7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3-11-13T14:33:04.44" personId="{2592633F-EBE1-412E-8317-D24BB118F977}" id="{87145D5A-3F36-408E-B418-32D602EB1F87}">
    <text>distinguished between modules_2D and modules_3D: the perc_fill_material is different.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41" dT="2023-11-13T08:57:36.53" personId="{2592633F-EBE1-412E-8317-D24BB118F977}" id="{C2D9ABE3-DC40-4D7D-8737-723D3AFDF519}">
    <text>This row was previously "rubber", and there was another empty row for "bitumen". I did two changes: 
- changed "rubber" to "bitumen",
- removed the empty row with "bitumen"</text>
  </threadedComment>
  <threadedComment ref="A44" dT="2023-11-13T09:15:01.72" personId="{2592633F-EBE1-412E-8317-D24BB118F977}" id="{619DD740-55FD-41D5-B47B-6A436B7D439D}">
    <text>added modules amount (in tons)</text>
  </threadedComment>
  <threadedComment ref="E48" dT="2023-11-27T13:31:25.36" personId="{6FA5F08C-3983-4104-A7D2-4EE2C04B2318}" id="{00B52FD5-03C0-46C7-9805-F85144869EA9}">
    <text>I didn't find a good way to calculate this. So I applied a factor 0.75 based on a study that I found. I left the values for gravel/sand and steel the same. Steel reinforcement will be important also for potential tension forces due to wind, which will become more critical due to the lower weight.</text>
  </threadedComment>
  <threadedComment ref="E48" dT="2023-11-28T09:56:20.05" personId="{A3D8008E-4A39-4B47-A202-13232F3C5B2C}" id="{BFD509EF-916D-4EE7-A5AE-82D1A87DBDC0}" parentId="{00B52FD5-03C0-46C7-9805-F85144869EA9}">
    <text>thanks! That makes sense</text>
  </threadedComment>
  <threadedComment ref="E72" dT="2023-11-20T07:52:07.25" personId="{6FA5F08C-3983-4104-A7D2-4EE2C04B2318}" id="{C6C5DA6F-0871-41CA-8BC8-0B664D679453}">
    <text>Based on our parametric model</text>
  </threadedComment>
  <threadedComment ref="E72" dT="2023-11-28T09:56:52.03" personId="{A3D8008E-4A39-4B47-A202-13232F3C5B2C}" id="{FD64B552-538A-457A-AB46-A9E0FEF6A6A8}" parentId="{C6C5DA6F-0871-41CA-8BC8-0B664D679453}">
    <text>Nice - any ideas for the concrete core? Or should we keep it fully timber?</text>
  </threadedComment>
  <threadedComment ref="E73" dT="2023-11-27T13:41:53.46" personId="{6FA5F08C-3983-4104-A7D2-4EE2C04B2318}" id="{C5A0CE8A-F88F-4F8B-8005-AEE83DFCA0C8}">
    <text>I'm guessing this is mainly for the window frames. They would be made out of timber in the biobased variant. Based on what I could find, we can assume that the weight remains more or less the same.</text>
  </threadedComment>
  <threadedComment ref="E73" dT="2023-11-28T09:57:28.66" personId="{A3D8008E-4A39-4B47-A202-13232F3C5B2C}" id="{076FAE0B-6AA4-48EC-B956-BED00D97308F}" parentId="{C5A0CE8A-F88F-4F8B-8005-AEE83DFCA0C8}">
    <text xml:space="preserve">So it means - it's so to say timber? </text>
  </threadedComment>
  <threadedComment ref="E74" dT="2023-11-20T07:50:51.79" personId="{6FA5F08C-3983-4104-A7D2-4EE2C04B2318}" id="{0379B084-0A9A-44A4-AFAD-45F831763EC6}">
    <text>Converted to a biobased façade panel</text>
  </threadedComment>
  <threadedComment ref="E77" dT="2023-11-27T13:42:57.65" personId="{6FA5F08C-3983-4104-A7D2-4EE2C04B2318}" id="{F6DF67B8-78BF-4451-BC2A-071A8E151598}">
    <text xml:space="preserve">It's not entirely clear what the prefab concrete represents in the non-structural category. I'll leave it for now. </text>
  </threadedComment>
  <threadedComment ref="E79" dT="2023-11-20T07:49:41.77" personId="{6FA5F08C-3983-4104-A7D2-4EE2C04B2318}" id="{8F4D579B-C0C2-4D01-BFAB-41CDA20ABDE1}">
    <text>This will remain for biobased variant</text>
  </threadedComment>
  <threadedComment ref="E81" dT="2023-11-27T13:34:15.99" personId="{6FA5F08C-3983-4104-A7D2-4EE2C04B2318}" id="{B72F2DA4-6C02-45B6-BC08-00E0FB246538}">
    <text>I would leave this, since a biobased variant weights more or less the same.</text>
  </threadedComment>
  <threadedComment ref="E82" dT="2023-11-20T07:52:46.70" personId="{6FA5F08C-3983-4104-A7D2-4EE2C04B2318}" id="{9FE89FFC-B141-4D21-BFA2-0989603D322A}">
    <text>Converted based on average insulation value for biobased materials</text>
  </threadedComment>
  <threadedComment ref="E84" dT="2023-11-20T07:49:10.49" personId="{6FA5F08C-3983-4104-A7D2-4EE2C04B2318}" id="{B8D02E97-21E9-4EC8-965F-4399A7ECD1EF}">
    <text>I'm assuming that a biobased variant would have more or less the same weight.</text>
  </threadedComment>
  <threadedComment ref="E86" dT="2023-11-27T13:34:40.07" personId="{6FA5F08C-3983-4104-A7D2-4EE2C04B2318}" id="{7072C0D4-E9BB-49E7-A891-2DD1B6DB05CC}">
    <text>Not sure what this is for. Probably best to leave it, amount is quite low anyway.</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levs.nl/en/projects/world-of-food-2-0" TargetMode="External"/><Relationship Id="rId2" Type="http://schemas.openxmlformats.org/officeDocument/2006/relationships/hyperlink" Target="https://wonam.nl/project/the-ensemble/" TargetMode="External"/><Relationship Id="rId1" Type="http://schemas.openxmlformats.org/officeDocument/2006/relationships/hyperlink" Target="https://www.levs.nl/projecten/stepst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C11" sqref="C11"/>
    </sheetView>
  </sheetViews>
  <sheetFormatPr defaultRowHeight="14.45"/>
  <cols>
    <col min="1" max="1" width="36" customWidth="1"/>
    <col min="2" max="2" width="13.85546875" customWidth="1"/>
    <col min="3" max="3" width="101" style="2" customWidth="1"/>
  </cols>
  <sheetData>
    <row r="1" spans="1:3">
      <c r="A1" s="40" t="s">
        <v>0</v>
      </c>
      <c r="B1" s="40" t="s">
        <v>1</v>
      </c>
      <c r="C1" s="65" t="s">
        <v>2</v>
      </c>
    </row>
    <row r="2" spans="1:3" ht="28.9">
      <c r="A2" s="64" t="s">
        <v>3</v>
      </c>
      <c r="B2" t="s">
        <v>4</v>
      </c>
      <c r="C2" s="2" t="s">
        <v>5</v>
      </c>
    </row>
    <row r="3" spans="1:3" ht="28.9">
      <c r="A3" s="64" t="s">
        <v>6</v>
      </c>
      <c r="B3" t="s">
        <v>4</v>
      </c>
      <c r="C3" s="2" t="s">
        <v>7</v>
      </c>
    </row>
    <row r="4" spans="1:3" ht="28.9">
      <c r="A4" s="64" t="s">
        <v>8</v>
      </c>
      <c r="B4" t="s">
        <v>4</v>
      </c>
      <c r="C4" s="2" t="s">
        <v>9</v>
      </c>
    </row>
    <row r="5" spans="1:3" ht="28.9">
      <c r="A5" s="64" t="s">
        <v>10</v>
      </c>
      <c r="B5" t="s">
        <v>4</v>
      </c>
      <c r="C5" s="2" t="s">
        <v>11</v>
      </c>
    </row>
    <row r="6" spans="1:3" ht="28.9">
      <c r="A6" s="64" t="s">
        <v>12</v>
      </c>
      <c r="B6" t="s">
        <v>4</v>
      </c>
      <c r="C6" s="2" t="s">
        <v>13</v>
      </c>
    </row>
    <row r="7" spans="1:3">
      <c r="A7" s="64" t="s">
        <v>14</v>
      </c>
      <c r="B7" t="s">
        <v>4</v>
      </c>
      <c r="C7" s="2" t="s">
        <v>15</v>
      </c>
    </row>
    <row r="8" spans="1:3">
      <c r="A8" s="64" t="s">
        <v>16</v>
      </c>
      <c r="B8" t="s">
        <v>4</v>
      </c>
      <c r="C8" s="2" t="s">
        <v>17</v>
      </c>
    </row>
    <row r="9" spans="1:3" ht="28.9">
      <c r="A9" s="64" t="s">
        <v>18</v>
      </c>
      <c r="B9" t="s">
        <v>4</v>
      </c>
      <c r="C9" s="2" t="s">
        <v>19</v>
      </c>
    </row>
    <row r="10" spans="1:3">
      <c r="A10" s="64" t="s">
        <v>20</v>
      </c>
      <c r="B10" t="s">
        <v>4</v>
      </c>
      <c r="C10" s="2" t="s">
        <v>21</v>
      </c>
    </row>
    <row r="11" spans="1:3">
      <c r="A11" s="75" t="s">
        <v>22</v>
      </c>
      <c r="B11" t="s">
        <v>4</v>
      </c>
      <c r="C11" s="2"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9F31-3A04-4652-BEFF-5FC47FFDB650}">
  <dimension ref="A1:D140"/>
  <sheetViews>
    <sheetView workbookViewId="0">
      <selection activeCell="J8" sqref="J8"/>
    </sheetView>
  </sheetViews>
  <sheetFormatPr defaultRowHeight="14.45"/>
  <cols>
    <col min="1" max="1" width="10.7109375" customWidth="1"/>
    <col min="2" max="2" width="15" customWidth="1"/>
    <col min="3" max="3" width="15.85546875" customWidth="1"/>
    <col min="4" max="4" width="16.7109375" customWidth="1"/>
  </cols>
  <sheetData>
    <row r="1" spans="1:4">
      <c r="A1" s="1" t="s">
        <v>154</v>
      </c>
      <c r="B1" s="1" t="s">
        <v>155</v>
      </c>
      <c r="C1" s="1" t="s">
        <v>146</v>
      </c>
      <c r="D1" s="1" t="s">
        <v>145</v>
      </c>
    </row>
    <row r="2" spans="1:4">
      <c r="A2">
        <v>3</v>
      </c>
      <c r="B2">
        <v>368.84267257464978</v>
      </c>
      <c r="C2">
        <v>4.9782245727878047</v>
      </c>
      <c r="D2">
        <v>52.27590674916965</v>
      </c>
    </row>
    <row r="3" spans="1:4">
      <c r="A3">
        <v>3</v>
      </c>
      <c r="B3">
        <v>369.13764346891389</v>
      </c>
      <c r="C3">
        <v>4.995260620868776</v>
      </c>
      <c r="D3">
        <v>52.250536861863424</v>
      </c>
    </row>
    <row r="4" spans="1:4">
      <c r="A4">
        <v>3</v>
      </c>
      <c r="B4">
        <v>267.2652424105064</v>
      </c>
      <c r="C4">
        <v>4.9286292955016391</v>
      </c>
      <c r="D4">
        <v>52.206464289977632</v>
      </c>
    </row>
    <row r="5" spans="1:4">
      <c r="A5">
        <v>3</v>
      </c>
      <c r="B5">
        <v>326.08720787862762</v>
      </c>
      <c r="C5">
        <v>5.0074860782133843</v>
      </c>
      <c r="D5">
        <v>52.220594090851193</v>
      </c>
    </row>
    <row r="6" spans="1:4">
      <c r="A6">
        <v>3</v>
      </c>
      <c r="B6">
        <v>327.4047157122879</v>
      </c>
      <c r="C6">
        <v>5.006648275557624</v>
      </c>
      <c r="D6">
        <v>52.219168450098017</v>
      </c>
    </row>
    <row r="7" spans="1:4">
      <c r="A7">
        <v>3</v>
      </c>
      <c r="B7">
        <v>291.97176684844538</v>
      </c>
      <c r="C7">
        <v>5.1691953301318572</v>
      </c>
      <c r="D7">
        <v>52.354025686030475</v>
      </c>
    </row>
    <row r="8" spans="1:4">
      <c r="A8">
        <v>2</v>
      </c>
      <c r="B8">
        <v>291.97176684844538</v>
      </c>
      <c r="C8">
        <v>5.1820923635280707</v>
      </c>
      <c r="D8">
        <v>52.362520997243912</v>
      </c>
    </row>
    <row r="9" spans="1:4">
      <c r="A9">
        <v>2</v>
      </c>
      <c r="B9">
        <v>291.97176684844538</v>
      </c>
      <c r="C9">
        <v>5.1869554961457824</v>
      </c>
      <c r="D9">
        <v>52.363925035609043</v>
      </c>
    </row>
    <row r="10" spans="1:4">
      <c r="A10">
        <v>2</v>
      </c>
      <c r="B10">
        <v>281.54944924051637</v>
      </c>
      <c r="C10">
        <v>5.2025296515054924</v>
      </c>
      <c r="D10">
        <v>52.386441536412732</v>
      </c>
    </row>
    <row r="11" spans="1:4">
      <c r="A11">
        <v>2</v>
      </c>
      <c r="B11">
        <v>291.97176684844538</v>
      </c>
      <c r="C11">
        <v>5.1775400575049018</v>
      </c>
      <c r="D11">
        <v>52.351522403608747</v>
      </c>
    </row>
    <row r="12" spans="1:4">
      <c r="A12">
        <v>3</v>
      </c>
      <c r="B12">
        <v>291.97176684844538</v>
      </c>
      <c r="C12">
        <v>5.1644122839646922</v>
      </c>
      <c r="D12">
        <v>52.344572901347973</v>
      </c>
    </row>
    <row r="13" spans="1:4">
      <c r="A13">
        <v>3</v>
      </c>
      <c r="B13">
        <v>288.19839037085274</v>
      </c>
      <c r="C13">
        <v>4.8372998510210738</v>
      </c>
      <c r="D13">
        <v>52.231782728645229</v>
      </c>
    </row>
    <row r="14" spans="1:4">
      <c r="A14">
        <v>3</v>
      </c>
      <c r="B14">
        <v>622.06739237041927</v>
      </c>
      <c r="C14">
        <v>4.6398183838780582</v>
      </c>
      <c r="D14">
        <v>52.468769708676348</v>
      </c>
    </row>
    <row r="15" spans="1:4">
      <c r="A15">
        <v>3</v>
      </c>
      <c r="B15">
        <v>260.81861424856686</v>
      </c>
      <c r="C15">
        <v>4.7265494542834094</v>
      </c>
      <c r="D15">
        <v>52.294899534798247</v>
      </c>
    </row>
    <row r="16" spans="1:4">
      <c r="A16">
        <v>3</v>
      </c>
      <c r="B16">
        <v>244.57438581655586</v>
      </c>
      <c r="C16">
        <v>4.765065449409974</v>
      </c>
      <c r="D16">
        <v>52.359209277404595</v>
      </c>
    </row>
    <row r="17" spans="1:4">
      <c r="A17">
        <v>3</v>
      </c>
      <c r="B17">
        <v>294.14107106693598</v>
      </c>
      <c r="C17">
        <v>4.9243502009830484</v>
      </c>
      <c r="D17">
        <v>52.326869168486525</v>
      </c>
    </row>
    <row r="18" spans="1:4">
      <c r="A18">
        <v>3</v>
      </c>
      <c r="B18">
        <v>278.60862790968338</v>
      </c>
      <c r="C18">
        <v>4.6212791456840181</v>
      </c>
      <c r="D18">
        <v>52.253133549941744</v>
      </c>
    </row>
    <row r="19" spans="1:4">
      <c r="A19">
        <v>3</v>
      </c>
      <c r="B19">
        <v>276.73188825962035</v>
      </c>
      <c r="C19">
        <v>4.7351679766760624</v>
      </c>
      <c r="D19">
        <v>52.27770597685911</v>
      </c>
    </row>
    <row r="20" spans="1:4">
      <c r="A20">
        <v>3</v>
      </c>
      <c r="B20">
        <v>294.14107106693598</v>
      </c>
      <c r="C20">
        <v>4.9243531139111321</v>
      </c>
      <c r="D20">
        <v>52.332620654410754</v>
      </c>
    </row>
    <row r="21" spans="1:4">
      <c r="A21">
        <v>3</v>
      </c>
      <c r="B21">
        <v>240.03217702378109</v>
      </c>
      <c r="C21">
        <v>4.8361449863461772</v>
      </c>
      <c r="D21">
        <v>52.423909926393947</v>
      </c>
    </row>
    <row r="22" spans="1:4">
      <c r="A22">
        <v>3</v>
      </c>
      <c r="B22">
        <v>295.65764134549204</v>
      </c>
      <c r="C22">
        <v>4.7752364461257359</v>
      </c>
      <c r="D22">
        <v>52.258270905264787</v>
      </c>
    </row>
    <row r="23" spans="1:4">
      <c r="A23">
        <v>3</v>
      </c>
      <c r="B23">
        <v>189.00962036724729</v>
      </c>
      <c r="C23">
        <v>4.6299662599124733</v>
      </c>
      <c r="D23">
        <v>52.333144559978521</v>
      </c>
    </row>
    <row r="24" spans="1:4">
      <c r="A24">
        <v>3</v>
      </c>
      <c r="B24">
        <v>212.31723543919358</v>
      </c>
      <c r="C24">
        <v>5.0343645523238578</v>
      </c>
      <c r="D24">
        <v>52.468216834793054</v>
      </c>
    </row>
    <row r="25" spans="1:4">
      <c r="A25">
        <v>3</v>
      </c>
      <c r="B25">
        <v>236.91436222469545</v>
      </c>
      <c r="C25">
        <v>4.7897446521769336</v>
      </c>
      <c r="D25">
        <v>52.392848604932901</v>
      </c>
    </row>
    <row r="26" spans="1:4">
      <c r="A26">
        <v>3</v>
      </c>
      <c r="B26">
        <v>779.51182248828377</v>
      </c>
      <c r="C26">
        <v>4.7002982163719746</v>
      </c>
      <c r="D26">
        <v>52.505714039743864</v>
      </c>
    </row>
    <row r="27" spans="1:4">
      <c r="A27">
        <v>3</v>
      </c>
      <c r="B27">
        <v>252.06672298571715</v>
      </c>
      <c r="C27">
        <v>4.8513669925360192</v>
      </c>
      <c r="D27">
        <v>52.397038210313575</v>
      </c>
    </row>
    <row r="28" spans="1:4">
      <c r="A28">
        <v>3</v>
      </c>
      <c r="B28">
        <v>264.25412779728674</v>
      </c>
      <c r="C28">
        <v>4.6934016395319356</v>
      </c>
      <c r="D28">
        <v>52.284321759345019</v>
      </c>
    </row>
    <row r="29" spans="1:4">
      <c r="A29">
        <v>3</v>
      </c>
      <c r="B29">
        <v>252.92372735407181</v>
      </c>
      <c r="C29">
        <v>4.8746976036576832</v>
      </c>
      <c r="D29">
        <v>52.397201095881663</v>
      </c>
    </row>
    <row r="30" spans="1:4">
      <c r="A30">
        <v>3</v>
      </c>
      <c r="B30">
        <v>252.06672298571715</v>
      </c>
      <c r="C30">
        <v>4.8405000563517815</v>
      </c>
      <c r="D30">
        <v>52.399697030392659</v>
      </c>
    </row>
    <row r="31" spans="1:4">
      <c r="A31">
        <v>2</v>
      </c>
      <c r="B31">
        <v>667.99909690194272</v>
      </c>
      <c r="C31">
        <v>4.6561693346244279</v>
      </c>
      <c r="D31">
        <v>52.504703172478543</v>
      </c>
    </row>
    <row r="32" spans="1:4">
      <c r="A32">
        <v>3</v>
      </c>
      <c r="B32">
        <v>260.81861424856686</v>
      </c>
      <c r="C32">
        <v>4.7220753996237494</v>
      </c>
      <c r="D32">
        <v>52.292289852399477</v>
      </c>
    </row>
    <row r="33" spans="1:4">
      <c r="A33">
        <v>3</v>
      </c>
      <c r="B33">
        <v>213.35832629708338</v>
      </c>
      <c r="C33">
        <v>4.6744777783331442</v>
      </c>
      <c r="D33">
        <v>52.349668486744186</v>
      </c>
    </row>
    <row r="34" spans="1:4">
      <c r="A34">
        <v>3</v>
      </c>
      <c r="B34">
        <v>341.95326560994573</v>
      </c>
      <c r="C34">
        <v>5.172498760544908</v>
      </c>
      <c r="D34">
        <v>52.268417523009127</v>
      </c>
    </row>
    <row r="35" spans="1:4">
      <c r="A35">
        <v>3</v>
      </c>
      <c r="B35">
        <v>212.30248059738744</v>
      </c>
      <c r="C35">
        <v>5.0679156416319433</v>
      </c>
      <c r="D35">
        <v>52.490644113600744</v>
      </c>
    </row>
    <row r="36" spans="1:4">
      <c r="A36">
        <v>3</v>
      </c>
      <c r="B36">
        <v>299.65026920701166</v>
      </c>
      <c r="C36">
        <v>4.8148190638153965</v>
      </c>
      <c r="D36">
        <v>52.242821375426949</v>
      </c>
    </row>
    <row r="37" spans="1:4">
      <c r="A37">
        <v>3</v>
      </c>
      <c r="B37">
        <v>212.73136772133631</v>
      </c>
      <c r="C37">
        <v>4.5886362447000399</v>
      </c>
      <c r="D37">
        <v>52.463378483661813</v>
      </c>
    </row>
    <row r="38" spans="1:4">
      <c r="A38">
        <v>2</v>
      </c>
      <c r="B38">
        <v>240.03217702378109</v>
      </c>
      <c r="C38">
        <v>4.8433181886241332</v>
      </c>
      <c r="D38">
        <v>52.437884598759645</v>
      </c>
    </row>
    <row r="39" spans="1:4">
      <c r="A39">
        <v>3</v>
      </c>
      <c r="B39">
        <v>257.19543795041091</v>
      </c>
      <c r="C39">
        <v>4.7950369960763926</v>
      </c>
      <c r="D39">
        <v>52.342938644071985</v>
      </c>
    </row>
    <row r="40" spans="1:4">
      <c r="A40">
        <v>3</v>
      </c>
      <c r="B40">
        <v>241.93352668692032</v>
      </c>
      <c r="C40">
        <v>4.9967626548275694</v>
      </c>
      <c r="D40">
        <v>52.431825690486356</v>
      </c>
    </row>
    <row r="41" spans="1:4">
      <c r="A41">
        <v>3</v>
      </c>
      <c r="B41">
        <v>271.50533036415294</v>
      </c>
      <c r="C41">
        <v>4.7882634234377148</v>
      </c>
      <c r="D41">
        <v>52.331000284495069</v>
      </c>
    </row>
    <row r="42" spans="1:4">
      <c r="A42">
        <v>3</v>
      </c>
      <c r="B42">
        <v>299.65026920701166</v>
      </c>
      <c r="C42">
        <v>4.8054223666742715</v>
      </c>
      <c r="D42">
        <v>52.246242343334764</v>
      </c>
    </row>
    <row r="43" spans="1:4">
      <c r="A43">
        <v>3</v>
      </c>
      <c r="B43">
        <v>257.19543795041091</v>
      </c>
      <c r="C43">
        <v>4.784366587676387</v>
      </c>
      <c r="D43">
        <v>52.360574162628872</v>
      </c>
    </row>
    <row r="44" spans="1:4">
      <c r="A44">
        <v>3</v>
      </c>
      <c r="B44">
        <v>227.53311891871326</v>
      </c>
      <c r="C44">
        <v>4.7636003996967169</v>
      </c>
      <c r="D44">
        <v>52.394645917119583</v>
      </c>
    </row>
    <row r="45" spans="1:4">
      <c r="A45">
        <v>3</v>
      </c>
      <c r="B45">
        <v>252.92372735407181</v>
      </c>
      <c r="C45">
        <v>4.8849706159730326</v>
      </c>
      <c r="D45">
        <v>52.409033739632157</v>
      </c>
    </row>
    <row r="46" spans="1:4">
      <c r="A46">
        <v>3</v>
      </c>
      <c r="B46">
        <v>299.13029081335264</v>
      </c>
      <c r="C46">
        <v>4.7854306878968744</v>
      </c>
      <c r="D46">
        <v>52.270222965273412</v>
      </c>
    </row>
    <row r="47" spans="1:4">
      <c r="A47">
        <v>3</v>
      </c>
      <c r="B47">
        <v>299.65026920701166</v>
      </c>
      <c r="C47">
        <v>4.8036035967160586</v>
      </c>
      <c r="D47">
        <v>52.261612349660574</v>
      </c>
    </row>
    <row r="48" spans="1:4">
      <c r="A48">
        <v>3</v>
      </c>
      <c r="B48">
        <v>264.25412779728674</v>
      </c>
      <c r="C48">
        <v>4.7032355127222916</v>
      </c>
      <c r="D48">
        <v>52.278707357273873</v>
      </c>
    </row>
    <row r="49" spans="1:4">
      <c r="A49">
        <v>3</v>
      </c>
      <c r="B49">
        <v>252.92372735407181</v>
      </c>
      <c r="C49">
        <v>4.8817243071746779</v>
      </c>
      <c r="D49">
        <v>52.407813483855243</v>
      </c>
    </row>
    <row r="50" spans="1:4">
      <c r="A50">
        <v>3</v>
      </c>
      <c r="B50">
        <v>262.29268901492543</v>
      </c>
      <c r="C50">
        <v>4.8660039428279687</v>
      </c>
      <c r="D50">
        <v>52.380102990979616</v>
      </c>
    </row>
    <row r="51" spans="1:4">
      <c r="A51">
        <v>3</v>
      </c>
      <c r="B51">
        <v>262.29268901492543</v>
      </c>
      <c r="C51">
        <v>4.8598003527853519</v>
      </c>
      <c r="D51">
        <v>52.382718478434413</v>
      </c>
    </row>
    <row r="52" spans="1:4">
      <c r="A52">
        <v>2</v>
      </c>
      <c r="B52">
        <v>284.45437124610447</v>
      </c>
      <c r="C52">
        <v>4.9768358959166035</v>
      </c>
      <c r="D52">
        <v>52.36302726059035</v>
      </c>
    </row>
    <row r="53" spans="1:4">
      <c r="A53">
        <v>3</v>
      </c>
      <c r="B53">
        <v>267.66897188698891</v>
      </c>
      <c r="C53">
        <v>4.9370560271873227</v>
      </c>
      <c r="D53">
        <v>52.386323447009332</v>
      </c>
    </row>
    <row r="54" spans="1:4">
      <c r="A54">
        <v>3</v>
      </c>
      <c r="B54">
        <v>326.99609523760563</v>
      </c>
      <c r="C54">
        <v>4.9399946248108249</v>
      </c>
      <c r="D54">
        <v>52.301554176856079</v>
      </c>
    </row>
    <row r="55" spans="1:4">
      <c r="A55">
        <v>3</v>
      </c>
      <c r="B55">
        <v>260.81861424856686</v>
      </c>
      <c r="C55">
        <v>4.7115411003741956</v>
      </c>
      <c r="D55">
        <v>52.297097562820149</v>
      </c>
    </row>
    <row r="56" spans="1:4">
      <c r="A56">
        <v>3</v>
      </c>
      <c r="B56">
        <v>265.38187690814448</v>
      </c>
      <c r="C56">
        <v>4.9250647940224317</v>
      </c>
      <c r="D56">
        <v>52.384415281148847</v>
      </c>
    </row>
    <row r="57" spans="1:4">
      <c r="A57">
        <v>3</v>
      </c>
      <c r="B57">
        <v>331.40188704280558</v>
      </c>
      <c r="C57">
        <v>5.1449676227350842</v>
      </c>
      <c r="D57">
        <v>52.213200589012366</v>
      </c>
    </row>
    <row r="58" spans="1:4">
      <c r="A58">
        <v>3</v>
      </c>
      <c r="B58">
        <v>244.57438581655586</v>
      </c>
      <c r="C58">
        <v>4.763754377987353</v>
      </c>
      <c r="D58">
        <v>52.347633928526079</v>
      </c>
    </row>
    <row r="59" spans="1:4">
      <c r="A59">
        <v>3</v>
      </c>
      <c r="B59">
        <v>319.89944747423993</v>
      </c>
      <c r="C59">
        <v>4.897260890195863</v>
      </c>
      <c r="D59">
        <v>52.293900426761951</v>
      </c>
    </row>
    <row r="60" spans="1:4">
      <c r="A60">
        <v>3</v>
      </c>
      <c r="B60">
        <v>308.9673758938892</v>
      </c>
      <c r="C60">
        <v>4.8383489393144181</v>
      </c>
      <c r="D60">
        <v>52.284710665232041</v>
      </c>
    </row>
    <row r="61" spans="1:4">
      <c r="A61">
        <v>3</v>
      </c>
      <c r="B61">
        <v>267.37241232236079</v>
      </c>
      <c r="C61">
        <v>4.844735673376495</v>
      </c>
      <c r="D61">
        <v>52.342447871013157</v>
      </c>
    </row>
    <row r="62" spans="1:4">
      <c r="A62">
        <v>3</v>
      </c>
      <c r="B62">
        <v>299.65026920701166</v>
      </c>
      <c r="C62">
        <v>4.8213244615731252</v>
      </c>
      <c r="D62">
        <v>52.258726225945949</v>
      </c>
    </row>
    <row r="63" spans="1:4">
      <c r="A63">
        <v>3</v>
      </c>
      <c r="B63">
        <v>271.50533036415294</v>
      </c>
      <c r="C63">
        <v>4.7952341090722213</v>
      </c>
      <c r="D63">
        <v>52.335799306471174</v>
      </c>
    </row>
    <row r="64" spans="1:4">
      <c r="A64">
        <v>3</v>
      </c>
      <c r="B64">
        <v>219.51890201372078</v>
      </c>
      <c r="C64">
        <v>4.8123212706371206</v>
      </c>
      <c r="D64">
        <v>52.434504895989136</v>
      </c>
    </row>
    <row r="65" spans="1:4">
      <c r="A65">
        <v>3</v>
      </c>
      <c r="B65">
        <v>244.85356834200155</v>
      </c>
      <c r="C65">
        <v>4.8786187794470797</v>
      </c>
      <c r="D65">
        <v>52.426951322177189</v>
      </c>
    </row>
    <row r="66" spans="1:4">
      <c r="A66">
        <v>3</v>
      </c>
      <c r="B66">
        <v>264.87747277200418</v>
      </c>
      <c r="C66">
        <v>4.7971588042733968</v>
      </c>
      <c r="D66">
        <v>52.494438372917898</v>
      </c>
    </row>
    <row r="67" spans="1:4">
      <c r="A67">
        <v>3</v>
      </c>
      <c r="B67">
        <v>244.85356834200155</v>
      </c>
      <c r="C67">
        <v>4.8626965558667887</v>
      </c>
      <c r="D67">
        <v>52.433219742655716</v>
      </c>
    </row>
    <row r="68" spans="1:4">
      <c r="A68">
        <v>3</v>
      </c>
      <c r="B68">
        <v>276.73188825962035</v>
      </c>
      <c r="C68">
        <v>4.7444607739120315</v>
      </c>
      <c r="D68">
        <v>52.282950748127618</v>
      </c>
    </row>
    <row r="69" spans="1:4">
      <c r="A69">
        <v>3</v>
      </c>
      <c r="B69">
        <v>213.62717250519734</v>
      </c>
      <c r="C69">
        <v>4.8212909719279811</v>
      </c>
      <c r="D69">
        <v>52.468062409549511</v>
      </c>
    </row>
    <row r="70" spans="1:4">
      <c r="A70">
        <v>3</v>
      </c>
      <c r="B70">
        <v>295.65764134549204</v>
      </c>
      <c r="C70">
        <v>4.7742606809233354</v>
      </c>
      <c r="D70">
        <v>52.244341848897811</v>
      </c>
    </row>
    <row r="71" spans="1:4">
      <c r="A71">
        <v>3</v>
      </c>
      <c r="B71">
        <v>241.39182485712388</v>
      </c>
      <c r="C71">
        <v>4.9526677389820888</v>
      </c>
      <c r="D71">
        <v>52.42463062132353</v>
      </c>
    </row>
    <row r="72" spans="1:4">
      <c r="A72">
        <v>3</v>
      </c>
      <c r="B72">
        <v>338.08233091271279</v>
      </c>
      <c r="C72">
        <v>5.120513576685684</v>
      </c>
      <c r="D72">
        <v>52.258683124730247</v>
      </c>
    </row>
    <row r="73" spans="1:4">
      <c r="A73">
        <v>3</v>
      </c>
      <c r="B73">
        <v>311.4884883889012</v>
      </c>
      <c r="C73">
        <v>5.1129212418997314</v>
      </c>
      <c r="D73">
        <v>52.208725810918004</v>
      </c>
    </row>
    <row r="74" spans="1:4">
      <c r="A74">
        <v>3</v>
      </c>
      <c r="B74">
        <v>299.65026920701166</v>
      </c>
      <c r="C74">
        <v>4.7906957405452628</v>
      </c>
      <c r="D74">
        <v>52.25561944240679</v>
      </c>
    </row>
    <row r="75" spans="1:4">
      <c r="A75">
        <v>3</v>
      </c>
      <c r="B75">
        <v>245.60078969138837</v>
      </c>
      <c r="C75">
        <v>4.683970428880273</v>
      </c>
      <c r="D75">
        <v>52.291879231447531</v>
      </c>
    </row>
    <row r="76" spans="1:4">
      <c r="A76">
        <v>3</v>
      </c>
      <c r="B76">
        <v>219.51890201372078</v>
      </c>
      <c r="C76">
        <v>4.8197696177963616</v>
      </c>
      <c r="D76">
        <v>52.434704290908662</v>
      </c>
    </row>
    <row r="77" spans="1:4">
      <c r="A77">
        <v>3</v>
      </c>
      <c r="B77">
        <v>226.97742262207328</v>
      </c>
      <c r="C77">
        <v>4.9528467946003083</v>
      </c>
      <c r="D77">
        <v>52.458410418534818</v>
      </c>
    </row>
    <row r="78" spans="1:4">
      <c r="A78">
        <v>3</v>
      </c>
      <c r="B78">
        <v>227.3275239466021</v>
      </c>
      <c r="C78">
        <v>4.6939749284881085</v>
      </c>
      <c r="D78">
        <v>52.313846866420505</v>
      </c>
    </row>
    <row r="79" spans="1:4">
      <c r="A79">
        <v>3</v>
      </c>
      <c r="B79">
        <v>195.18901698266998</v>
      </c>
      <c r="C79">
        <v>5.0798785874493557</v>
      </c>
      <c r="D79">
        <v>52.502692441879923</v>
      </c>
    </row>
    <row r="80" spans="1:4">
      <c r="A80">
        <v>3</v>
      </c>
      <c r="B80">
        <v>337.62250877140775</v>
      </c>
      <c r="C80">
        <v>5.1811848647620007</v>
      </c>
      <c r="D80">
        <v>52.229004656759322</v>
      </c>
    </row>
    <row r="81" spans="1:4">
      <c r="A81">
        <v>3</v>
      </c>
      <c r="B81">
        <v>287.26933844821997</v>
      </c>
      <c r="C81">
        <v>4.5717806605064082</v>
      </c>
      <c r="D81">
        <v>52.25376060377782</v>
      </c>
    </row>
    <row r="82" spans="1:4">
      <c r="A82">
        <v>3</v>
      </c>
      <c r="B82">
        <v>362.06126389754303</v>
      </c>
      <c r="C82">
        <v>4.7732767606414042</v>
      </c>
      <c r="D82">
        <v>52.50177853602802</v>
      </c>
    </row>
    <row r="83" spans="1:4">
      <c r="A83">
        <v>3</v>
      </c>
      <c r="B83">
        <v>244.57438581655586</v>
      </c>
      <c r="C83">
        <v>4.7561498954158479</v>
      </c>
      <c r="D83">
        <v>52.345861468411059</v>
      </c>
    </row>
    <row r="84" spans="1:4">
      <c r="A84">
        <v>3</v>
      </c>
      <c r="B84">
        <v>337.62250877140775</v>
      </c>
      <c r="C84">
        <v>5.1894569930101895</v>
      </c>
      <c r="D84">
        <v>52.222127355769878</v>
      </c>
    </row>
    <row r="85" spans="1:4">
      <c r="A85">
        <v>3</v>
      </c>
      <c r="B85">
        <v>244.57438581655586</v>
      </c>
      <c r="C85">
        <v>4.7680350205144402</v>
      </c>
      <c r="D85">
        <v>52.348407090475085</v>
      </c>
    </row>
    <row r="86" spans="1:4">
      <c r="A86">
        <v>3</v>
      </c>
      <c r="B86">
        <v>333.21346990913491</v>
      </c>
      <c r="C86">
        <v>5.1206361171933308</v>
      </c>
      <c r="D86">
        <v>52.26711082595898</v>
      </c>
    </row>
    <row r="87" spans="1:4">
      <c r="A87">
        <v>3</v>
      </c>
      <c r="B87">
        <v>345.80668631445172</v>
      </c>
      <c r="C87">
        <v>5.1699601776389583</v>
      </c>
      <c r="D87">
        <v>52.239739780984074</v>
      </c>
    </row>
    <row r="88" spans="1:4">
      <c r="A88">
        <v>3</v>
      </c>
      <c r="B88">
        <v>294.14910675202958</v>
      </c>
      <c r="C88">
        <v>4.9473309773004974</v>
      </c>
      <c r="D88">
        <v>52.336604296080829</v>
      </c>
    </row>
    <row r="89" spans="1:4">
      <c r="A89">
        <v>3</v>
      </c>
      <c r="B89">
        <v>240.89871505579259</v>
      </c>
      <c r="C89">
        <v>4.7632577376593801</v>
      </c>
      <c r="D89">
        <v>52.486735606166107</v>
      </c>
    </row>
    <row r="90" spans="1:4">
      <c r="A90">
        <v>2</v>
      </c>
      <c r="B90">
        <v>340.02977018483654</v>
      </c>
      <c r="C90">
        <v>5.0803019795462925</v>
      </c>
      <c r="D90">
        <v>52.25199169259416</v>
      </c>
    </row>
    <row r="91" spans="1:4">
      <c r="A91">
        <v>3</v>
      </c>
      <c r="B91">
        <v>622.06739237041927</v>
      </c>
      <c r="C91">
        <v>4.6694359048019365</v>
      </c>
      <c r="D91">
        <v>52.479101358489373</v>
      </c>
    </row>
    <row r="92" spans="1:4">
      <c r="A92">
        <v>3</v>
      </c>
      <c r="B92">
        <v>287.66209769051648</v>
      </c>
      <c r="C92">
        <v>5.0119115621338608</v>
      </c>
      <c r="D92">
        <v>52.339928624891577</v>
      </c>
    </row>
    <row r="93" spans="1:4">
      <c r="A93">
        <v>3</v>
      </c>
      <c r="B93">
        <v>197.04846699604727</v>
      </c>
      <c r="C93">
        <v>5.0408396223000498</v>
      </c>
      <c r="D93">
        <v>52.515600139463288</v>
      </c>
    </row>
    <row r="94" spans="1:4">
      <c r="A94">
        <v>3</v>
      </c>
      <c r="B94">
        <v>337.62250877140775</v>
      </c>
      <c r="C94">
        <v>5.1900343896084236</v>
      </c>
      <c r="D94">
        <v>52.220060599508535</v>
      </c>
    </row>
    <row r="95" spans="1:4">
      <c r="A95">
        <v>3</v>
      </c>
      <c r="B95">
        <v>196.41456439457821</v>
      </c>
      <c r="C95">
        <v>4.8122348771222612</v>
      </c>
      <c r="D95">
        <v>52.445180681667246</v>
      </c>
    </row>
    <row r="96" spans="1:4">
      <c r="A96">
        <v>3</v>
      </c>
      <c r="B96">
        <v>271.50533036415294</v>
      </c>
      <c r="C96">
        <v>4.7998201568417711</v>
      </c>
      <c r="D96">
        <v>52.323026370319106</v>
      </c>
    </row>
    <row r="97" spans="1:4">
      <c r="A97">
        <v>3</v>
      </c>
      <c r="B97">
        <v>318.2234590575585</v>
      </c>
      <c r="C97">
        <v>5.1409161075149754</v>
      </c>
      <c r="D97">
        <v>52.195471608189195</v>
      </c>
    </row>
    <row r="98" spans="1:4">
      <c r="A98">
        <v>3</v>
      </c>
      <c r="B98">
        <v>338.99453156939018</v>
      </c>
      <c r="C98">
        <v>5.0462587935450509</v>
      </c>
      <c r="D98">
        <v>52.27185739491086</v>
      </c>
    </row>
    <row r="99" spans="1:4">
      <c r="A99">
        <v>3</v>
      </c>
      <c r="B99">
        <v>791.59720174622396</v>
      </c>
      <c r="C99">
        <v>4.6735364659825862</v>
      </c>
      <c r="D99">
        <v>52.468813606500412</v>
      </c>
    </row>
    <row r="100" spans="1:4">
      <c r="A100">
        <v>3</v>
      </c>
      <c r="B100">
        <v>276.73188825962035</v>
      </c>
      <c r="C100">
        <v>4.738541738664769</v>
      </c>
      <c r="D100">
        <v>52.282110185159688</v>
      </c>
    </row>
    <row r="101" spans="1:4">
      <c r="A101">
        <v>3</v>
      </c>
      <c r="B101">
        <v>252.92372735407181</v>
      </c>
      <c r="C101">
        <v>4.8661371053712283</v>
      </c>
      <c r="D101">
        <v>52.396868625406135</v>
      </c>
    </row>
    <row r="102" spans="1:4">
      <c r="A102">
        <v>3</v>
      </c>
      <c r="B102">
        <v>260.81861424856686</v>
      </c>
      <c r="C102">
        <v>4.7407976469435376</v>
      </c>
      <c r="D102">
        <v>52.295692222775628</v>
      </c>
    </row>
    <row r="103" spans="1:4">
      <c r="A103">
        <v>3</v>
      </c>
      <c r="B103">
        <v>289.95685065259619</v>
      </c>
      <c r="C103">
        <v>4.7647096974432106</v>
      </c>
      <c r="D103">
        <v>52.281633241757909</v>
      </c>
    </row>
    <row r="104" spans="1:4">
      <c r="A104">
        <v>3</v>
      </c>
      <c r="B104">
        <v>274.82238618703053</v>
      </c>
      <c r="C104">
        <v>4.7581023249857504</v>
      </c>
      <c r="D104">
        <v>52.290931360405374</v>
      </c>
    </row>
    <row r="105" spans="1:4">
      <c r="A105">
        <v>3</v>
      </c>
      <c r="B105">
        <v>244.85356834200155</v>
      </c>
      <c r="C105">
        <v>4.8738758438397252</v>
      </c>
      <c r="D105">
        <v>52.431458544315966</v>
      </c>
    </row>
    <row r="106" spans="1:4">
      <c r="A106">
        <v>3</v>
      </c>
      <c r="B106">
        <v>253.66692835877808</v>
      </c>
      <c r="C106">
        <v>4.6415254433401909</v>
      </c>
      <c r="D106">
        <v>52.264892100446971</v>
      </c>
    </row>
    <row r="107" spans="1:4">
      <c r="A107">
        <v>3</v>
      </c>
      <c r="B107">
        <v>302.20651726497147</v>
      </c>
      <c r="C107">
        <v>4.9838374959161147</v>
      </c>
      <c r="D107">
        <v>52.331697340848876</v>
      </c>
    </row>
    <row r="108" spans="1:4">
      <c r="A108">
        <v>3</v>
      </c>
      <c r="B108">
        <v>281.45480916707209</v>
      </c>
      <c r="C108">
        <v>4.7832852395205805</v>
      </c>
      <c r="D108">
        <v>52.230619917442674</v>
      </c>
    </row>
    <row r="109" spans="1:4">
      <c r="A109">
        <v>3</v>
      </c>
      <c r="B109">
        <v>196.41456439457821</v>
      </c>
      <c r="C109">
        <v>4.8161117847569654</v>
      </c>
      <c r="D109">
        <v>52.446882193934883</v>
      </c>
    </row>
    <row r="110" spans="1:4">
      <c r="A110">
        <v>3</v>
      </c>
      <c r="B110">
        <v>294.14910675202958</v>
      </c>
      <c r="C110">
        <v>4.9687293784998028</v>
      </c>
      <c r="D110">
        <v>52.331209637418731</v>
      </c>
    </row>
    <row r="111" spans="1:4">
      <c r="A111">
        <v>3</v>
      </c>
      <c r="B111">
        <v>308.9673758938892</v>
      </c>
      <c r="C111">
        <v>4.8222774898653702</v>
      </c>
      <c r="D111">
        <v>52.286877504635676</v>
      </c>
    </row>
    <row r="112" spans="1:4">
      <c r="A112">
        <v>3</v>
      </c>
      <c r="B112">
        <v>258.72004645718164</v>
      </c>
      <c r="C112">
        <v>4.7703357981595671</v>
      </c>
      <c r="D112">
        <v>52.333266368890861</v>
      </c>
    </row>
    <row r="113" spans="1:4">
      <c r="A113">
        <v>3</v>
      </c>
      <c r="B113">
        <v>254.0629369228715</v>
      </c>
      <c r="C113">
        <v>4.9050176421495282</v>
      </c>
      <c r="D113">
        <v>52.397831085307395</v>
      </c>
    </row>
    <row r="114" spans="1:4">
      <c r="A114">
        <v>3</v>
      </c>
      <c r="B114">
        <v>254.0629369228715</v>
      </c>
      <c r="C114">
        <v>4.9011964763228084</v>
      </c>
      <c r="D114">
        <v>52.392522335782104</v>
      </c>
    </row>
    <row r="115" spans="1:4">
      <c r="A115">
        <v>3</v>
      </c>
      <c r="B115">
        <v>294.14107106693598</v>
      </c>
      <c r="C115">
        <v>4.9286292445168982</v>
      </c>
      <c r="D115">
        <v>52.338106740400228</v>
      </c>
    </row>
    <row r="116" spans="1:4">
      <c r="A116">
        <v>3</v>
      </c>
      <c r="B116">
        <v>294.14107106693598</v>
      </c>
      <c r="C116">
        <v>4.9176168575594783</v>
      </c>
      <c r="D116">
        <v>52.33613120537256</v>
      </c>
    </row>
    <row r="117" spans="1:4">
      <c r="A117">
        <v>3</v>
      </c>
      <c r="B117">
        <v>252.92372735407181</v>
      </c>
      <c r="C117">
        <v>4.8715893904295395</v>
      </c>
      <c r="D117">
        <v>52.412460640291933</v>
      </c>
    </row>
    <row r="118" spans="1:4">
      <c r="A118">
        <v>3</v>
      </c>
      <c r="B118">
        <v>252.92372735407181</v>
      </c>
      <c r="C118">
        <v>4.8922685106026931</v>
      </c>
      <c r="D118">
        <v>52.401774821920121</v>
      </c>
    </row>
    <row r="119" spans="1:4">
      <c r="A119">
        <v>3</v>
      </c>
      <c r="B119">
        <v>254.0629369228715</v>
      </c>
      <c r="C119">
        <v>4.8955988233826009</v>
      </c>
      <c r="D119">
        <v>52.403292584781241</v>
      </c>
    </row>
    <row r="120" spans="1:4">
      <c r="A120">
        <v>3</v>
      </c>
      <c r="B120">
        <v>252.06672298571715</v>
      </c>
      <c r="C120">
        <v>4.8291781276807413</v>
      </c>
      <c r="D120">
        <v>52.391532024407191</v>
      </c>
    </row>
    <row r="121" spans="1:4">
      <c r="A121">
        <v>3</v>
      </c>
      <c r="B121">
        <v>667.99909690194272</v>
      </c>
      <c r="C121">
        <v>4.6528075884661311</v>
      </c>
      <c r="D121">
        <v>52.504213322701979</v>
      </c>
    </row>
    <row r="122" spans="1:4">
      <c r="A122">
        <v>3</v>
      </c>
      <c r="B122">
        <v>475.08608341641917</v>
      </c>
      <c r="C122">
        <v>4.6642050406651734</v>
      </c>
      <c r="D122">
        <v>52.54052169747537</v>
      </c>
    </row>
    <row r="123" spans="1:4">
      <c r="A123">
        <v>3</v>
      </c>
      <c r="B123">
        <v>208.5893977714351</v>
      </c>
      <c r="C123">
        <v>4.8417859850224669</v>
      </c>
      <c r="D123">
        <v>52.548909464436115</v>
      </c>
    </row>
    <row r="124" spans="1:4">
      <c r="A124">
        <v>3</v>
      </c>
      <c r="B124">
        <v>208.5893977714351</v>
      </c>
      <c r="C124">
        <v>4.8463417297044531</v>
      </c>
      <c r="D124">
        <v>52.549888889484734</v>
      </c>
    </row>
    <row r="125" spans="1:4">
      <c r="A125">
        <v>3</v>
      </c>
      <c r="B125">
        <v>485.16305695428093</v>
      </c>
      <c r="C125">
        <v>4.6765922860322213</v>
      </c>
      <c r="D125">
        <v>52.536685934155848</v>
      </c>
    </row>
    <row r="126" spans="1:4">
      <c r="A126">
        <v>3</v>
      </c>
      <c r="B126">
        <v>281.74343222255521</v>
      </c>
      <c r="C126">
        <v>4.6627599522825314</v>
      </c>
      <c r="D126">
        <v>52.559360877987075</v>
      </c>
    </row>
    <row r="127" spans="1:4">
      <c r="A127">
        <v>2</v>
      </c>
      <c r="B127">
        <v>287.47679531638141</v>
      </c>
      <c r="C127">
        <v>5.2013837855548237</v>
      </c>
      <c r="D127">
        <v>52.362470137655279</v>
      </c>
    </row>
    <row r="128" spans="1:4">
      <c r="A128">
        <v>3</v>
      </c>
      <c r="B128">
        <v>291.97176684844538</v>
      </c>
      <c r="C128">
        <v>5.1892380686100292</v>
      </c>
      <c r="D128">
        <v>52.351375192847797</v>
      </c>
    </row>
    <row r="129" spans="1:4">
      <c r="A129">
        <v>3</v>
      </c>
      <c r="B129">
        <v>291.97176684844538</v>
      </c>
      <c r="C129">
        <v>5.1753642722882693</v>
      </c>
      <c r="D129">
        <v>52.364288227573631</v>
      </c>
    </row>
    <row r="130" spans="1:4">
      <c r="A130">
        <v>3</v>
      </c>
      <c r="B130">
        <v>154.99387409614386</v>
      </c>
      <c r="C130">
        <v>4.5585468518295817</v>
      </c>
      <c r="D130">
        <v>52.287774944177571</v>
      </c>
    </row>
    <row r="131" spans="1:4">
      <c r="A131">
        <v>3</v>
      </c>
      <c r="B131">
        <v>154.99387409614386</v>
      </c>
      <c r="C131">
        <v>4.552401782483579</v>
      </c>
      <c r="D131">
        <v>52.299287355373458</v>
      </c>
    </row>
    <row r="132" spans="1:4">
      <c r="A132">
        <v>3</v>
      </c>
      <c r="B132">
        <v>154.99387409614386</v>
      </c>
      <c r="C132">
        <v>4.5607870786349931</v>
      </c>
      <c r="D132">
        <v>52.293549202535402</v>
      </c>
    </row>
    <row r="133" spans="1:4">
      <c r="A133">
        <v>3</v>
      </c>
      <c r="B133">
        <v>295.978862096657</v>
      </c>
      <c r="C133">
        <v>4.6223384197090382</v>
      </c>
      <c r="D133">
        <v>52.204944813204925</v>
      </c>
    </row>
    <row r="134" spans="1:4">
      <c r="A134">
        <v>3</v>
      </c>
      <c r="B134">
        <v>186.33312470095714</v>
      </c>
      <c r="C134">
        <v>4.5854463131345726</v>
      </c>
      <c r="D134">
        <v>52.289706319771199</v>
      </c>
    </row>
    <row r="135" spans="1:4">
      <c r="A135">
        <v>3</v>
      </c>
      <c r="B135">
        <v>226.33845379780433</v>
      </c>
      <c r="C135">
        <v>4.5663597700615011</v>
      </c>
      <c r="D135">
        <v>52.270163124492512</v>
      </c>
    </row>
    <row r="136" spans="1:4">
      <c r="A136">
        <v>2</v>
      </c>
      <c r="B136">
        <v>265.77934131922376</v>
      </c>
      <c r="C136">
        <v>4.7363986061782386</v>
      </c>
      <c r="D136">
        <v>52.193459141402869</v>
      </c>
    </row>
    <row r="137" spans="1:4">
      <c r="A137">
        <v>3</v>
      </c>
      <c r="B137">
        <v>186.33312470095714</v>
      </c>
      <c r="C137">
        <v>4.5869531864998603</v>
      </c>
      <c r="D137">
        <v>52.30091306355034</v>
      </c>
    </row>
    <row r="138" spans="1:4">
      <c r="A138">
        <v>3</v>
      </c>
      <c r="B138">
        <v>287.26933844821997</v>
      </c>
      <c r="C138">
        <v>4.5666800198329467</v>
      </c>
      <c r="D138">
        <v>52.25381139598143</v>
      </c>
    </row>
    <row r="139" spans="1:4">
      <c r="A139">
        <v>3</v>
      </c>
      <c r="B139">
        <v>279.24704249626984</v>
      </c>
      <c r="C139">
        <v>4.6806540235635161</v>
      </c>
      <c r="D139">
        <v>52.224714859628349</v>
      </c>
    </row>
    <row r="140" spans="1:4">
      <c r="A140">
        <v>2</v>
      </c>
      <c r="B140">
        <v>291.97176684844538</v>
      </c>
      <c r="C140">
        <v>5.1778797392128055</v>
      </c>
      <c r="D140">
        <v>52.347427236510235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FB15C-0240-480D-B261-CF615525E548}">
  <dimension ref="A1:P358"/>
  <sheetViews>
    <sheetView workbookViewId="0">
      <selection activeCell="N8" sqref="N8"/>
    </sheetView>
  </sheetViews>
  <sheetFormatPr defaultRowHeight="14.45"/>
  <cols>
    <col min="9" max="9" width="12.28515625" customWidth="1"/>
    <col min="13" max="13" width="9.42578125" customWidth="1"/>
    <col min="14" max="15" width="25.85546875" customWidth="1"/>
  </cols>
  <sheetData>
    <row r="1" spans="1:16" ht="15">
      <c r="A1" s="55" t="s">
        <v>156</v>
      </c>
      <c r="B1" s="56" t="s">
        <v>157</v>
      </c>
      <c r="C1" s="56" t="s">
        <v>158</v>
      </c>
      <c r="D1" s="56" t="s">
        <v>159</v>
      </c>
      <c r="E1" s="56" t="s">
        <v>160</v>
      </c>
      <c r="F1" s="56" t="s">
        <v>145</v>
      </c>
      <c r="G1" s="56" t="s">
        <v>146</v>
      </c>
      <c r="H1" s="56" t="s">
        <v>123</v>
      </c>
      <c r="I1" s="56" t="s">
        <v>161</v>
      </c>
      <c r="J1" s="56" t="s">
        <v>162</v>
      </c>
      <c r="K1" s="56" t="s">
        <v>163</v>
      </c>
      <c r="L1" s="56" t="s">
        <v>164</v>
      </c>
      <c r="M1" s="56" t="s">
        <v>165</v>
      </c>
      <c r="N1" s="56" t="s">
        <v>166</v>
      </c>
      <c r="O1" s="56" t="s">
        <v>167</v>
      </c>
      <c r="P1" s="1" t="s">
        <v>168</v>
      </c>
    </row>
    <row r="2" spans="1:16">
      <c r="A2" s="19" t="s">
        <v>169</v>
      </c>
      <c r="B2" s="19">
        <v>2024</v>
      </c>
      <c r="C2" s="19">
        <v>270</v>
      </c>
      <c r="D2" s="19" t="s">
        <v>170</v>
      </c>
      <c r="E2" s="19" t="s">
        <v>171</v>
      </c>
      <c r="F2" s="19">
        <v>52.31438</v>
      </c>
      <c r="G2" s="19">
        <v>4.9551309999999997</v>
      </c>
      <c r="H2" s="19" t="s">
        <v>102</v>
      </c>
      <c r="I2" s="19">
        <v>216</v>
      </c>
      <c r="J2" s="19">
        <v>1.25</v>
      </c>
      <c r="K2" s="19">
        <v>10225</v>
      </c>
      <c r="L2" s="19">
        <v>12781</v>
      </c>
      <c r="M2" s="19">
        <v>24</v>
      </c>
      <c r="N2" s="19">
        <v>7163</v>
      </c>
      <c r="O2" s="19">
        <v>8954</v>
      </c>
      <c r="P2">
        <f>O2/N2</f>
        <v>1.2500349015775514</v>
      </c>
    </row>
    <row r="3" spans="1:16">
      <c r="A3" s="19" t="s">
        <v>172</v>
      </c>
      <c r="B3" s="19">
        <v>2024</v>
      </c>
      <c r="C3" s="19">
        <v>568</v>
      </c>
      <c r="D3" s="19" t="s">
        <v>170</v>
      </c>
      <c r="E3" s="19" t="s">
        <v>173</v>
      </c>
      <c r="F3" s="19">
        <v>52.312040000000003</v>
      </c>
      <c r="G3" s="19">
        <v>4.9424140000000003</v>
      </c>
      <c r="H3" s="19" t="s">
        <v>104</v>
      </c>
      <c r="I3" s="19">
        <v>592</v>
      </c>
      <c r="J3" s="19">
        <v>0.95945899999999995</v>
      </c>
      <c r="K3" s="19">
        <v>75000</v>
      </c>
      <c r="L3" s="19">
        <v>71959</v>
      </c>
      <c r="M3" s="19">
        <v>36</v>
      </c>
      <c r="N3" s="19">
        <v>50000</v>
      </c>
      <c r="O3" s="19">
        <v>47973</v>
      </c>
      <c r="P3">
        <f t="shared" ref="P3:P66" si="0">O3/N3</f>
        <v>0.95945999999999998</v>
      </c>
    </row>
    <row r="4" spans="1:16">
      <c r="A4" s="19" t="s">
        <v>174</v>
      </c>
      <c r="B4" s="19">
        <v>2024</v>
      </c>
      <c r="C4" s="19">
        <v>84</v>
      </c>
      <c r="D4" s="19" t="s">
        <v>175</v>
      </c>
      <c r="E4" s="19" t="s">
        <v>176</v>
      </c>
      <c r="F4" s="19">
        <v>52.400149999999996</v>
      </c>
      <c r="G4" s="19">
        <v>4.9015649999999997</v>
      </c>
      <c r="H4" s="19" t="s">
        <v>102</v>
      </c>
      <c r="I4" s="19">
        <v>216</v>
      </c>
      <c r="J4" s="19">
        <v>0.38888899999999998</v>
      </c>
      <c r="K4" s="19">
        <v>10225</v>
      </c>
      <c r="L4" s="19">
        <v>3976</v>
      </c>
      <c r="M4" s="19">
        <v>24</v>
      </c>
      <c r="N4" s="19">
        <v>7163</v>
      </c>
      <c r="O4" s="19">
        <v>2786</v>
      </c>
      <c r="P4">
        <f t="shared" si="0"/>
        <v>0.38894318023174645</v>
      </c>
    </row>
    <row r="5" spans="1:16">
      <c r="A5" s="19" t="s">
        <v>177</v>
      </c>
      <c r="B5" s="19">
        <v>2024</v>
      </c>
      <c r="C5" s="19">
        <v>220</v>
      </c>
      <c r="D5" s="19" t="s">
        <v>175</v>
      </c>
      <c r="E5" s="19" t="s">
        <v>178</v>
      </c>
      <c r="F5" s="19">
        <v>52.405389999999997</v>
      </c>
      <c r="G5" s="19">
        <v>4.9029959999999999</v>
      </c>
      <c r="H5" s="19" t="s">
        <v>102</v>
      </c>
      <c r="I5" s="19">
        <v>216</v>
      </c>
      <c r="J5" s="19">
        <v>1.018519</v>
      </c>
      <c r="K5" s="19">
        <v>10225</v>
      </c>
      <c r="L5" s="19">
        <v>10414</v>
      </c>
      <c r="M5" s="19">
        <v>24</v>
      </c>
      <c r="N5" s="19">
        <v>7163</v>
      </c>
      <c r="O5" s="19">
        <v>7296</v>
      </c>
      <c r="P5">
        <f t="shared" si="0"/>
        <v>1.0185676392572944</v>
      </c>
    </row>
    <row r="6" spans="1:16">
      <c r="A6" s="19" t="s">
        <v>179</v>
      </c>
      <c r="B6" s="19">
        <v>2024</v>
      </c>
      <c r="C6" s="19">
        <v>160</v>
      </c>
      <c r="D6" s="19" t="s">
        <v>175</v>
      </c>
      <c r="E6" s="19" t="s">
        <v>180</v>
      </c>
      <c r="F6" s="19">
        <v>52.402369999999998</v>
      </c>
      <c r="G6" s="19">
        <v>4.9277920000000002</v>
      </c>
      <c r="H6" s="19" t="s">
        <v>102</v>
      </c>
      <c r="I6" s="19">
        <v>216</v>
      </c>
      <c r="J6" s="19">
        <v>0.74074099999999998</v>
      </c>
      <c r="K6" s="19">
        <v>10225</v>
      </c>
      <c r="L6" s="19">
        <v>7574</v>
      </c>
      <c r="M6" s="19">
        <v>24</v>
      </c>
      <c r="N6" s="19">
        <v>7163</v>
      </c>
      <c r="O6" s="19">
        <v>5306</v>
      </c>
      <c r="P6">
        <f t="shared" si="0"/>
        <v>0.74075108194890404</v>
      </c>
    </row>
    <row r="7" spans="1:16">
      <c r="A7" s="19" t="s">
        <v>181</v>
      </c>
      <c r="B7" s="19">
        <v>2024</v>
      </c>
      <c r="C7" s="19">
        <v>179</v>
      </c>
      <c r="D7" s="19" t="s">
        <v>175</v>
      </c>
      <c r="E7" s="19" t="s">
        <v>182</v>
      </c>
      <c r="F7" s="19">
        <v>52.402239999999999</v>
      </c>
      <c r="G7" s="19">
        <v>4.9289269999999998</v>
      </c>
      <c r="H7" s="19" t="s">
        <v>102</v>
      </c>
      <c r="I7" s="19">
        <v>216</v>
      </c>
      <c r="J7" s="19">
        <v>0.828704</v>
      </c>
      <c r="K7" s="19">
        <v>10225</v>
      </c>
      <c r="L7" s="19">
        <v>8474</v>
      </c>
      <c r="M7" s="19">
        <v>24</v>
      </c>
      <c r="N7" s="19">
        <v>7163</v>
      </c>
      <c r="O7" s="19">
        <v>5936</v>
      </c>
      <c r="P7">
        <f t="shared" si="0"/>
        <v>0.8287030573781935</v>
      </c>
    </row>
    <row r="8" spans="1:16">
      <c r="A8" s="19" t="s">
        <v>183</v>
      </c>
      <c r="B8" s="19">
        <v>2024</v>
      </c>
      <c r="C8" s="19">
        <v>130</v>
      </c>
      <c r="D8" s="19" t="s">
        <v>175</v>
      </c>
      <c r="E8" s="19" t="s">
        <v>184</v>
      </c>
      <c r="F8" s="19">
        <v>52.403190000000002</v>
      </c>
      <c r="G8" s="19">
        <v>4.9280340000000002</v>
      </c>
      <c r="H8" s="19" t="s">
        <v>102</v>
      </c>
      <c r="I8" s="19">
        <v>216</v>
      </c>
      <c r="J8" s="19">
        <v>0.60185200000000005</v>
      </c>
      <c r="K8" s="19">
        <v>10225</v>
      </c>
      <c r="L8" s="19">
        <v>6154</v>
      </c>
      <c r="M8" s="19">
        <v>24</v>
      </c>
      <c r="N8" s="19">
        <v>7163</v>
      </c>
      <c r="O8" s="19">
        <v>4311</v>
      </c>
      <c r="P8">
        <f t="shared" si="0"/>
        <v>0.60184280329470896</v>
      </c>
    </row>
    <row r="9" spans="1:16">
      <c r="A9" s="19" t="s">
        <v>185</v>
      </c>
      <c r="B9" s="19">
        <v>2024</v>
      </c>
      <c r="C9" s="19">
        <v>231</v>
      </c>
      <c r="D9" s="19" t="s">
        <v>175</v>
      </c>
      <c r="E9" s="19" t="s">
        <v>186</v>
      </c>
      <c r="F9" s="19">
        <v>52.403019999999998</v>
      </c>
      <c r="G9" s="19">
        <v>4.9291520000000002</v>
      </c>
      <c r="H9" s="19" t="s">
        <v>102</v>
      </c>
      <c r="I9" s="19">
        <v>216</v>
      </c>
      <c r="J9" s="19">
        <v>1.0694440000000001</v>
      </c>
      <c r="K9" s="19">
        <v>10225</v>
      </c>
      <c r="L9" s="19">
        <v>10935</v>
      </c>
      <c r="M9" s="19">
        <v>24</v>
      </c>
      <c r="N9" s="19">
        <v>7163</v>
      </c>
      <c r="O9" s="19">
        <v>7660</v>
      </c>
      <c r="P9">
        <f t="shared" si="0"/>
        <v>1.069384336171995</v>
      </c>
    </row>
    <row r="10" spans="1:16">
      <c r="A10" s="19" t="s">
        <v>187</v>
      </c>
      <c r="B10" s="19">
        <v>2024</v>
      </c>
      <c r="C10" s="19">
        <v>64</v>
      </c>
      <c r="D10" s="19" t="s">
        <v>188</v>
      </c>
      <c r="E10" s="19" t="s">
        <v>189</v>
      </c>
      <c r="F10" s="19">
        <v>52.394219999999997</v>
      </c>
      <c r="G10" s="19">
        <v>4.8751069999999999</v>
      </c>
      <c r="H10" s="19" t="s">
        <v>102</v>
      </c>
      <c r="I10" s="19">
        <v>216</v>
      </c>
      <c r="J10" s="19">
        <v>0.296296</v>
      </c>
      <c r="K10" s="19">
        <v>10225</v>
      </c>
      <c r="L10" s="19">
        <v>3030</v>
      </c>
      <c r="M10" s="19">
        <v>24</v>
      </c>
      <c r="N10" s="19">
        <v>7163</v>
      </c>
      <c r="O10" s="19">
        <v>2122</v>
      </c>
      <c r="P10">
        <f t="shared" si="0"/>
        <v>0.29624459025547956</v>
      </c>
    </row>
    <row r="11" spans="1:16">
      <c r="A11" s="19" t="s">
        <v>190</v>
      </c>
      <c r="B11" s="19">
        <v>2024</v>
      </c>
      <c r="C11" s="19">
        <v>102</v>
      </c>
      <c r="D11" s="19" t="s">
        <v>170</v>
      </c>
      <c r="E11" s="19" t="s">
        <v>191</v>
      </c>
      <c r="F11" s="19">
        <v>52.303699999999999</v>
      </c>
      <c r="G11" s="19">
        <v>4.9485669999999997</v>
      </c>
      <c r="H11" s="19" t="s">
        <v>102</v>
      </c>
      <c r="I11" s="19">
        <v>216</v>
      </c>
      <c r="J11" s="19">
        <v>0.47222199999999998</v>
      </c>
      <c r="K11" s="19">
        <v>10225</v>
      </c>
      <c r="L11" s="19">
        <v>4828</v>
      </c>
      <c r="M11" s="19">
        <v>24</v>
      </c>
      <c r="N11" s="19">
        <v>7163</v>
      </c>
      <c r="O11" s="19">
        <v>3383</v>
      </c>
      <c r="P11">
        <f t="shared" si="0"/>
        <v>0.47228814742426356</v>
      </c>
    </row>
    <row r="12" spans="1:16">
      <c r="A12" s="19" t="s">
        <v>192</v>
      </c>
      <c r="B12" s="19">
        <v>2024</v>
      </c>
      <c r="C12" s="19">
        <v>162</v>
      </c>
      <c r="D12" s="19" t="s">
        <v>193</v>
      </c>
      <c r="E12" s="19" t="s">
        <v>194</v>
      </c>
      <c r="F12" s="19">
        <v>52.333649999999999</v>
      </c>
      <c r="G12" s="19">
        <v>4.9218039999999998</v>
      </c>
      <c r="H12" s="19" t="s">
        <v>102</v>
      </c>
      <c r="I12" s="19">
        <v>216</v>
      </c>
      <c r="J12" s="19">
        <v>0.75</v>
      </c>
      <c r="K12" s="19">
        <v>10225</v>
      </c>
      <c r="L12" s="19">
        <v>7669</v>
      </c>
      <c r="M12" s="19">
        <v>24</v>
      </c>
      <c r="N12" s="19">
        <v>7163</v>
      </c>
      <c r="O12" s="19">
        <v>5372</v>
      </c>
      <c r="P12">
        <f t="shared" si="0"/>
        <v>0.74996509842244874</v>
      </c>
    </row>
    <row r="13" spans="1:16">
      <c r="A13" s="19" t="s">
        <v>195</v>
      </c>
      <c r="B13" s="19">
        <v>2024</v>
      </c>
      <c r="C13" s="19">
        <v>168</v>
      </c>
      <c r="D13" s="19" t="s">
        <v>196</v>
      </c>
      <c r="E13" s="19" t="s">
        <v>197</v>
      </c>
      <c r="F13" s="19">
        <v>52.343249999999998</v>
      </c>
      <c r="G13" s="19">
        <v>4.8322690000000001</v>
      </c>
      <c r="H13" s="19" t="s">
        <v>102</v>
      </c>
      <c r="I13" s="19">
        <v>216</v>
      </c>
      <c r="J13" s="19">
        <v>0.77777799999999997</v>
      </c>
      <c r="K13" s="19">
        <v>10225</v>
      </c>
      <c r="L13" s="19">
        <v>7953</v>
      </c>
      <c r="M13" s="19">
        <v>24</v>
      </c>
      <c r="N13" s="19">
        <v>7163</v>
      </c>
      <c r="O13" s="19">
        <v>5571</v>
      </c>
      <c r="P13">
        <f t="shared" si="0"/>
        <v>0.77774675415328776</v>
      </c>
    </row>
    <row r="14" spans="1:16">
      <c r="A14" s="19" t="s">
        <v>198</v>
      </c>
      <c r="B14" s="19">
        <v>2024</v>
      </c>
      <c r="C14" s="19">
        <v>273</v>
      </c>
      <c r="D14" s="19" t="s">
        <v>196</v>
      </c>
      <c r="E14" s="19" t="s">
        <v>199</v>
      </c>
      <c r="F14" s="19">
        <v>52.34487</v>
      </c>
      <c r="G14" s="19">
        <v>4.8340459999999998</v>
      </c>
      <c r="H14" s="19" t="s">
        <v>102</v>
      </c>
      <c r="I14" s="19">
        <v>216</v>
      </c>
      <c r="J14" s="19">
        <v>1.263889</v>
      </c>
      <c r="K14" s="19">
        <v>10225</v>
      </c>
      <c r="L14" s="19">
        <v>12923</v>
      </c>
      <c r="M14" s="19">
        <v>24</v>
      </c>
      <c r="N14" s="19">
        <v>7163</v>
      </c>
      <c r="O14" s="19">
        <v>9053</v>
      </c>
      <c r="P14">
        <f t="shared" si="0"/>
        <v>1.2638559262878681</v>
      </c>
    </row>
    <row r="15" spans="1:16">
      <c r="A15" s="19" t="s">
        <v>200</v>
      </c>
      <c r="B15" s="19">
        <v>2024</v>
      </c>
      <c r="C15" s="19">
        <v>407</v>
      </c>
      <c r="D15" s="19" t="s">
        <v>196</v>
      </c>
      <c r="E15" s="19" t="s">
        <v>201</v>
      </c>
      <c r="F15" s="19">
        <v>52.340089999999996</v>
      </c>
      <c r="G15" s="19">
        <v>4.8283880000000003</v>
      </c>
      <c r="H15" s="19" t="s">
        <v>103</v>
      </c>
      <c r="I15" s="19">
        <v>350</v>
      </c>
      <c r="J15" s="19">
        <v>1.162857</v>
      </c>
      <c r="K15" s="19">
        <v>32297</v>
      </c>
      <c r="L15" s="19">
        <v>37557</v>
      </c>
      <c r="M15" s="19">
        <v>30</v>
      </c>
      <c r="N15" s="19">
        <v>26588</v>
      </c>
      <c r="O15" s="19">
        <v>30918</v>
      </c>
      <c r="P15">
        <f t="shared" si="0"/>
        <v>1.1628554234993229</v>
      </c>
    </row>
    <row r="16" spans="1:16">
      <c r="A16" s="19" t="s">
        <v>202</v>
      </c>
      <c r="B16" s="19">
        <v>2024</v>
      </c>
      <c r="C16" s="19">
        <v>257</v>
      </c>
      <c r="D16" s="19" t="s">
        <v>175</v>
      </c>
      <c r="E16" s="19" t="s">
        <v>203</v>
      </c>
      <c r="F16" s="19">
        <v>52.393410000000003</v>
      </c>
      <c r="G16" s="19">
        <v>4.9527219999999996</v>
      </c>
      <c r="H16" s="19" t="s">
        <v>102</v>
      </c>
      <c r="I16" s="19">
        <v>216</v>
      </c>
      <c r="J16" s="19">
        <v>1.1898150000000001</v>
      </c>
      <c r="K16" s="19">
        <v>10225</v>
      </c>
      <c r="L16" s="19">
        <v>12166</v>
      </c>
      <c r="M16" s="19">
        <v>24</v>
      </c>
      <c r="N16" s="19">
        <v>7163</v>
      </c>
      <c r="O16" s="19">
        <v>8523</v>
      </c>
      <c r="P16">
        <f t="shared" si="0"/>
        <v>1.1898645818791009</v>
      </c>
    </row>
    <row r="17" spans="1:16">
      <c r="A17" s="19" t="s">
        <v>204</v>
      </c>
      <c r="B17" s="19">
        <v>2024</v>
      </c>
      <c r="C17" s="19">
        <v>141</v>
      </c>
      <c r="D17" s="19" t="s">
        <v>175</v>
      </c>
      <c r="E17" s="19" t="s">
        <v>205</v>
      </c>
      <c r="F17" s="19">
        <v>52.391629999999999</v>
      </c>
      <c r="G17" s="19">
        <v>4.9533180000000003</v>
      </c>
      <c r="H17" s="19" t="s">
        <v>102</v>
      </c>
      <c r="I17" s="19">
        <v>216</v>
      </c>
      <c r="J17" s="19">
        <v>0.65277799999999997</v>
      </c>
      <c r="K17" s="19">
        <v>10225</v>
      </c>
      <c r="L17" s="19">
        <v>6675</v>
      </c>
      <c r="M17" s="19">
        <v>24</v>
      </c>
      <c r="N17" s="19">
        <v>7163</v>
      </c>
      <c r="O17" s="19">
        <v>4676</v>
      </c>
      <c r="P17">
        <f t="shared" si="0"/>
        <v>0.6527991065196147</v>
      </c>
    </row>
    <row r="18" spans="1:16">
      <c r="A18" s="19" t="s">
        <v>206</v>
      </c>
      <c r="B18" s="19">
        <v>2024</v>
      </c>
      <c r="C18" s="19">
        <v>113</v>
      </c>
      <c r="D18" s="19" t="s">
        <v>193</v>
      </c>
      <c r="E18" s="19" t="s">
        <v>207</v>
      </c>
      <c r="F18" s="19">
        <v>52.339350000000003</v>
      </c>
      <c r="G18" s="19">
        <v>4.9265470000000002</v>
      </c>
      <c r="H18" s="19" t="s">
        <v>102</v>
      </c>
      <c r="I18" s="19">
        <v>216</v>
      </c>
      <c r="J18" s="19">
        <v>0.52314799999999995</v>
      </c>
      <c r="K18" s="19">
        <v>10225</v>
      </c>
      <c r="L18" s="19">
        <v>5349</v>
      </c>
      <c r="M18" s="19">
        <v>24</v>
      </c>
      <c r="N18" s="19">
        <v>7163</v>
      </c>
      <c r="O18" s="19">
        <v>3747</v>
      </c>
      <c r="P18">
        <f t="shared" si="0"/>
        <v>0.52310484433896409</v>
      </c>
    </row>
    <row r="19" spans="1:16">
      <c r="A19" s="19" t="s">
        <v>208</v>
      </c>
      <c r="B19" s="19">
        <v>2024</v>
      </c>
      <c r="C19" s="19">
        <v>124</v>
      </c>
      <c r="D19" s="19" t="s">
        <v>175</v>
      </c>
      <c r="E19" s="19" t="s">
        <v>209</v>
      </c>
      <c r="F19" s="19">
        <v>52.3874</v>
      </c>
      <c r="G19" s="19">
        <v>4.9059169999999996</v>
      </c>
      <c r="H19" s="19" t="s">
        <v>102</v>
      </c>
      <c r="I19" s="19">
        <v>216</v>
      </c>
      <c r="J19" s="19">
        <v>0.57407399999999997</v>
      </c>
      <c r="K19" s="19">
        <v>10225</v>
      </c>
      <c r="L19" s="19">
        <v>5870</v>
      </c>
      <c r="M19" s="19">
        <v>24</v>
      </c>
      <c r="N19" s="19">
        <v>7163</v>
      </c>
      <c r="O19" s="19">
        <v>4112</v>
      </c>
      <c r="P19">
        <f t="shared" si="0"/>
        <v>0.57406114756386983</v>
      </c>
    </row>
    <row r="20" spans="1:16">
      <c r="A20" s="19" t="s">
        <v>210</v>
      </c>
      <c r="B20" s="19">
        <v>2024</v>
      </c>
      <c r="C20" s="19">
        <v>100</v>
      </c>
      <c r="D20" s="19" t="s">
        <v>175</v>
      </c>
      <c r="E20" s="19" t="s">
        <v>211</v>
      </c>
      <c r="F20" s="19">
        <v>52.38702</v>
      </c>
      <c r="G20" s="19">
        <v>4.9062770000000002</v>
      </c>
      <c r="H20" s="19" t="s">
        <v>102</v>
      </c>
      <c r="I20" s="19">
        <v>216</v>
      </c>
      <c r="J20" s="19">
        <v>0.46296300000000001</v>
      </c>
      <c r="K20" s="19">
        <v>10225</v>
      </c>
      <c r="L20" s="19">
        <v>4734</v>
      </c>
      <c r="M20" s="19">
        <v>24</v>
      </c>
      <c r="N20" s="19">
        <v>7163</v>
      </c>
      <c r="O20" s="19">
        <v>3316</v>
      </c>
      <c r="P20">
        <f t="shared" si="0"/>
        <v>0.46293452464051377</v>
      </c>
    </row>
    <row r="21" spans="1:16">
      <c r="A21" s="19" t="s">
        <v>212</v>
      </c>
      <c r="B21" s="19">
        <v>2024</v>
      </c>
      <c r="C21" s="19">
        <v>189</v>
      </c>
      <c r="D21" s="19" t="s">
        <v>196</v>
      </c>
      <c r="E21" s="19" t="s">
        <v>213</v>
      </c>
      <c r="F21" s="19">
        <v>52.357230000000001</v>
      </c>
      <c r="G21" s="19">
        <v>4.8373889999999999</v>
      </c>
      <c r="H21" s="19" t="s">
        <v>102</v>
      </c>
      <c r="I21" s="19">
        <v>216</v>
      </c>
      <c r="J21" s="19">
        <v>0.875</v>
      </c>
      <c r="K21" s="19">
        <v>10225</v>
      </c>
      <c r="L21" s="19">
        <v>8947</v>
      </c>
      <c r="M21" s="19">
        <v>24</v>
      </c>
      <c r="N21" s="19">
        <v>7163</v>
      </c>
      <c r="O21" s="19">
        <v>6268</v>
      </c>
      <c r="P21">
        <f t="shared" si="0"/>
        <v>0.87505235236632695</v>
      </c>
    </row>
    <row r="22" spans="1:16">
      <c r="A22" s="19" t="s">
        <v>214</v>
      </c>
      <c r="B22" s="19">
        <v>2024</v>
      </c>
      <c r="C22" s="19">
        <v>134</v>
      </c>
      <c r="D22" s="19" t="s">
        <v>170</v>
      </c>
      <c r="E22" s="19" t="s">
        <v>215</v>
      </c>
      <c r="F22" s="19">
        <v>52.29721</v>
      </c>
      <c r="G22" s="19">
        <v>4.9833179999999997</v>
      </c>
      <c r="H22" s="19" t="s">
        <v>102</v>
      </c>
      <c r="I22" s="19">
        <v>216</v>
      </c>
      <c r="J22" s="19">
        <v>0.62036999999999998</v>
      </c>
      <c r="K22" s="19">
        <v>10225</v>
      </c>
      <c r="L22" s="19">
        <v>6343</v>
      </c>
      <c r="M22" s="19">
        <v>24</v>
      </c>
      <c r="N22" s="19">
        <v>7163</v>
      </c>
      <c r="O22" s="19">
        <v>4444</v>
      </c>
      <c r="P22">
        <f t="shared" si="0"/>
        <v>0.62041044255200339</v>
      </c>
    </row>
    <row r="23" spans="1:16">
      <c r="A23" s="19" t="s">
        <v>216</v>
      </c>
      <c r="B23" s="19">
        <v>2024</v>
      </c>
      <c r="C23" s="19">
        <v>350</v>
      </c>
      <c r="D23" s="19" t="s">
        <v>170</v>
      </c>
      <c r="E23" s="19" t="s">
        <v>217</v>
      </c>
      <c r="F23" s="19">
        <v>52.323009999999996</v>
      </c>
      <c r="G23" s="19">
        <v>4.9565210000000004</v>
      </c>
      <c r="H23" s="19" t="s">
        <v>103</v>
      </c>
      <c r="I23" s="19">
        <v>350</v>
      </c>
      <c r="J23" s="19">
        <v>1</v>
      </c>
      <c r="K23" s="19">
        <v>32297</v>
      </c>
      <c r="L23" s="19">
        <v>32297</v>
      </c>
      <c r="M23" s="19">
        <v>30</v>
      </c>
      <c r="N23" s="19">
        <v>26588</v>
      </c>
      <c r="O23" s="19">
        <v>26588</v>
      </c>
      <c r="P23">
        <f t="shared" si="0"/>
        <v>1</v>
      </c>
    </row>
    <row r="24" spans="1:16">
      <c r="A24" s="19" t="s">
        <v>218</v>
      </c>
      <c r="B24" s="19">
        <v>2024</v>
      </c>
      <c r="C24" s="19">
        <v>281</v>
      </c>
      <c r="D24" s="19" t="s">
        <v>193</v>
      </c>
      <c r="E24" s="19" t="s">
        <v>219</v>
      </c>
      <c r="F24" s="19">
        <v>52.337589999999999</v>
      </c>
      <c r="G24" s="19">
        <v>4.9164399999999997</v>
      </c>
      <c r="H24" s="19" t="s">
        <v>102</v>
      </c>
      <c r="I24" s="19">
        <v>216</v>
      </c>
      <c r="J24" s="19">
        <v>1.300926</v>
      </c>
      <c r="K24" s="19">
        <v>10225</v>
      </c>
      <c r="L24" s="19">
        <v>13302</v>
      </c>
      <c r="M24" s="19">
        <v>24</v>
      </c>
      <c r="N24" s="19">
        <v>7163</v>
      </c>
      <c r="O24" s="19">
        <v>9319</v>
      </c>
      <c r="P24">
        <f t="shared" si="0"/>
        <v>1.300991204802457</v>
      </c>
    </row>
    <row r="25" spans="1:16">
      <c r="A25" s="19" t="s">
        <v>220</v>
      </c>
      <c r="B25" s="19">
        <v>2024</v>
      </c>
      <c r="C25" s="19">
        <v>70</v>
      </c>
      <c r="D25" s="19" t="s">
        <v>193</v>
      </c>
      <c r="E25" s="19" t="s">
        <v>221</v>
      </c>
      <c r="F25" s="19">
        <v>52.332859999999997</v>
      </c>
      <c r="G25" s="19">
        <v>4.9156899999999997</v>
      </c>
      <c r="H25" s="19" t="s">
        <v>102</v>
      </c>
      <c r="I25" s="19">
        <v>216</v>
      </c>
      <c r="J25" s="19">
        <v>0.32407399999999997</v>
      </c>
      <c r="K25" s="19">
        <v>10225</v>
      </c>
      <c r="L25" s="19">
        <v>3314</v>
      </c>
      <c r="M25" s="19">
        <v>24</v>
      </c>
      <c r="N25" s="19">
        <v>7163</v>
      </c>
      <c r="O25" s="19">
        <v>2321</v>
      </c>
      <c r="P25">
        <f t="shared" si="0"/>
        <v>0.32402624598631857</v>
      </c>
    </row>
    <row r="26" spans="1:16">
      <c r="A26" s="19" t="s">
        <v>222</v>
      </c>
      <c r="B26" s="19">
        <v>2024</v>
      </c>
      <c r="C26" s="19">
        <v>60</v>
      </c>
      <c r="D26" s="19" t="s">
        <v>193</v>
      </c>
      <c r="E26" s="19" t="s">
        <v>223</v>
      </c>
      <c r="F26" s="19">
        <v>52.373989999999999</v>
      </c>
      <c r="G26" s="19">
        <v>4.9610060000000002</v>
      </c>
      <c r="H26" s="19" t="s">
        <v>102</v>
      </c>
      <c r="I26" s="19">
        <v>216</v>
      </c>
      <c r="J26" s="19">
        <v>0.27777800000000002</v>
      </c>
      <c r="K26" s="19">
        <v>10225</v>
      </c>
      <c r="L26" s="19">
        <v>2840</v>
      </c>
      <c r="M26" s="19">
        <v>24</v>
      </c>
      <c r="N26" s="19">
        <v>7163</v>
      </c>
      <c r="O26" s="19">
        <v>1990</v>
      </c>
      <c r="P26">
        <f t="shared" si="0"/>
        <v>0.27781655730839033</v>
      </c>
    </row>
    <row r="27" spans="1:16">
      <c r="A27" s="19" t="s">
        <v>224</v>
      </c>
      <c r="B27" s="19">
        <v>2024</v>
      </c>
      <c r="C27" s="19">
        <v>126</v>
      </c>
      <c r="D27" s="19" t="s">
        <v>193</v>
      </c>
      <c r="E27" s="19" t="s">
        <v>225</v>
      </c>
      <c r="F27" s="19">
        <v>52.375749999999996</v>
      </c>
      <c r="G27" s="19">
        <v>4.9624689999999996</v>
      </c>
      <c r="H27" s="19" t="s">
        <v>102</v>
      </c>
      <c r="I27" s="19">
        <v>216</v>
      </c>
      <c r="J27" s="19">
        <v>0.58333299999999999</v>
      </c>
      <c r="K27" s="19">
        <v>10225</v>
      </c>
      <c r="L27" s="19">
        <v>5965</v>
      </c>
      <c r="M27" s="19">
        <v>24</v>
      </c>
      <c r="N27" s="19">
        <v>7163</v>
      </c>
      <c r="O27" s="19">
        <v>4178</v>
      </c>
      <c r="P27">
        <f t="shared" si="0"/>
        <v>0.58327516403741453</v>
      </c>
    </row>
    <row r="28" spans="1:16">
      <c r="A28" s="19" t="s">
        <v>226</v>
      </c>
      <c r="B28" s="19">
        <v>2024</v>
      </c>
      <c r="C28" s="19">
        <v>82</v>
      </c>
      <c r="D28" s="19" t="s">
        <v>193</v>
      </c>
      <c r="E28" s="19" t="s">
        <v>227</v>
      </c>
      <c r="F28" s="19">
        <v>52.374470000000002</v>
      </c>
      <c r="G28" s="19">
        <v>4.9607130000000002</v>
      </c>
      <c r="H28" s="19" t="s">
        <v>102</v>
      </c>
      <c r="I28" s="19">
        <v>216</v>
      </c>
      <c r="J28" s="19">
        <v>0.37963000000000002</v>
      </c>
      <c r="K28" s="19">
        <v>10225</v>
      </c>
      <c r="L28" s="19">
        <v>3882</v>
      </c>
      <c r="M28" s="19">
        <v>24</v>
      </c>
      <c r="N28" s="19">
        <v>7163</v>
      </c>
      <c r="O28" s="19">
        <v>2719</v>
      </c>
      <c r="P28">
        <f t="shared" si="0"/>
        <v>0.37958955744799666</v>
      </c>
    </row>
    <row r="29" spans="1:16">
      <c r="A29" s="19" t="s">
        <v>228</v>
      </c>
      <c r="B29" s="19">
        <v>2024</v>
      </c>
      <c r="C29" s="19">
        <v>102</v>
      </c>
      <c r="D29" s="19" t="s">
        <v>188</v>
      </c>
      <c r="E29" s="19" t="s">
        <v>229</v>
      </c>
      <c r="F29" s="19">
        <v>52.391779999999997</v>
      </c>
      <c r="G29" s="19">
        <v>4.8704070000000002</v>
      </c>
      <c r="H29" s="19" t="s">
        <v>102</v>
      </c>
      <c r="I29" s="19">
        <v>216</v>
      </c>
      <c r="J29" s="19">
        <v>0.47222199999999998</v>
      </c>
      <c r="K29" s="19">
        <v>10225</v>
      </c>
      <c r="L29" s="19">
        <v>4828</v>
      </c>
      <c r="M29" s="19">
        <v>24</v>
      </c>
      <c r="N29" s="19">
        <v>7163</v>
      </c>
      <c r="O29" s="19">
        <v>3383</v>
      </c>
      <c r="P29">
        <f t="shared" si="0"/>
        <v>0.47228814742426356</v>
      </c>
    </row>
    <row r="30" spans="1:16">
      <c r="A30" s="19" t="s">
        <v>230</v>
      </c>
      <c r="B30" s="19">
        <v>2024</v>
      </c>
      <c r="C30" s="19">
        <v>75</v>
      </c>
      <c r="D30" s="19" t="s">
        <v>231</v>
      </c>
      <c r="E30" s="19" t="s">
        <v>232</v>
      </c>
      <c r="F30" s="19">
        <v>52.336100000000002</v>
      </c>
      <c r="G30" s="19">
        <v>4.8806380000000003</v>
      </c>
      <c r="H30" s="19" t="s">
        <v>102</v>
      </c>
      <c r="I30" s="19">
        <v>216</v>
      </c>
      <c r="J30" s="19">
        <v>0.34722199999999998</v>
      </c>
      <c r="K30" s="19">
        <v>10225</v>
      </c>
      <c r="L30" s="19">
        <v>3550</v>
      </c>
      <c r="M30" s="19">
        <v>24</v>
      </c>
      <c r="N30" s="19">
        <v>7163</v>
      </c>
      <c r="O30" s="19">
        <v>2487</v>
      </c>
      <c r="P30">
        <f t="shared" si="0"/>
        <v>0.3472008934803853</v>
      </c>
    </row>
    <row r="31" spans="1:16">
      <c r="A31" s="19" t="s">
        <v>233</v>
      </c>
      <c r="B31" s="19">
        <v>2024</v>
      </c>
      <c r="C31" s="19">
        <v>102</v>
      </c>
      <c r="D31" s="19" t="s">
        <v>231</v>
      </c>
      <c r="E31" s="19" t="s">
        <v>234</v>
      </c>
      <c r="F31" s="19">
        <v>52.341349999999998</v>
      </c>
      <c r="G31" s="19">
        <v>4.8786899999999997</v>
      </c>
      <c r="H31" s="19" t="s">
        <v>102</v>
      </c>
      <c r="I31" s="19">
        <v>216</v>
      </c>
      <c r="J31" s="19">
        <v>0.47222199999999998</v>
      </c>
      <c r="K31" s="19">
        <v>10225</v>
      </c>
      <c r="L31" s="19">
        <v>4828</v>
      </c>
      <c r="M31" s="19">
        <v>24</v>
      </c>
      <c r="N31" s="19">
        <v>7163</v>
      </c>
      <c r="O31" s="19">
        <v>3383</v>
      </c>
      <c r="P31">
        <f t="shared" si="0"/>
        <v>0.47228814742426356</v>
      </c>
    </row>
    <row r="32" spans="1:16">
      <c r="A32" s="19" t="s">
        <v>235</v>
      </c>
      <c r="B32" s="19">
        <v>2024</v>
      </c>
      <c r="C32" s="19">
        <v>80</v>
      </c>
      <c r="D32" s="19" t="s">
        <v>196</v>
      </c>
      <c r="E32" s="19" t="s">
        <v>236</v>
      </c>
      <c r="F32" s="19">
        <v>52.381219999999999</v>
      </c>
      <c r="G32" s="19">
        <v>4.8131159999999999</v>
      </c>
      <c r="H32" s="19" t="s">
        <v>102</v>
      </c>
      <c r="I32" s="19">
        <v>216</v>
      </c>
      <c r="J32" s="19">
        <v>0.37036999999999998</v>
      </c>
      <c r="K32" s="19">
        <v>10225</v>
      </c>
      <c r="L32" s="19">
        <v>3787</v>
      </c>
      <c r="M32" s="19">
        <v>24</v>
      </c>
      <c r="N32" s="19">
        <v>7163</v>
      </c>
      <c r="O32" s="19">
        <v>2653</v>
      </c>
      <c r="P32">
        <f t="shared" si="0"/>
        <v>0.37037554097445202</v>
      </c>
    </row>
    <row r="33" spans="1:16">
      <c r="A33" s="19" t="s">
        <v>237</v>
      </c>
      <c r="B33" s="19">
        <v>2024</v>
      </c>
      <c r="C33" s="19">
        <v>86</v>
      </c>
      <c r="D33" s="19" t="s">
        <v>196</v>
      </c>
      <c r="E33" s="19" t="s">
        <v>238</v>
      </c>
      <c r="F33" s="19">
        <v>52.376179999999998</v>
      </c>
      <c r="G33" s="19">
        <v>4.8091429999999997</v>
      </c>
      <c r="H33" s="19" t="s">
        <v>102</v>
      </c>
      <c r="I33" s="19">
        <v>216</v>
      </c>
      <c r="J33" s="19">
        <v>0.398148</v>
      </c>
      <c r="K33" s="19">
        <v>10225</v>
      </c>
      <c r="L33" s="19">
        <v>4071</v>
      </c>
      <c r="M33" s="19">
        <v>24</v>
      </c>
      <c r="N33" s="19">
        <v>7163</v>
      </c>
      <c r="O33" s="19">
        <v>2852</v>
      </c>
      <c r="P33">
        <f t="shared" si="0"/>
        <v>0.39815719670529109</v>
      </c>
    </row>
    <row r="34" spans="1:16">
      <c r="A34" s="19" t="s">
        <v>239</v>
      </c>
      <c r="B34" s="19">
        <v>2024</v>
      </c>
      <c r="C34" s="19">
        <v>66</v>
      </c>
      <c r="D34" s="19" t="s">
        <v>196</v>
      </c>
      <c r="E34" s="19" t="s">
        <v>240</v>
      </c>
      <c r="F34" s="19">
        <v>52.349440000000001</v>
      </c>
      <c r="G34" s="19">
        <v>4.8409430000000002</v>
      </c>
      <c r="H34" s="19" t="s">
        <v>102</v>
      </c>
      <c r="I34" s="19">
        <v>216</v>
      </c>
      <c r="J34" s="19">
        <v>0.30555599999999999</v>
      </c>
      <c r="K34" s="19">
        <v>10225</v>
      </c>
      <c r="L34" s="19">
        <v>3124</v>
      </c>
      <c r="M34" s="19">
        <v>24</v>
      </c>
      <c r="N34" s="19">
        <v>7163</v>
      </c>
      <c r="O34" s="19">
        <v>2189</v>
      </c>
      <c r="P34">
        <f t="shared" si="0"/>
        <v>0.30559821303922935</v>
      </c>
    </row>
    <row r="35" spans="1:16">
      <c r="A35" s="19" t="s">
        <v>241</v>
      </c>
      <c r="B35" s="19">
        <v>2024</v>
      </c>
      <c r="C35" s="19">
        <v>135</v>
      </c>
      <c r="D35" s="19" t="s">
        <v>196</v>
      </c>
      <c r="E35" s="19" t="s">
        <v>242</v>
      </c>
      <c r="F35" s="19">
        <v>52.365349999999999</v>
      </c>
      <c r="G35" s="19">
        <v>4.8358670000000004</v>
      </c>
      <c r="H35" s="19" t="s">
        <v>102</v>
      </c>
      <c r="I35" s="19">
        <v>216</v>
      </c>
      <c r="J35" s="19">
        <v>0.625</v>
      </c>
      <c r="K35" s="19">
        <v>10225</v>
      </c>
      <c r="L35" s="19">
        <v>6391</v>
      </c>
      <c r="M35" s="19">
        <v>24</v>
      </c>
      <c r="N35" s="19">
        <v>7163</v>
      </c>
      <c r="O35" s="19">
        <v>4477</v>
      </c>
      <c r="P35">
        <f t="shared" si="0"/>
        <v>0.62501745078877569</v>
      </c>
    </row>
    <row r="36" spans="1:16">
      <c r="A36" s="19" t="s">
        <v>243</v>
      </c>
      <c r="B36" s="19">
        <v>2024</v>
      </c>
      <c r="C36" s="19">
        <v>94</v>
      </c>
      <c r="D36" s="19" t="s">
        <v>196</v>
      </c>
      <c r="E36" s="19" t="s">
        <v>244</v>
      </c>
      <c r="F36" s="19">
        <v>52.36103</v>
      </c>
      <c r="G36" s="19">
        <v>4.832077</v>
      </c>
      <c r="H36" s="19" t="s">
        <v>102</v>
      </c>
      <c r="I36" s="19">
        <v>216</v>
      </c>
      <c r="J36" s="19">
        <v>0.43518499999999999</v>
      </c>
      <c r="K36" s="19">
        <v>10225</v>
      </c>
      <c r="L36" s="19">
        <v>4450</v>
      </c>
      <c r="M36" s="19">
        <v>24</v>
      </c>
      <c r="N36" s="19">
        <v>7163</v>
      </c>
      <c r="O36" s="19">
        <v>3117</v>
      </c>
      <c r="P36">
        <f t="shared" si="0"/>
        <v>0.43515286890967469</v>
      </c>
    </row>
    <row r="37" spans="1:16">
      <c r="A37" s="19" t="s">
        <v>245</v>
      </c>
      <c r="B37" s="19">
        <v>2024</v>
      </c>
      <c r="C37" s="19">
        <v>94</v>
      </c>
      <c r="D37" s="19" t="s">
        <v>196</v>
      </c>
      <c r="E37" s="19" t="s">
        <v>246</v>
      </c>
      <c r="F37" s="19">
        <v>52.360379999999999</v>
      </c>
      <c r="G37" s="19">
        <v>4.8320999999999996</v>
      </c>
      <c r="H37" s="19" t="s">
        <v>102</v>
      </c>
      <c r="I37" s="19">
        <v>216</v>
      </c>
      <c r="J37" s="19">
        <v>0.43518499999999999</v>
      </c>
      <c r="K37" s="19">
        <v>10225</v>
      </c>
      <c r="L37" s="19">
        <v>4450</v>
      </c>
      <c r="M37" s="19">
        <v>24</v>
      </c>
      <c r="N37" s="19">
        <v>7163</v>
      </c>
      <c r="O37" s="19">
        <v>3117</v>
      </c>
      <c r="P37">
        <f t="shared" si="0"/>
        <v>0.43515286890967469</v>
      </c>
    </row>
    <row r="38" spans="1:16">
      <c r="A38" s="19" t="s">
        <v>247</v>
      </c>
      <c r="B38" s="19">
        <v>2024</v>
      </c>
      <c r="C38" s="19">
        <v>169</v>
      </c>
      <c r="D38" s="19" t="s">
        <v>175</v>
      </c>
      <c r="E38" s="19" t="s">
        <v>248</v>
      </c>
      <c r="F38" s="19">
        <v>52.403030000000001</v>
      </c>
      <c r="G38" s="19">
        <v>4.8935089999999999</v>
      </c>
      <c r="H38" s="19" t="s">
        <v>102</v>
      </c>
      <c r="I38" s="19">
        <v>216</v>
      </c>
      <c r="J38" s="19">
        <v>0.78240699999999996</v>
      </c>
      <c r="K38" s="19">
        <v>10225</v>
      </c>
      <c r="L38" s="19">
        <v>8000</v>
      </c>
      <c r="M38" s="19">
        <v>24</v>
      </c>
      <c r="N38" s="19">
        <v>7163</v>
      </c>
      <c r="O38" s="19">
        <v>5604</v>
      </c>
      <c r="P38">
        <f t="shared" si="0"/>
        <v>0.78235376239006005</v>
      </c>
    </row>
    <row r="39" spans="1:16">
      <c r="A39" s="19" t="s">
        <v>249</v>
      </c>
      <c r="B39" s="19">
        <v>2024</v>
      </c>
      <c r="C39" s="19">
        <v>48</v>
      </c>
      <c r="D39" s="19" t="s">
        <v>175</v>
      </c>
      <c r="E39" s="19" t="s">
        <v>250</v>
      </c>
      <c r="F39" s="19">
        <v>52.39434</v>
      </c>
      <c r="G39" s="19">
        <v>4.9109920000000002</v>
      </c>
      <c r="H39" s="19" t="s">
        <v>102</v>
      </c>
      <c r="I39" s="19">
        <v>216</v>
      </c>
      <c r="J39" s="19">
        <v>0.222222</v>
      </c>
      <c r="K39" s="19">
        <v>10225</v>
      </c>
      <c r="L39" s="19">
        <v>2272</v>
      </c>
      <c r="M39" s="19">
        <v>24</v>
      </c>
      <c r="N39" s="19">
        <v>7163</v>
      </c>
      <c r="O39" s="19">
        <v>1592</v>
      </c>
      <c r="P39">
        <f t="shared" si="0"/>
        <v>0.22225324584671227</v>
      </c>
    </row>
    <row r="40" spans="1:16">
      <c r="A40" s="19" t="s">
        <v>251</v>
      </c>
      <c r="B40" s="19">
        <v>2024</v>
      </c>
      <c r="C40" s="19">
        <v>45</v>
      </c>
      <c r="D40" s="19" t="s">
        <v>175</v>
      </c>
      <c r="E40" s="19" t="s">
        <v>252</v>
      </c>
      <c r="F40" s="19">
        <v>52.398339999999997</v>
      </c>
      <c r="G40" s="19">
        <v>4.9091389999999997</v>
      </c>
      <c r="H40" s="19" t="s">
        <v>102</v>
      </c>
      <c r="I40" s="19">
        <v>216</v>
      </c>
      <c r="J40" s="19">
        <v>0.20833299999999999</v>
      </c>
      <c r="K40" s="19">
        <v>10225</v>
      </c>
      <c r="L40" s="19">
        <v>2130</v>
      </c>
      <c r="M40" s="19">
        <v>24</v>
      </c>
      <c r="N40" s="19">
        <v>7163</v>
      </c>
      <c r="O40" s="19">
        <v>1492</v>
      </c>
      <c r="P40">
        <f t="shared" si="0"/>
        <v>0.20829261482619013</v>
      </c>
    </row>
    <row r="41" spans="1:16">
      <c r="A41" s="19" t="s">
        <v>253</v>
      </c>
      <c r="B41" s="19">
        <v>2024</v>
      </c>
      <c r="C41" s="19">
        <v>59</v>
      </c>
      <c r="D41" s="19" t="s">
        <v>175</v>
      </c>
      <c r="E41" s="19" t="s">
        <v>254</v>
      </c>
      <c r="F41" s="19">
        <v>52.399639999999998</v>
      </c>
      <c r="G41" s="19">
        <v>4.9061149999999998</v>
      </c>
      <c r="H41" s="19" t="s">
        <v>102</v>
      </c>
      <c r="I41" s="19">
        <v>216</v>
      </c>
      <c r="J41" s="19">
        <v>0.273148</v>
      </c>
      <c r="K41" s="19">
        <v>10225</v>
      </c>
      <c r="L41" s="19">
        <v>2793</v>
      </c>
      <c r="M41" s="19">
        <v>24</v>
      </c>
      <c r="N41" s="19">
        <v>7163</v>
      </c>
      <c r="O41" s="19">
        <v>1957</v>
      </c>
      <c r="P41">
        <f t="shared" si="0"/>
        <v>0.27320954907161804</v>
      </c>
    </row>
    <row r="42" spans="1:16">
      <c r="A42" s="19" t="s">
        <v>255</v>
      </c>
      <c r="B42" s="19">
        <v>2024</v>
      </c>
      <c r="C42" s="19">
        <v>259</v>
      </c>
      <c r="D42" s="19" t="s">
        <v>193</v>
      </c>
      <c r="E42" s="19" t="s">
        <v>256</v>
      </c>
      <c r="F42" s="19">
        <v>52.370890000000003</v>
      </c>
      <c r="G42" s="19">
        <v>4.9546919999999997</v>
      </c>
      <c r="H42" s="19" t="s">
        <v>102</v>
      </c>
      <c r="I42" s="19">
        <v>216</v>
      </c>
      <c r="J42" s="19">
        <v>1.199074</v>
      </c>
      <c r="K42" s="19">
        <v>10225</v>
      </c>
      <c r="L42" s="19">
        <v>12261</v>
      </c>
      <c r="M42" s="19">
        <v>24</v>
      </c>
      <c r="N42" s="19">
        <v>7163</v>
      </c>
      <c r="O42" s="19">
        <v>8589</v>
      </c>
      <c r="P42">
        <f t="shared" si="0"/>
        <v>1.1990785983526455</v>
      </c>
    </row>
    <row r="43" spans="1:16">
      <c r="A43" s="19" t="s">
        <v>257</v>
      </c>
      <c r="B43" s="19">
        <v>2024</v>
      </c>
      <c r="C43" s="19">
        <v>99</v>
      </c>
      <c r="D43" s="19" t="s">
        <v>193</v>
      </c>
      <c r="E43" s="19" t="s">
        <v>258</v>
      </c>
      <c r="F43" s="19">
        <v>52.371899999999997</v>
      </c>
      <c r="G43" s="19">
        <v>4.954491</v>
      </c>
      <c r="H43" s="19" t="s">
        <v>102</v>
      </c>
      <c r="I43" s="19">
        <v>216</v>
      </c>
      <c r="J43" s="19">
        <v>0.45833299999999999</v>
      </c>
      <c r="K43" s="19">
        <v>10225</v>
      </c>
      <c r="L43" s="19">
        <v>4686</v>
      </c>
      <c r="M43" s="19">
        <v>24</v>
      </c>
      <c r="N43" s="19">
        <v>7163</v>
      </c>
      <c r="O43" s="19">
        <v>3283</v>
      </c>
      <c r="P43">
        <f t="shared" si="0"/>
        <v>0.45832751640374148</v>
      </c>
    </row>
    <row r="44" spans="1:16">
      <c r="A44" s="19" t="s">
        <v>259</v>
      </c>
      <c r="B44" s="19">
        <v>2024</v>
      </c>
      <c r="C44" s="19">
        <v>209</v>
      </c>
      <c r="D44" s="19" t="s">
        <v>193</v>
      </c>
      <c r="E44" s="19" t="s">
        <v>260</v>
      </c>
      <c r="F44" s="19">
        <v>52.375399999999999</v>
      </c>
      <c r="G44" s="19">
        <v>4.9589179999999997</v>
      </c>
      <c r="H44" s="19" t="s">
        <v>102</v>
      </c>
      <c r="I44" s="19">
        <v>216</v>
      </c>
      <c r="J44" s="19">
        <v>0.96759300000000004</v>
      </c>
      <c r="K44" s="19">
        <v>10225</v>
      </c>
      <c r="L44" s="19">
        <v>9894</v>
      </c>
      <c r="M44" s="19">
        <v>24</v>
      </c>
      <c r="N44" s="19">
        <v>7163</v>
      </c>
      <c r="O44" s="19">
        <v>6931</v>
      </c>
      <c r="P44">
        <f t="shared" si="0"/>
        <v>0.96761133603238869</v>
      </c>
    </row>
    <row r="45" spans="1:16">
      <c r="A45" s="19" t="s">
        <v>261</v>
      </c>
      <c r="B45" s="19">
        <v>2024</v>
      </c>
      <c r="C45" s="19">
        <v>203</v>
      </c>
      <c r="D45" s="19" t="s">
        <v>193</v>
      </c>
      <c r="E45" s="19" t="s">
        <v>262</v>
      </c>
      <c r="F45" s="19">
        <v>52.348100000000002</v>
      </c>
      <c r="G45" s="19">
        <v>4.913964</v>
      </c>
      <c r="H45" s="19" t="s">
        <v>102</v>
      </c>
      <c r="I45" s="19">
        <v>216</v>
      </c>
      <c r="J45" s="19">
        <v>0.93981499999999996</v>
      </c>
      <c r="K45" s="19">
        <v>10225</v>
      </c>
      <c r="L45" s="19">
        <v>9610</v>
      </c>
      <c r="M45" s="19">
        <v>24</v>
      </c>
      <c r="N45" s="19">
        <v>7163</v>
      </c>
      <c r="O45" s="19">
        <v>6732</v>
      </c>
      <c r="P45">
        <f t="shared" si="0"/>
        <v>0.93982968030154967</v>
      </c>
    </row>
    <row r="46" spans="1:16">
      <c r="A46" s="19" t="s">
        <v>263</v>
      </c>
      <c r="B46" s="19">
        <v>2024</v>
      </c>
      <c r="C46" s="19">
        <v>226</v>
      </c>
      <c r="D46" s="19" t="s">
        <v>188</v>
      </c>
      <c r="E46" s="19" t="s">
        <v>264</v>
      </c>
      <c r="F46" s="19">
        <v>52.390070000000001</v>
      </c>
      <c r="G46" s="19">
        <v>4.8450249999999997</v>
      </c>
      <c r="H46" s="19" t="s">
        <v>102</v>
      </c>
      <c r="I46" s="19">
        <v>216</v>
      </c>
      <c r="J46" s="19">
        <v>1.0462959999999999</v>
      </c>
      <c r="K46" s="19">
        <v>10225</v>
      </c>
      <c r="L46" s="19">
        <v>10698</v>
      </c>
      <c r="M46" s="19">
        <v>24</v>
      </c>
      <c r="N46" s="19">
        <v>7163</v>
      </c>
      <c r="O46" s="19">
        <v>7495</v>
      </c>
      <c r="P46">
        <f t="shared" si="0"/>
        <v>1.0463492949881334</v>
      </c>
    </row>
    <row r="47" spans="1:16">
      <c r="A47" s="19" t="s">
        <v>265</v>
      </c>
      <c r="B47" s="19">
        <v>2024</v>
      </c>
      <c r="C47" s="19">
        <v>379</v>
      </c>
      <c r="D47" s="19" t="s">
        <v>188</v>
      </c>
      <c r="E47" s="19" t="s">
        <v>266</v>
      </c>
      <c r="F47" s="19">
        <v>52.391080000000002</v>
      </c>
      <c r="G47" s="19">
        <v>4.8457689999999998</v>
      </c>
      <c r="H47" s="19" t="s">
        <v>103</v>
      </c>
      <c r="I47" s="19">
        <v>350</v>
      </c>
      <c r="J47" s="19">
        <v>1.082857</v>
      </c>
      <c r="K47" s="19">
        <v>32297</v>
      </c>
      <c r="L47" s="19">
        <v>34973</v>
      </c>
      <c r="M47" s="19">
        <v>30</v>
      </c>
      <c r="N47" s="19">
        <v>26588</v>
      </c>
      <c r="O47" s="19">
        <v>28791</v>
      </c>
      <c r="P47">
        <f t="shared" si="0"/>
        <v>1.0828569279374154</v>
      </c>
    </row>
    <row r="48" spans="1:16">
      <c r="A48" s="19" t="s">
        <v>267</v>
      </c>
      <c r="B48" s="19">
        <v>2024</v>
      </c>
      <c r="C48" s="19">
        <v>75</v>
      </c>
      <c r="D48" s="19" t="s">
        <v>231</v>
      </c>
      <c r="E48" s="19" t="s">
        <v>268</v>
      </c>
      <c r="F48" s="19">
        <v>52.335839999999997</v>
      </c>
      <c r="G48" s="19">
        <v>4.8802260000000004</v>
      </c>
      <c r="H48" s="19" t="s">
        <v>102</v>
      </c>
      <c r="I48" s="19">
        <v>216</v>
      </c>
      <c r="J48" s="19">
        <v>0.34722199999999998</v>
      </c>
      <c r="K48" s="19">
        <v>10225</v>
      </c>
      <c r="L48" s="19">
        <v>3550</v>
      </c>
      <c r="M48" s="19">
        <v>24</v>
      </c>
      <c r="N48" s="19">
        <v>7163</v>
      </c>
      <c r="O48" s="19">
        <v>2487</v>
      </c>
      <c r="P48">
        <f t="shared" si="0"/>
        <v>0.3472008934803853</v>
      </c>
    </row>
    <row r="49" spans="1:16">
      <c r="A49" s="19" t="s">
        <v>269</v>
      </c>
      <c r="B49" s="19">
        <v>2024</v>
      </c>
      <c r="C49" s="19">
        <v>561</v>
      </c>
      <c r="D49" s="19" t="s">
        <v>170</v>
      </c>
      <c r="E49" s="19" t="s">
        <v>270</v>
      </c>
      <c r="F49" s="19">
        <v>52.303890000000003</v>
      </c>
      <c r="G49" s="19">
        <v>4.9461079999999997</v>
      </c>
      <c r="H49" s="19" t="s">
        <v>104</v>
      </c>
      <c r="I49" s="19">
        <v>592</v>
      </c>
      <c r="J49" s="19">
        <v>0.94763500000000001</v>
      </c>
      <c r="K49" s="19">
        <v>75000</v>
      </c>
      <c r="L49" s="19">
        <v>71073</v>
      </c>
      <c r="M49" s="19">
        <v>36</v>
      </c>
      <c r="N49" s="19">
        <v>50000</v>
      </c>
      <c r="O49" s="19">
        <v>47382</v>
      </c>
      <c r="P49">
        <f t="shared" si="0"/>
        <v>0.94764000000000004</v>
      </c>
    </row>
    <row r="50" spans="1:16">
      <c r="A50" s="19" t="s">
        <v>271</v>
      </c>
      <c r="B50" s="19">
        <v>2024</v>
      </c>
      <c r="C50" s="19">
        <v>400</v>
      </c>
      <c r="D50" s="19" t="s">
        <v>170</v>
      </c>
      <c r="E50" s="19" t="s">
        <v>272</v>
      </c>
      <c r="F50" s="19">
        <v>52.303570000000001</v>
      </c>
      <c r="G50" s="19">
        <v>4.9471350000000003</v>
      </c>
      <c r="H50" s="19" t="s">
        <v>103</v>
      </c>
      <c r="I50" s="19">
        <v>350</v>
      </c>
      <c r="J50" s="19">
        <v>1.142857</v>
      </c>
      <c r="K50" s="19">
        <v>32297</v>
      </c>
      <c r="L50" s="19">
        <v>36911</v>
      </c>
      <c r="M50" s="19">
        <v>30</v>
      </c>
      <c r="N50" s="19">
        <v>26588</v>
      </c>
      <c r="O50" s="19">
        <v>30386</v>
      </c>
      <c r="P50">
        <f t="shared" si="0"/>
        <v>1.1428463968707687</v>
      </c>
    </row>
    <row r="51" spans="1:16">
      <c r="A51" s="19" t="s">
        <v>273</v>
      </c>
      <c r="B51" s="19">
        <v>2024</v>
      </c>
      <c r="C51" s="19">
        <v>236</v>
      </c>
      <c r="D51" s="19" t="s">
        <v>170</v>
      </c>
      <c r="E51" s="19" t="s">
        <v>274</v>
      </c>
      <c r="F51" s="19">
        <v>52.305190000000003</v>
      </c>
      <c r="G51" s="19">
        <v>4.9457950000000004</v>
      </c>
      <c r="H51" s="19" t="s">
        <v>102</v>
      </c>
      <c r="I51" s="19">
        <v>216</v>
      </c>
      <c r="J51" s="19">
        <v>1.0925929999999999</v>
      </c>
      <c r="K51" s="19">
        <v>10225</v>
      </c>
      <c r="L51" s="19">
        <v>11172</v>
      </c>
      <c r="M51" s="19">
        <v>24</v>
      </c>
      <c r="N51" s="19">
        <v>7163</v>
      </c>
      <c r="O51" s="19">
        <v>7826</v>
      </c>
      <c r="P51">
        <f t="shared" si="0"/>
        <v>1.0925589836660616</v>
      </c>
    </row>
    <row r="52" spans="1:16">
      <c r="A52" s="19" t="s">
        <v>275</v>
      </c>
      <c r="B52" s="19">
        <v>2024</v>
      </c>
      <c r="C52" s="19">
        <v>356</v>
      </c>
      <c r="D52" s="19" t="s">
        <v>170</v>
      </c>
      <c r="E52" s="19" t="s">
        <v>276</v>
      </c>
      <c r="F52" s="19">
        <v>52.307699999999997</v>
      </c>
      <c r="G52" s="19">
        <v>4.9529230000000002</v>
      </c>
      <c r="H52" s="19" t="s">
        <v>103</v>
      </c>
      <c r="I52" s="19">
        <v>350</v>
      </c>
      <c r="J52" s="19">
        <v>1.0171429999999999</v>
      </c>
      <c r="K52" s="19">
        <v>32297</v>
      </c>
      <c r="L52" s="19">
        <v>32851</v>
      </c>
      <c r="M52" s="19">
        <v>30</v>
      </c>
      <c r="N52" s="19">
        <v>26588</v>
      </c>
      <c r="O52" s="19">
        <v>27044</v>
      </c>
      <c r="P52">
        <f t="shared" si="0"/>
        <v>1.0171505942530465</v>
      </c>
    </row>
    <row r="53" spans="1:16">
      <c r="A53" s="19" t="s">
        <v>277</v>
      </c>
      <c r="B53" s="19">
        <v>2024</v>
      </c>
      <c r="C53" s="19">
        <v>268</v>
      </c>
      <c r="D53" s="19" t="s">
        <v>170</v>
      </c>
      <c r="E53" s="19" t="s">
        <v>278</v>
      </c>
      <c r="F53" s="19">
        <v>52.304870000000001</v>
      </c>
      <c r="G53" s="19">
        <v>4.9437480000000003</v>
      </c>
      <c r="H53" s="19" t="s">
        <v>102</v>
      </c>
      <c r="I53" s="19">
        <v>216</v>
      </c>
      <c r="J53" s="19">
        <v>1.2407410000000001</v>
      </c>
      <c r="K53" s="19">
        <v>10225</v>
      </c>
      <c r="L53" s="19">
        <v>12687</v>
      </c>
      <c r="M53" s="19">
        <v>24</v>
      </c>
      <c r="N53" s="19">
        <v>7163</v>
      </c>
      <c r="O53" s="19">
        <v>8887</v>
      </c>
      <c r="P53">
        <f t="shared" si="0"/>
        <v>1.2406812787938015</v>
      </c>
    </row>
    <row r="54" spans="1:16">
      <c r="A54" s="19" t="s">
        <v>279</v>
      </c>
      <c r="B54" s="19">
        <v>2024</v>
      </c>
      <c r="C54" s="19">
        <v>396</v>
      </c>
      <c r="D54" s="19" t="s">
        <v>170</v>
      </c>
      <c r="E54" s="19" t="s">
        <v>280</v>
      </c>
      <c r="F54" s="19">
        <v>52.315060000000003</v>
      </c>
      <c r="G54" s="19">
        <v>4.9556630000000004</v>
      </c>
      <c r="H54" s="19" t="s">
        <v>103</v>
      </c>
      <c r="I54" s="19">
        <v>350</v>
      </c>
      <c r="J54" s="19">
        <v>1.131429</v>
      </c>
      <c r="K54" s="19">
        <v>32297</v>
      </c>
      <c r="L54" s="19">
        <v>36542</v>
      </c>
      <c r="M54" s="19">
        <v>30</v>
      </c>
      <c r="N54" s="19">
        <v>26588</v>
      </c>
      <c r="O54" s="19">
        <v>30082</v>
      </c>
      <c r="P54">
        <f t="shared" si="0"/>
        <v>1.1314126673687377</v>
      </c>
    </row>
    <row r="55" spans="1:16">
      <c r="A55" s="19" t="s">
        <v>281</v>
      </c>
      <c r="B55" s="19">
        <v>2024</v>
      </c>
      <c r="C55" s="19">
        <v>70</v>
      </c>
      <c r="D55" s="19" t="s">
        <v>170</v>
      </c>
      <c r="E55" s="19" t="s">
        <v>282</v>
      </c>
      <c r="F55" s="19">
        <v>52.325220000000002</v>
      </c>
      <c r="G55" s="19">
        <v>4.9700030000000002</v>
      </c>
      <c r="H55" s="19" t="s">
        <v>102</v>
      </c>
      <c r="I55" s="19">
        <v>216</v>
      </c>
      <c r="J55" s="19">
        <v>0.32407399999999997</v>
      </c>
      <c r="K55" s="19">
        <v>10225</v>
      </c>
      <c r="L55" s="19">
        <v>3314</v>
      </c>
      <c r="M55" s="19">
        <v>24</v>
      </c>
      <c r="N55" s="19">
        <v>7163</v>
      </c>
      <c r="O55" s="19">
        <v>2321</v>
      </c>
      <c r="P55">
        <f t="shared" si="0"/>
        <v>0.32402624598631857</v>
      </c>
    </row>
    <row r="56" spans="1:16">
      <c r="A56" s="19" t="s">
        <v>283</v>
      </c>
      <c r="B56" s="19">
        <v>2024</v>
      </c>
      <c r="C56" s="19">
        <v>60</v>
      </c>
      <c r="D56" s="19" t="s">
        <v>170</v>
      </c>
      <c r="E56" s="19" t="s">
        <v>284</v>
      </c>
      <c r="F56" s="19">
        <v>52.325409999999998</v>
      </c>
      <c r="G56" s="19">
        <v>4.969773</v>
      </c>
      <c r="H56" s="19" t="s">
        <v>102</v>
      </c>
      <c r="I56" s="19">
        <v>216</v>
      </c>
      <c r="J56" s="19">
        <v>0.27777800000000002</v>
      </c>
      <c r="K56" s="19">
        <v>10225</v>
      </c>
      <c r="L56" s="19">
        <v>2840</v>
      </c>
      <c r="M56" s="19">
        <v>24</v>
      </c>
      <c r="N56" s="19">
        <v>7163</v>
      </c>
      <c r="O56" s="19">
        <v>1990</v>
      </c>
      <c r="P56">
        <f t="shared" si="0"/>
        <v>0.27781655730839033</v>
      </c>
    </row>
    <row r="57" spans="1:16">
      <c r="A57" s="19" t="s">
        <v>285</v>
      </c>
      <c r="B57" s="19">
        <v>2024</v>
      </c>
      <c r="C57" s="19">
        <v>90</v>
      </c>
      <c r="D57" s="19" t="s">
        <v>170</v>
      </c>
      <c r="E57" s="19" t="s">
        <v>286</v>
      </c>
      <c r="F57" s="19">
        <v>52.318489999999997</v>
      </c>
      <c r="G57" s="19">
        <v>4.9473789999999997</v>
      </c>
      <c r="H57" s="19" t="s">
        <v>102</v>
      </c>
      <c r="I57" s="19">
        <v>216</v>
      </c>
      <c r="J57" s="19">
        <v>0.41666700000000001</v>
      </c>
      <c r="K57" s="19">
        <v>10225</v>
      </c>
      <c r="L57" s="19">
        <v>4260</v>
      </c>
      <c r="M57" s="19">
        <v>24</v>
      </c>
      <c r="N57" s="19">
        <v>7163</v>
      </c>
      <c r="O57" s="19">
        <v>2985</v>
      </c>
      <c r="P57">
        <f t="shared" si="0"/>
        <v>0.41672483596258553</v>
      </c>
    </row>
    <row r="58" spans="1:16">
      <c r="A58" s="19" t="s">
        <v>287</v>
      </c>
      <c r="B58" s="19">
        <v>2024</v>
      </c>
      <c r="C58" s="19">
        <v>285</v>
      </c>
      <c r="D58" s="19" t="s">
        <v>196</v>
      </c>
      <c r="E58" s="19" t="s">
        <v>288</v>
      </c>
      <c r="F58" s="19">
        <v>52.343580000000003</v>
      </c>
      <c r="G58" s="19">
        <v>4.8304359999999997</v>
      </c>
      <c r="H58" s="19" t="s">
        <v>102</v>
      </c>
      <c r="I58" s="19">
        <v>216</v>
      </c>
      <c r="J58" s="19">
        <v>1.3194440000000001</v>
      </c>
      <c r="K58" s="19">
        <v>10225</v>
      </c>
      <c r="L58" s="19">
        <v>13491</v>
      </c>
      <c r="M58" s="19">
        <v>24</v>
      </c>
      <c r="N58" s="19">
        <v>7163</v>
      </c>
      <c r="O58" s="19">
        <v>9451</v>
      </c>
      <c r="P58">
        <f t="shared" si="0"/>
        <v>1.3194192377495462</v>
      </c>
    </row>
    <row r="59" spans="1:16">
      <c r="A59" s="19" t="s">
        <v>289</v>
      </c>
      <c r="B59" s="19">
        <v>2024</v>
      </c>
      <c r="C59" s="19">
        <v>175</v>
      </c>
      <c r="D59" s="19" t="s">
        <v>196</v>
      </c>
      <c r="E59" s="19" t="s">
        <v>290</v>
      </c>
      <c r="F59" s="19">
        <v>52.34704</v>
      </c>
      <c r="G59" s="19">
        <v>4.8419749999999997</v>
      </c>
      <c r="H59" s="19" t="s">
        <v>102</v>
      </c>
      <c r="I59" s="19">
        <v>216</v>
      </c>
      <c r="J59" s="19">
        <v>0.81018500000000004</v>
      </c>
      <c r="K59" s="19">
        <v>10225</v>
      </c>
      <c r="L59" s="19">
        <v>8284</v>
      </c>
      <c r="M59" s="19">
        <v>24</v>
      </c>
      <c r="N59" s="19">
        <v>7163</v>
      </c>
      <c r="O59" s="19">
        <v>5803</v>
      </c>
      <c r="P59">
        <f t="shared" si="0"/>
        <v>0.81013541812089906</v>
      </c>
    </row>
    <row r="60" spans="1:16">
      <c r="A60" s="19" t="s">
        <v>291</v>
      </c>
      <c r="B60" s="19">
        <v>2024</v>
      </c>
      <c r="C60" s="19">
        <v>80</v>
      </c>
      <c r="D60" s="19" t="s">
        <v>196</v>
      </c>
      <c r="E60" s="19" t="s">
        <v>292</v>
      </c>
      <c r="F60" s="19">
        <v>52.381810000000002</v>
      </c>
      <c r="G60" s="19">
        <v>4.8130800000000002</v>
      </c>
      <c r="H60" s="19" t="s">
        <v>102</v>
      </c>
      <c r="I60" s="19">
        <v>216</v>
      </c>
      <c r="J60" s="19">
        <v>0.37036999999999998</v>
      </c>
      <c r="K60" s="19">
        <v>10225</v>
      </c>
      <c r="L60" s="19">
        <v>3787</v>
      </c>
      <c r="M60" s="19">
        <v>24</v>
      </c>
      <c r="N60" s="19">
        <v>7163</v>
      </c>
      <c r="O60" s="19">
        <v>2653</v>
      </c>
      <c r="P60">
        <f t="shared" si="0"/>
        <v>0.37037554097445202</v>
      </c>
    </row>
    <row r="61" spans="1:16">
      <c r="A61" s="19" t="s">
        <v>293</v>
      </c>
      <c r="B61" s="19">
        <v>2024</v>
      </c>
      <c r="C61" s="19">
        <v>100</v>
      </c>
      <c r="D61" s="19" t="s">
        <v>193</v>
      </c>
      <c r="E61" s="19" t="s">
        <v>294</v>
      </c>
      <c r="F61" s="19">
        <v>52.337809999999998</v>
      </c>
      <c r="G61" s="19">
        <v>4.9246629999999998</v>
      </c>
      <c r="H61" s="19" t="s">
        <v>102</v>
      </c>
      <c r="I61" s="19">
        <v>216</v>
      </c>
      <c r="J61" s="19">
        <v>0.46296300000000001</v>
      </c>
      <c r="K61" s="19">
        <v>10225</v>
      </c>
      <c r="L61" s="19">
        <v>4734</v>
      </c>
      <c r="M61" s="19">
        <v>24</v>
      </c>
      <c r="N61" s="19">
        <v>7163</v>
      </c>
      <c r="O61" s="19">
        <v>3316</v>
      </c>
      <c r="P61">
        <f t="shared" si="0"/>
        <v>0.46293452464051377</v>
      </c>
    </row>
    <row r="62" spans="1:16">
      <c r="A62" s="19" t="s">
        <v>295</v>
      </c>
      <c r="B62" s="19">
        <v>2024</v>
      </c>
      <c r="C62" s="19">
        <v>120</v>
      </c>
      <c r="D62" s="19" t="s">
        <v>193</v>
      </c>
      <c r="E62" s="19" t="s">
        <v>296</v>
      </c>
      <c r="F62" s="19">
        <v>52.339779999999998</v>
      </c>
      <c r="G62" s="19">
        <v>4.9233029999999998</v>
      </c>
      <c r="H62" s="19" t="s">
        <v>102</v>
      </c>
      <c r="I62" s="19">
        <v>216</v>
      </c>
      <c r="J62" s="19">
        <v>0.55555600000000005</v>
      </c>
      <c r="K62" s="19">
        <v>10225</v>
      </c>
      <c r="L62" s="19">
        <v>5681</v>
      </c>
      <c r="M62" s="19">
        <v>24</v>
      </c>
      <c r="N62" s="19">
        <v>7163</v>
      </c>
      <c r="O62" s="19">
        <v>3979</v>
      </c>
      <c r="P62">
        <f t="shared" si="0"/>
        <v>0.55549350830657551</v>
      </c>
    </row>
    <row r="63" spans="1:16">
      <c r="A63" s="19" t="s">
        <v>297</v>
      </c>
      <c r="B63" s="19">
        <v>2024</v>
      </c>
      <c r="C63" s="19">
        <v>115</v>
      </c>
      <c r="D63" s="19" t="s">
        <v>196</v>
      </c>
      <c r="E63" s="19" t="s">
        <v>298</v>
      </c>
      <c r="F63" s="19">
        <v>52.383049999999997</v>
      </c>
      <c r="G63" s="19">
        <v>4.8209730000000004</v>
      </c>
      <c r="H63" s="19" t="s">
        <v>102</v>
      </c>
      <c r="I63" s="19">
        <v>216</v>
      </c>
      <c r="J63" s="19">
        <v>0.53240699999999996</v>
      </c>
      <c r="K63" s="19">
        <v>10225</v>
      </c>
      <c r="L63" s="19">
        <v>5444</v>
      </c>
      <c r="M63" s="19">
        <v>24</v>
      </c>
      <c r="N63" s="19">
        <v>7163</v>
      </c>
      <c r="O63" s="19">
        <v>3814</v>
      </c>
      <c r="P63">
        <f t="shared" si="0"/>
        <v>0.53245846712271394</v>
      </c>
    </row>
    <row r="64" spans="1:16">
      <c r="A64" s="19" t="s">
        <v>299</v>
      </c>
      <c r="B64" s="19">
        <v>2024</v>
      </c>
      <c r="C64" s="19">
        <v>164</v>
      </c>
      <c r="D64" s="19" t="s">
        <v>300</v>
      </c>
      <c r="E64" s="19" t="s">
        <v>301</v>
      </c>
      <c r="F64" s="19">
        <v>52.324730000000002</v>
      </c>
      <c r="G64" s="19">
        <v>5.0446759999999999</v>
      </c>
      <c r="H64" s="19" t="s">
        <v>102</v>
      </c>
      <c r="I64" s="19">
        <v>216</v>
      </c>
      <c r="J64" s="19">
        <v>0.75925900000000002</v>
      </c>
      <c r="K64" s="19">
        <v>10225</v>
      </c>
      <c r="L64" s="19">
        <v>7763</v>
      </c>
      <c r="M64" s="19">
        <v>24</v>
      </c>
      <c r="N64" s="19">
        <v>7163</v>
      </c>
      <c r="O64" s="19">
        <v>5439</v>
      </c>
      <c r="P64">
        <f t="shared" si="0"/>
        <v>0.75931872120619848</v>
      </c>
    </row>
    <row r="65" spans="1:16">
      <c r="A65" s="19" t="s">
        <v>302</v>
      </c>
      <c r="B65" s="19">
        <v>2024</v>
      </c>
      <c r="C65" s="19">
        <v>260</v>
      </c>
      <c r="D65" s="19" t="s">
        <v>196</v>
      </c>
      <c r="E65" s="19" t="s">
        <v>303</v>
      </c>
      <c r="F65" s="19">
        <v>52.341760000000001</v>
      </c>
      <c r="G65" s="19">
        <v>4.8288500000000001</v>
      </c>
      <c r="H65" s="19" t="s">
        <v>102</v>
      </c>
      <c r="I65" s="19">
        <v>216</v>
      </c>
      <c r="J65" s="19">
        <v>1.2037040000000001</v>
      </c>
      <c r="K65" s="19">
        <v>10225</v>
      </c>
      <c r="L65" s="19">
        <v>12308</v>
      </c>
      <c r="M65" s="19">
        <v>24</v>
      </c>
      <c r="N65" s="19">
        <v>7163</v>
      </c>
      <c r="O65" s="19">
        <v>8622</v>
      </c>
      <c r="P65">
        <f t="shared" si="0"/>
        <v>1.2036856065894179</v>
      </c>
    </row>
    <row r="66" spans="1:16">
      <c r="A66" s="19" t="s">
        <v>304</v>
      </c>
      <c r="B66" s="19">
        <v>2024</v>
      </c>
      <c r="C66" s="19">
        <v>555</v>
      </c>
      <c r="D66" s="19" t="s">
        <v>170</v>
      </c>
      <c r="E66" s="19" t="s">
        <v>305</v>
      </c>
      <c r="F66" s="19">
        <v>52.31165</v>
      </c>
      <c r="G66" s="19">
        <v>4.943492</v>
      </c>
      <c r="H66" s="19" t="s">
        <v>104</v>
      </c>
      <c r="I66" s="19">
        <v>592</v>
      </c>
      <c r="J66" s="19">
        <v>0.9375</v>
      </c>
      <c r="K66" s="19">
        <v>75000</v>
      </c>
      <c r="L66" s="19">
        <v>70312</v>
      </c>
      <c r="M66" s="19">
        <v>36</v>
      </c>
      <c r="N66" s="19">
        <v>50000</v>
      </c>
      <c r="O66" s="19">
        <v>46875</v>
      </c>
      <c r="P66">
        <f t="shared" si="0"/>
        <v>0.9375</v>
      </c>
    </row>
    <row r="67" spans="1:16">
      <c r="A67" s="19" t="s">
        <v>306</v>
      </c>
      <c r="B67" s="19">
        <v>2024</v>
      </c>
      <c r="C67" s="19">
        <v>428</v>
      </c>
      <c r="D67" s="19" t="s">
        <v>196</v>
      </c>
      <c r="E67" s="19" t="s">
        <v>307</v>
      </c>
      <c r="F67" s="19">
        <v>52.346260000000001</v>
      </c>
      <c r="G67" s="19">
        <v>4.8301280000000002</v>
      </c>
      <c r="H67" s="19" t="s">
        <v>103</v>
      </c>
      <c r="I67" s="19">
        <v>350</v>
      </c>
      <c r="J67" s="19">
        <v>1.2228570000000001</v>
      </c>
      <c r="K67" s="19">
        <v>32297</v>
      </c>
      <c r="L67" s="19">
        <v>39495</v>
      </c>
      <c r="M67" s="19">
        <v>30</v>
      </c>
      <c r="N67" s="19">
        <v>26588</v>
      </c>
      <c r="O67" s="19">
        <v>32513</v>
      </c>
      <c r="P67">
        <f t="shared" ref="P67:P130" si="1">O67/N67</f>
        <v>1.2228448924326765</v>
      </c>
    </row>
    <row r="68" spans="1:16">
      <c r="A68" s="19" t="s">
        <v>308</v>
      </c>
      <c r="B68" s="19">
        <v>2024</v>
      </c>
      <c r="C68" s="19">
        <v>90</v>
      </c>
      <c r="D68" s="19" t="s">
        <v>193</v>
      </c>
      <c r="E68" s="19" t="s">
        <v>309</v>
      </c>
      <c r="F68" s="19">
        <v>52.33699</v>
      </c>
      <c r="G68" s="19">
        <v>4.9246730000000003</v>
      </c>
      <c r="H68" s="19" t="s">
        <v>102</v>
      </c>
      <c r="I68" s="19">
        <v>216</v>
      </c>
      <c r="J68" s="19">
        <v>0.41666700000000001</v>
      </c>
      <c r="K68" s="19">
        <v>10225</v>
      </c>
      <c r="L68" s="19">
        <v>4260</v>
      </c>
      <c r="M68" s="19">
        <v>24</v>
      </c>
      <c r="N68" s="19">
        <v>7163</v>
      </c>
      <c r="O68" s="19">
        <v>2985</v>
      </c>
      <c r="P68">
        <f t="shared" si="1"/>
        <v>0.41672483596258553</v>
      </c>
    </row>
    <row r="69" spans="1:16">
      <c r="A69" s="19" t="s">
        <v>310</v>
      </c>
      <c r="B69" s="19">
        <v>2024</v>
      </c>
      <c r="C69" s="19">
        <v>103</v>
      </c>
      <c r="D69" s="19" t="s">
        <v>193</v>
      </c>
      <c r="E69" s="19" t="s">
        <v>311</v>
      </c>
      <c r="F69" s="19">
        <v>52.338700000000003</v>
      </c>
      <c r="G69" s="19">
        <v>4.9244389999999996</v>
      </c>
      <c r="H69" s="19" t="s">
        <v>102</v>
      </c>
      <c r="I69" s="19">
        <v>216</v>
      </c>
      <c r="J69" s="19">
        <v>0.476852</v>
      </c>
      <c r="K69" s="19">
        <v>10225</v>
      </c>
      <c r="L69" s="19">
        <v>4876</v>
      </c>
      <c r="M69" s="19">
        <v>24</v>
      </c>
      <c r="N69" s="19">
        <v>7163</v>
      </c>
      <c r="O69" s="19">
        <v>3416</v>
      </c>
      <c r="P69">
        <f t="shared" si="1"/>
        <v>0.47689515566103585</v>
      </c>
    </row>
    <row r="70" spans="1:16">
      <c r="A70" s="19" t="s">
        <v>312</v>
      </c>
      <c r="B70" s="19">
        <v>2024</v>
      </c>
      <c r="C70" s="19">
        <v>137</v>
      </c>
      <c r="D70" s="19" t="s">
        <v>170</v>
      </c>
      <c r="E70" s="19" t="s">
        <v>313</v>
      </c>
      <c r="F70" s="19">
        <v>52.315860000000001</v>
      </c>
      <c r="G70" s="19">
        <v>4.959066</v>
      </c>
      <c r="H70" s="19" t="s">
        <v>102</v>
      </c>
      <c r="I70" s="19">
        <v>216</v>
      </c>
      <c r="J70" s="19">
        <v>0.63425900000000002</v>
      </c>
      <c r="K70" s="19">
        <v>10225</v>
      </c>
      <c r="L70" s="19">
        <v>6485</v>
      </c>
      <c r="M70" s="19">
        <v>24</v>
      </c>
      <c r="N70" s="19">
        <v>7163</v>
      </c>
      <c r="O70" s="19">
        <v>4543</v>
      </c>
      <c r="P70">
        <f t="shared" si="1"/>
        <v>0.63423146726232027</v>
      </c>
    </row>
    <row r="71" spans="1:16">
      <c r="A71" s="19" t="s">
        <v>314</v>
      </c>
      <c r="B71" s="19">
        <v>2024</v>
      </c>
      <c r="C71" s="19">
        <v>82</v>
      </c>
      <c r="D71" s="19" t="s">
        <v>175</v>
      </c>
      <c r="E71" s="19" t="s">
        <v>315</v>
      </c>
      <c r="F71" s="19">
        <v>52.401049999999998</v>
      </c>
      <c r="G71" s="19">
        <v>4.9253799999999996</v>
      </c>
      <c r="H71" s="19" t="s">
        <v>102</v>
      </c>
      <c r="I71" s="19">
        <v>216</v>
      </c>
      <c r="J71" s="19">
        <v>0.37963000000000002</v>
      </c>
      <c r="K71" s="19">
        <v>10225</v>
      </c>
      <c r="L71" s="19">
        <v>3882</v>
      </c>
      <c r="M71" s="19">
        <v>24</v>
      </c>
      <c r="N71" s="19">
        <v>7163</v>
      </c>
      <c r="O71" s="19">
        <v>2719</v>
      </c>
      <c r="P71">
        <f t="shared" si="1"/>
        <v>0.37958955744799666</v>
      </c>
    </row>
    <row r="72" spans="1:16">
      <c r="A72" s="19" t="s">
        <v>316</v>
      </c>
      <c r="B72" s="19">
        <v>2024</v>
      </c>
      <c r="C72" s="19">
        <v>48</v>
      </c>
      <c r="D72" s="19" t="s">
        <v>170</v>
      </c>
      <c r="E72" s="19" t="s">
        <v>317</v>
      </c>
      <c r="F72" s="19">
        <v>52.294780000000003</v>
      </c>
      <c r="G72" s="19">
        <v>4.9733080000000003</v>
      </c>
      <c r="H72" s="19" t="s">
        <v>102</v>
      </c>
      <c r="I72" s="19">
        <v>216</v>
      </c>
      <c r="J72" s="19">
        <v>0.222222</v>
      </c>
      <c r="K72" s="19">
        <v>10225</v>
      </c>
      <c r="L72" s="19">
        <v>2272</v>
      </c>
      <c r="M72" s="19">
        <v>24</v>
      </c>
      <c r="N72" s="19">
        <v>7163</v>
      </c>
      <c r="O72" s="19">
        <v>1592</v>
      </c>
      <c r="P72">
        <f t="shared" si="1"/>
        <v>0.22225324584671227</v>
      </c>
    </row>
    <row r="73" spans="1:16">
      <c r="A73" s="19" t="s">
        <v>318</v>
      </c>
      <c r="B73" s="19">
        <v>2024</v>
      </c>
      <c r="C73" s="19">
        <v>230</v>
      </c>
      <c r="D73" s="19" t="s">
        <v>170</v>
      </c>
      <c r="E73" s="19" t="s">
        <v>319</v>
      </c>
      <c r="F73" s="19">
        <v>52.311259999999997</v>
      </c>
      <c r="G73" s="19">
        <v>4.9449920000000001</v>
      </c>
      <c r="H73" s="19" t="s">
        <v>102</v>
      </c>
      <c r="I73" s="19">
        <v>216</v>
      </c>
      <c r="J73" s="19">
        <v>1.0648150000000001</v>
      </c>
      <c r="K73" s="19">
        <v>10225</v>
      </c>
      <c r="L73" s="19">
        <v>10888</v>
      </c>
      <c r="M73" s="19">
        <v>24</v>
      </c>
      <c r="N73" s="19">
        <v>7163</v>
      </c>
      <c r="O73" s="19">
        <v>7627</v>
      </c>
      <c r="P73">
        <f t="shared" si="1"/>
        <v>1.0647773279352226</v>
      </c>
    </row>
    <row r="74" spans="1:16">
      <c r="A74" s="19" t="s">
        <v>320</v>
      </c>
      <c r="B74" s="19">
        <v>2024</v>
      </c>
      <c r="C74" s="19">
        <v>120</v>
      </c>
      <c r="D74" s="19" t="s">
        <v>231</v>
      </c>
      <c r="E74" s="19" t="s">
        <v>321</v>
      </c>
      <c r="F74" s="19">
        <v>52.3416</v>
      </c>
      <c r="G74" s="19">
        <v>4.8568990000000003</v>
      </c>
      <c r="H74" s="19" t="s">
        <v>102</v>
      </c>
      <c r="I74" s="19">
        <v>216</v>
      </c>
      <c r="J74" s="19">
        <v>0.55555600000000005</v>
      </c>
      <c r="K74" s="19">
        <v>10225</v>
      </c>
      <c r="L74" s="19">
        <v>5681</v>
      </c>
      <c r="M74" s="19">
        <v>24</v>
      </c>
      <c r="N74" s="19">
        <v>7163</v>
      </c>
      <c r="O74" s="19">
        <v>3979</v>
      </c>
      <c r="P74">
        <f t="shared" si="1"/>
        <v>0.55549350830657551</v>
      </c>
    </row>
    <row r="75" spans="1:16">
      <c r="A75" s="19" t="s">
        <v>322</v>
      </c>
      <c r="B75" s="19">
        <v>2024</v>
      </c>
      <c r="C75" s="19">
        <v>63</v>
      </c>
      <c r="D75" s="19" t="s">
        <v>175</v>
      </c>
      <c r="E75" s="19" t="s">
        <v>323</v>
      </c>
      <c r="F75" s="19">
        <v>52.395020000000002</v>
      </c>
      <c r="G75" s="19">
        <v>4.9113230000000003</v>
      </c>
      <c r="H75" s="19" t="s">
        <v>102</v>
      </c>
      <c r="I75" s="19">
        <v>216</v>
      </c>
      <c r="J75" s="19">
        <v>0.29166700000000001</v>
      </c>
      <c r="K75" s="19">
        <v>10225</v>
      </c>
      <c r="L75" s="19">
        <v>2982</v>
      </c>
      <c r="M75" s="19">
        <v>24</v>
      </c>
      <c r="N75" s="19">
        <v>7163</v>
      </c>
      <c r="O75" s="19">
        <v>2089</v>
      </c>
      <c r="P75">
        <f t="shared" si="1"/>
        <v>0.29163758201870726</v>
      </c>
    </row>
    <row r="76" spans="1:16">
      <c r="A76" s="19" t="s">
        <v>324</v>
      </c>
      <c r="B76" s="19">
        <v>2024</v>
      </c>
      <c r="C76" s="19">
        <v>116</v>
      </c>
      <c r="D76" s="19" t="s">
        <v>175</v>
      </c>
      <c r="E76" s="19" t="s">
        <v>325</v>
      </c>
      <c r="F76" s="19">
        <v>52.39425</v>
      </c>
      <c r="G76" s="19">
        <v>4.9032470000000004</v>
      </c>
      <c r="H76" s="19" t="s">
        <v>102</v>
      </c>
      <c r="I76" s="19">
        <v>216</v>
      </c>
      <c r="J76" s="19">
        <v>0.53703699999999999</v>
      </c>
      <c r="K76" s="19">
        <v>10225</v>
      </c>
      <c r="L76" s="19">
        <v>5491</v>
      </c>
      <c r="M76" s="19">
        <v>24</v>
      </c>
      <c r="N76" s="19">
        <v>7163</v>
      </c>
      <c r="O76" s="19">
        <v>3847</v>
      </c>
      <c r="P76">
        <f t="shared" si="1"/>
        <v>0.53706547535948623</v>
      </c>
    </row>
    <row r="77" spans="1:16">
      <c r="A77" s="19" t="s">
        <v>326</v>
      </c>
      <c r="B77" s="19">
        <v>2024</v>
      </c>
      <c r="C77" s="19">
        <v>120</v>
      </c>
      <c r="D77" s="19" t="s">
        <v>170</v>
      </c>
      <c r="E77" s="19" t="s">
        <v>327</v>
      </c>
      <c r="F77" s="19">
        <v>52.326099999999997</v>
      </c>
      <c r="G77" s="19">
        <v>4.9692299999999996</v>
      </c>
      <c r="H77" s="19" t="s">
        <v>102</v>
      </c>
      <c r="I77" s="19">
        <v>216</v>
      </c>
      <c r="J77" s="19">
        <v>0.55555600000000005</v>
      </c>
      <c r="K77" s="19">
        <v>10225</v>
      </c>
      <c r="L77" s="19">
        <v>5681</v>
      </c>
      <c r="M77" s="19">
        <v>24</v>
      </c>
      <c r="N77" s="19">
        <v>7163</v>
      </c>
      <c r="O77" s="19">
        <v>3979</v>
      </c>
      <c r="P77">
        <f t="shared" si="1"/>
        <v>0.55549350830657551</v>
      </c>
    </row>
    <row r="78" spans="1:16">
      <c r="A78" s="19" t="s">
        <v>328</v>
      </c>
      <c r="B78" s="19">
        <v>2024</v>
      </c>
      <c r="C78" s="19">
        <v>150</v>
      </c>
      <c r="D78" s="19" t="s">
        <v>170</v>
      </c>
      <c r="E78" s="19" t="s">
        <v>329</v>
      </c>
      <c r="F78" s="19">
        <v>52.327010000000001</v>
      </c>
      <c r="G78" s="19">
        <v>4.9676640000000001</v>
      </c>
      <c r="H78" s="19" t="s">
        <v>102</v>
      </c>
      <c r="I78" s="19">
        <v>216</v>
      </c>
      <c r="J78" s="19">
        <v>0.69444399999999995</v>
      </c>
      <c r="K78" s="19">
        <v>10225</v>
      </c>
      <c r="L78" s="19">
        <v>7101</v>
      </c>
      <c r="M78" s="19">
        <v>24</v>
      </c>
      <c r="N78" s="19">
        <v>7163</v>
      </c>
      <c r="O78" s="19">
        <v>4974</v>
      </c>
      <c r="P78">
        <f t="shared" si="1"/>
        <v>0.6944017869607706</v>
      </c>
    </row>
    <row r="79" spans="1:16">
      <c r="A79" s="19" t="s">
        <v>330</v>
      </c>
      <c r="B79" s="19">
        <v>2024</v>
      </c>
      <c r="C79" s="19">
        <v>213</v>
      </c>
      <c r="D79" s="19" t="s">
        <v>196</v>
      </c>
      <c r="E79" s="19" t="s">
        <v>331</v>
      </c>
      <c r="F79" s="19">
        <v>52.388240000000003</v>
      </c>
      <c r="G79" s="19">
        <v>4.8302620000000003</v>
      </c>
      <c r="H79" s="19" t="s">
        <v>102</v>
      </c>
      <c r="I79" s="19">
        <v>216</v>
      </c>
      <c r="J79" s="19">
        <v>0.98611099999999996</v>
      </c>
      <c r="K79" s="19">
        <v>10225</v>
      </c>
      <c r="L79" s="19">
        <v>10083</v>
      </c>
      <c r="M79" s="19">
        <v>24</v>
      </c>
      <c r="N79" s="19">
        <v>7163</v>
      </c>
      <c r="O79" s="19">
        <v>7064</v>
      </c>
      <c r="P79">
        <f t="shared" si="1"/>
        <v>0.98617897528968312</v>
      </c>
    </row>
    <row r="80" spans="1:16">
      <c r="A80" s="19" t="s">
        <v>332</v>
      </c>
      <c r="B80" s="19">
        <v>2025</v>
      </c>
      <c r="C80" s="19">
        <v>176</v>
      </c>
      <c r="D80" s="19" t="s">
        <v>175</v>
      </c>
      <c r="E80" s="19" t="s">
        <v>333</v>
      </c>
      <c r="F80" s="19">
        <v>52.404989999999998</v>
      </c>
      <c r="G80" s="19">
        <v>4.9397039999999999</v>
      </c>
      <c r="H80" s="19" t="s">
        <v>102</v>
      </c>
      <c r="I80" s="19">
        <v>216</v>
      </c>
      <c r="J80" s="19">
        <v>0.81481499999999996</v>
      </c>
      <c r="K80" s="19">
        <v>10225</v>
      </c>
      <c r="L80" s="19">
        <v>8331</v>
      </c>
      <c r="M80" s="19">
        <v>24</v>
      </c>
      <c r="N80" s="19">
        <v>7163</v>
      </c>
      <c r="O80" s="19">
        <v>5837</v>
      </c>
      <c r="P80">
        <f t="shared" si="1"/>
        <v>0.81488203266787662</v>
      </c>
    </row>
    <row r="81" spans="1:16">
      <c r="A81" s="19" t="s">
        <v>334</v>
      </c>
      <c r="B81" s="19">
        <v>2025</v>
      </c>
      <c r="C81" s="19">
        <v>103</v>
      </c>
      <c r="D81" s="19" t="s">
        <v>175</v>
      </c>
      <c r="E81" s="19" t="s">
        <v>335</v>
      </c>
      <c r="F81" s="19">
        <v>52.414560000000002</v>
      </c>
      <c r="G81" s="19">
        <v>4.9223119999999998</v>
      </c>
      <c r="H81" s="19" t="s">
        <v>102</v>
      </c>
      <c r="I81" s="19">
        <v>216</v>
      </c>
      <c r="J81" s="19">
        <v>0.476852</v>
      </c>
      <c r="K81" s="19">
        <v>10225</v>
      </c>
      <c r="L81" s="19">
        <v>4876</v>
      </c>
      <c r="M81" s="19">
        <v>24</v>
      </c>
      <c r="N81" s="19">
        <v>7163</v>
      </c>
      <c r="O81" s="19">
        <v>3416</v>
      </c>
      <c r="P81">
        <f t="shared" si="1"/>
        <v>0.47689515566103585</v>
      </c>
    </row>
    <row r="82" spans="1:16">
      <c r="A82" s="19" t="s">
        <v>336</v>
      </c>
      <c r="B82" s="19">
        <v>2025</v>
      </c>
      <c r="C82" s="19">
        <v>500</v>
      </c>
      <c r="D82" s="19" t="s">
        <v>175</v>
      </c>
      <c r="E82" s="19" t="s">
        <v>337</v>
      </c>
      <c r="F82" s="19">
        <v>52.398519999999998</v>
      </c>
      <c r="G82" s="19">
        <v>4.9412750000000001</v>
      </c>
      <c r="H82" s="19" t="s">
        <v>104</v>
      </c>
      <c r="I82" s="19">
        <v>592</v>
      </c>
      <c r="J82" s="19">
        <v>0.84459499999999998</v>
      </c>
      <c r="K82" s="19">
        <v>75000</v>
      </c>
      <c r="L82" s="19">
        <v>63345</v>
      </c>
      <c r="M82" s="19">
        <v>36</v>
      </c>
      <c r="N82" s="19">
        <v>50000</v>
      </c>
      <c r="O82" s="19">
        <v>42230</v>
      </c>
      <c r="P82">
        <f t="shared" si="1"/>
        <v>0.84460000000000002</v>
      </c>
    </row>
    <row r="83" spans="1:16">
      <c r="A83" s="19" t="s">
        <v>338</v>
      </c>
      <c r="B83" s="19">
        <v>2025</v>
      </c>
      <c r="C83" s="19">
        <v>1800</v>
      </c>
      <c r="D83" s="19" t="s">
        <v>175</v>
      </c>
      <c r="E83" s="19" t="s">
        <v>339</v>
      </c>
      <c r="F83" s="19">
        <v>52.398510000000002</v>
      </c>
      <c r="G83" s="19">
        <v>4.9415800000000001</v>
      </c>
      <c r="H83" s="19" t="s">
        <v>104</v>
      </c>
      <c r="I83" s="19">
        <v>592</v>
      </c>
      <c r="J83" s="19">
        <v>3.0405410000000002</v>
      </c>
      <c r="K83" s="19">
        <v>75000</v>
      </c>
      <c r="L83" s="19">
        <v>228041</v>
      </c>
      <c r="M83" s="19">
        <v>36</v>
      </c>
      <c r="N83" s="19">
        <v>50000</v>
      </c>
      <c r="O83" s="19">
        <v>152027</v>
      </c>
      <c r="P83">
        <f t="shared" si="1"/>
        <v>3.04054</v>
      </c>
    </row>
    <row r="84" spans="1:16">
      <c r="A84" s="19" t="s">
        <v>340</v>
      </c>
      <c r="B84" s="19">
        <v>2025</v>
      </c>
      <c r="C84" s="19">
        <v>500</v>
      </c>
      <c r="D84" s="19" t="s">
        <v>170</v>
      </c>
      <c r="E84" s="19" t="s">
        <v>341</v>
      </c>
      <c r="F84" s="19">
        <v>52.307830000000003</v>
      </c>
      <c r="G84" s="19">
        <v>4.9567560000000004</v>
      </c>
      <c r="H84" s="19" t="s">
        <v>104</v>
      </c>
      <c r="I84" s="19">
        <v>592</v>
      </c>
      <c r="J84" s="19">
        <v>0.84459499999999998</v>
      </c>
      <c r="K84" s="19">
        <v>75000</v>
      </c>
      <c r="L84" s="19">
        <v>63345</v>
      </c>
      <c r="M84" s="19">
        <v>36</v>
      </c>
      <c r="N84" s="19">
        <v>50000</v>
      </c>
      <c r="O84" s="19">
        <v>42230</v>
      </c>
      <c r="P84">
        <f t="shared" si="1"/>
        <v>0.84460000000000002</v>
      </c>
    </row>
    <row r="85" spans="1:16">
      <c r="A85" s="19" t="s">
        <v>342</v>
      </c>
      <c r="B85" s="19">
        <v>2025</v>
      </c>
      <c r="C85" s="19">
        <v>550</v>
      </c>
      <c r="D85" s="19" t="s">
        <v>196</v>
      </c>
      <c r="E85" s="19" t="s">
        <v>343</v>
      </c>
      <c r="F85" s="19">
        <v>52.371630000000003</v>
      </c>
      <c r="G85" s="19">
        <v>4.8335670000000004</v>
      </c>
      <c r="H85" s="19" t="s">
        <v>104</v>
      </c>
      <c r="I85" s="19">
        <v>592</v>
      </c>
      <c r="J85" s="19">
        <v>0.92905400000000005</v>
      </c>
      <c r="K85" s="19">
        <v>75000</v>
      </c>
      <c r="L85" s="19">
        <v>69679</v>
      </c>
      <c r="M85" s="19">
        <v>36</v>
      </c>
      <c r="N85" s="19">
        <v>50000</v>
      </c>
      <c r="O85" s="19">
        <v>46453</v>
      </c>
      <c r="P85">
        <f t="shared" si="1"/>
        <v>0.92906</v>
      </c>
    </row>
    <row r="86" spans="1:16">
      <c r="A86" s="19" t="s">
        <v>344</v>
      </c>
      <c r="B86" s="19">
        <v>2025</v>
      </c>
      <c r="C86" s="19">
        <v>144</v>
      </c>
      <c r="D86" s="19" t="s">
        <v>196</v>
      </c>
      <c r="E86" s="19" t="s">
        <v>345</v>
      </c>
      <c r="F86" s="19">
        <v>52.363</v>
      </c>
      <c r="G86" s="19">
        <v>4.8070170000000001</v>
      </c>
      <c r="H86" s="19" t="s">
        <v>102</v>
      </c>
      <c r="I86" s="19">
        <v>216</v>
      </c>
      <c r="J86" s="19">
        <v>0.66666700000000001</v>
      </c>
      <c r="K86" s="19">
        <v>10225</v>
      </c>
      <c r="L86" s="19">
        <v>6817</v>
      </c>
      <c r="M86" s="19">
        <v>24</v>
      </c>
      <c r="N86" s="19">
        <v>7163</v>
      </c>
      <c r="O86" s="19">
        <v>4775</v>
      </c>
      <c r="P86">
        <f t="shared" si="1"/>
        <v>0.66662013122993158</v>
      </c>
    </row>
    <row r="87" spans="1:16">
      <c r="A87" s="19" t="s">
        <v>346</v>
      </c>
      <c r="B87" s="19">
        <v>2025</v>
      </c>
      <c r="C87" s="19">
        <v>186</v>
      </c>
      <c r="D87" s="19" t="s">
        <v>175</v>
      </c>
      <c r="E87" s="19" t="s">
        <v>347</v>
      </c>
      <c r="F87" s="19">
        <v>52.403219999999997</v>
      </c>
      <c r="G87" s="19">
        <v>4.8893550000000001</v>
      </c>
      <c r="H87" s="19" t="s">
        <v>102</v>
      </c>
      <c r="I87" s="19">
        <v>216</v>
      </c>
      <c r="J87" s="19">
        <v>0.86111099999999996</v>
      </c>
      <c r="K87" s="19">
        <v>10225</v>
      </c>
      <c r="L87" s="19">
        <v>8805</v>
      </c>
      <c r="M87" s="19">
        <v>24</v>
      </c>
      <c r="N87" s="19">
        <v>7163</v>
      </c>
      <c r="O87" s="19">
        <v>6168</v>
      </c>
      <c r="P87">
        <f t="shared" si="1"/>
        <v>0.86109172134580481</v>
      </c>
    </row>
    <row r="88" spans="1:16">
      <c r="A88" s="19" t="s">
        <v>348</v>
      </c>
      <c r="B88" s="19">
        <v>2025</v>
      </c>
      <c r="C88" s="19">
        <v>720</v>
      </c>
      <c r="D88" s="19" t="s">
        <v>170</v>
      </c>
      <c r="E88" s="19" t="s">
        <v>349</v>
      </c>
      <c r="F88" s="19">
        <v>52.313299999999998</v>
      </c>
      <c r="G88" s="19">
        <v>4.9655459999999998</v>
      </c>
      <c r="H88" s="19" t="s">
        <v>104</v>
      </c>
      <c r="I88" s="19">
        <v>592</v>
      </c>
      <c r="J88" s="19">
        <v>1.216216</v>
      </c>
      <c r="K88" s="19">
        <v>75000</v>
      </c>
      <c r="L88" s="19">
        <v>91216</v>
      </c>
      <c r="M88" s="19">
        <v>36</v>
      </c>
      <c r="N88" s="19">
        <v>50000</v>
      </c>
      <c r="O88" s="19">
        <v>60811</v>
      </c>
      <c r="P88">
        <f t="shared" si="1"/>
        <v>1.2162200000000001</v>
      </c>
    </row>
    <row r="89" spans="1:16">
      <c r="A89" s="19" t="s">
        <v>350</v>
      </c>
      <c r="B89" s="19">
        <v>2025</v>
      </c>
      <c r="C89" s="19">
        <v>142</v>
      </c>
      <c r="D89" s="19" t="s">
        <v>196</v>
      </c>
      <c r="E89" s="19" t="s">
        <v>351</v>
      </c>
      <c r="F89" s="19">
        <v>52.356470000000002</v>
      </c>
      <c r="G89" s="19">
        <v>4.8059380000000003</v>
      </c>
      <c r="H89" s="19" t="s">
        <v>102</v>
      </c>
      <c r="I89" s="19">
        <v>216</v>
      </c>
      <c r="J89" s="19">
        <v>0.65740699999999996</v>
      </c>
      <c r="K89" s="19">
        <v>10225</v>
      </c>
      <c r="L89" s="19">
        <v>6722</v>
      </c>
      <c r="M89" s="19">
        <v>24</v>
      </c>
      <c r="N89" s="19">
        <v>7163</v>
      </c>
      <c r="O89" s="19">
        <v>4709</v>
      </c>
      <c r="P89">
        <f t="shared" si="1"/>
        <v>0.65740611475638699</v>
      </c>
    </row>
    <row r="90" spans="1:16">
      <c r="A90" s="19" t="s">
        <v>352</v>
      </c>
      <c r="B90" s="19">
        <v>2025</v>
      </c>
      <c r="C90" s="19">
        <v>175</v>
      </c>
      <c r="D90" s="19" t="s">
        <v>193</v>
      </c>
      <c r="E90" s="19" t="s">
        <v>353</v>
      </c>
      <c r="F90" s="19">
        <v>52.347329999999999</v>
      </c>
      <c r="G90" s="19">
        <v>4.9195399999999996</v>
      </c>
      <c r="H90" s="19" t="s">
        <v>102</v>
      </c>
      <c r="I90" s="19">
        <v>216</v>
      </c>
      <c r="J90" s="19">
        <v>0.81018500000000004</v>
      </c>
      <c r="K90" s="19">
        <v>10225</v>
      </c>
      <c r="L90" s="19">
        <v>8284</v>
      </c>
      <c r="M90" s="19">
        <v>24</v>
      </c>
      <c r="N90" s="19">
        <v>7163</v>
      </c>
      <c r="O90" s="19">
        <v>5803</v>
      </c>
      <c r="P90">
        <f t="shared" si="1"/>
        <v>0.81013541812089906</v>
      </c>
    </row>
    <row r="91" spans="1:16">
      <c r="A91" s="19" t="s">
        <v>354</v>
      </c>
      <c r="B91" s="19">
        <v>2025</v>
      </c>
      <c r="C91" s="19">
        <v>450</v>
      </c>
      <c r="D91" s="19" t="s">
        <v>188</v>
      </c>
      <c r="E91" s="19" t="s">
        <v>355</v>
      </c>
      <c r="F91" s="19">
        <v>52.384410000000003</v>
      </c>
      <c r="G91" s="19">
        <v>4.845917</v>
      </c>
      <c r="H91" s="19" t="s">
        <v>103</v>
      </c>
      <c r="I91" s="19">
        <v>350</v>
      </c>
      <c r="J91" s="19">
        <v>1.285714</v>
      </c>
      <c r="K91" s="19">
        <v>32297</v>
      </c>
      <c r="L91" s="19">
        <v>41525</v>
      </c>
      <c r="M91" s="19">
        <v>30</v>
      </c>
      <c r="N91" s="19">
        <v>26588</v>
      </c>
      <c r="O91" s="19">
        <v>34185</v>
      </c>
      <c r="P91">
        <f t="shared" si="1"/>
        <v>1.2857304046938469</v>
      </c>
    </row>
    <row r="92" spans="1:16">
      <c r="A92" s="19" t="s">
        <v>356</v>
      </c>
      <c r="B92" s="19">
        <v>2025</v>
      </c>
      <c r="C92" s="19">
        <v>325</v>
      </c>
      <c r="D92" s="19" t="s">
        <v>231</v>
      </c>
      <c r="E92" s="19" t="s">
        <v>357</v>
      </c>
      <c r="F92" s="19">
        <v>52.333919999999999</v>
      </c>
      <c r="G92" s="19">
        <v>4.88375</v>
      </c>
      <c r="H92" s="19" t="s">
        <v>103</v>
      </c>
      <c r="I92" s="19">
        <v>350</v>
      </c>
      <c r="J92" s="19">
        <v>0.92857100000000004</v>
      </c>
      <c r="K92" s="19">
        <v>32297</v>
      </c>
      <c r="L92" s="19">
        <v>29990</v>
      </c>
      <c r="M92" s="19">
        <v>30</v>
      </c>
      <c r="N92" s="19">
        <v>26588</v>
      </c>
      <c r="O92" s="19">
        <v>24689</v>
      </c>
      <c r="P92">
        <f t="shared" si="1"/>
        <v>0.92857680156461564</v>
      </c>
    </row>
    <row r="93" spans="1:16">
      <c r="A93" s="19" t="s">
        <v>358</v>
      </c>
      <c r="B93" s="19">
        <v>2025</v>
      </c>
      <c r="C93" s="19">
        <v>103</v>
      </c>
      <c r="D93" s="19" t="s">
        <v>170</v>
      </c>
      <c r="E93" s="19" t="s">
        <v>359</v>
      </c>
      <c r="F93" s="19">
        <v>52.29721</v>
      </c>
      <c r="G93" s="19">
        <v>4.984343</v>
      </c>
      <c r="H93" s="19" t="s">
        <v>102</v>
      </c>
      <c r="I93" s="19">
        <v>216</v>
      </c>
      <c r="J93" s="19">
        <v>0.476852</v>
      </c>
      <c r="K93" s="19">
        <v>10225</v>
      </c>
      <c r="L93" s="19">
        <v>4876</v>
      </c>
      <c r="M93" s="19">
        <v>24</v>
      </c>
      <c r="N93" s="19">
        <v>7163</v>
      </c>
      <c r="O93" s="19">
        <v>3416</v>
      </c>
      <c r="P93">
        <f t="shared" si="1"/>
        <v>0.47689515566103585</v>
      </c>
    </row>
    <row r="94" spans="1:16">
      <c r="A94" s="19" t="s">
        <v>360</v>
      </c>
      <c r="B94" s="19">
        <v>2025</v>
      </c>
      <c r="C94" s="19">
        <v>50</v>
      </c>
      <c r="D94" s="19" t="s">
        <v>193</v>
      </c>
      <c r="E94" s="19" t="s">
        <v>361</v>
      </c>
      <c r="F94" s="19">
        <v>52.363030000000002</v>
      </c>
      <c r="G94" s="19">
        <v>4.9855330000000002</v>
      </c>
      <c r="H94" s="19" t="s">
        <v>102</v>
      </c>
      <c r="I94" s="19">
        <v>216</v>
      </c>
      <c r="J94" s="19">
        <v>0.23148099999999999</v>
      </c>
      <c r="K94" s="19">
        <v>10225</v>
      </c>
      <c r="L94" s="19">
        <v>2367</v>
      </c>
      <c r="M94" s="19">
        <v>24</v>
      </c>
      <c r="N94" s="19">
        <v>7163</v>
      </c>
      <c r="O94" s="19">
        <v>1658</v>
      </c>
      <c r="P94">
        <f t="shared" si="1"/>
        <v>0.23146726232025688</v>
      </c>
    </row>
    <row r="95" spans="1:16">
      <c r="A95" s="19" t="s">
        <v>362</v>
      </c>
      <c r="B95" s="19">
        <v>2025</v>
      </c>
      <c r="C95" s="19">
        <v>78</v>
      </c>
      <c r="D95" s="19" t="s">
        <v>193</v>
      </c>
      <c r="E95" s="19" t="s">
        <v>363</v>
      </c>
      <c r="F95" s="19">
        <v>52.354709999999997</v>
      </c>
      <c r="G95" s="19">
        <v>5.0230040000000002</v>
      </c>
      <c r="H95" s="19" t="s">
        <v>102</v>
      </c>
      <c r="I95" s="19">
        <v>216</v>
      </c>
      <c r="J95" s="19">
        <v>0.36111100000000002</v>
      </c>
      <c r="K95" s="19">
        <v>10225</v>
      </c>
      <c r="L95" s="19">
        <v>3692</v>
      </c>
      <c r="M95" s="19">
        <v>24</v>
      </c>
      <c r="N95" s="19">
        <v>7163</v>
      </c>
      <c r="O95" s="19">
        <v>2587</v>
      </c>
      <c r="P95">
        <f t="shared" si="1"/>
        <v>0.36116152450090744</v>
      </c>
    </row>
    <row r="96" spans="1:16">
      <c r="A96" s="19" t="s">
        <v>364</v>
      </c>
      <c r="B96" s="19">
        <v>2025</v>
      </c>
      <c r="C96" s="19">
        <v>72</v>
      </c>
      <c r="D96" s="19" t="s">
        <v>193</v>
      </c>
      <c r="E96" s="19" t="s">
        <v>365</v>
      </c>
      <c r="F96" s="19">
        <v>52.355449999999998</v>
      </c>
      <c r="G96" s="19">
        <v>5.0223760000000004</v>
      </c>
      <c r="H96" s="19" t="s">
        <v>102</v>
      </c>
      <c r="I96" s="19">
        <v>216</v>
      </c>
      <c r="J96" s="19">
        <v>0.33333299999999999</v>
      </c>
      <c r="K96" s="19">
        <v>10225</v>
      </c>
      <c r="L96" s="19">
        <v>3408</v>
      </c>
      <c r="M96" s="19">
        <v>24</v>
      </c>
      <c r="N96" s="19">
        <v>7163</v>
      </c>
      <c r="O96" s="19">
        <v>2388</v>
      </c>
      <c r="P96">
        <f t="shared" si="1"/>
        <v>0.33337986877006842</v>
      </c>
    </row>
    <row r="97" spans="1:16">
      <c r="A97" s="19" t="s">
        <v>233</v>
      </c>
      <c r="B97" s="19">
        <v>2025</v>
      </c>
      <c r="C97" s="19">
        <v>248</v>
      </c>
      <c r="D97" s="19" t="s">
        <v>231</v>
      </c>
      <c r="E97" s="19" t="s">
        <v>366</v>
      </c>
      <c r="F97" s="19">
        <v>52.340240000000001</v>
      </c>
      <c r="G97" s="19">
        <v>4.8799970000000004</v>
      </c>
      <c r="H97" s="19" t="s">
        <v>102</v>
      </c>
      <c r="I97" s="19">
        <v>216</v>
      </c>
      <c r="J97" s="19">
        <v>1.1481479999999999</v>
      </c>
      <c r="K97" s="19">
        <v>10225</v>
      </c>
      <c r="L97" s="19">
        <v>11740</v>
      </c>
      <c r="M97" s="19">
        <v>24</v>
      </c>
      <c r="N97" s="19">
        <v>7163</v>
      </c>
      <c r="O97" s="19">
        <v>8224</v>
      </c>
      <c r="P97">
        <f t="shared" si="1"/>
        <v>1.1481222951277397</v>
      </c>
    </row>
    <row r="98" spans="1:16">
      <c r="A98" s="19" t="s">
        <v>367</v>
      </c>
      <c r="B98" s="19">
        <v>2025</v>
      </c>
      <c r="C98" s="19">
        <v>96</v>
      </c>
      <c r="D98" s="19" t="s">
        <v>196</v>
      </c>
      <c r="E98" s="19" t="s">
        <v>368</v>
      </c>
      <c r="F98" s="19">
        <v>52.381320000000002</v>
      </c>
      <c r="G98" s="19">
        <v>4.8040919999999998</v>
      </c>
      <c r="H98" s="19" t="s">
        <v>102</v>
      </c>
      <c r="I98" s="19">
        <v>216</v>
      </c>
      <c r="J98" s="19">
        <v>0.44444400000000001</v>
      </c>
      <c r="K98" s="19">
        <v>10225</v>
      </c>
      <c r="L98" s="19">
        <v>4544</v>
      </c>
      <c r="M98" s="19">
        <v>24</v>
      </c>
      <c r="N98" s="19">
        <v>7163</v>
      </c>
      <c r="O98" s="19">
        <v>3184</v>
      </c>
      <c r="P98">
        <f t="shared" si="1"/>
        <v>0.44450649169342454</v>
      </c>
    </row>
    <row r="99" spans="1:16">
      <c r="A99" s="19" t="s">
        <v>369</v>
      </c>
      <c r="B99" s="19">
        <v>2025</v>
      </c>
      <c r="C99" s="19">
        <v>136</v>
      </c>
      <c r="D99" s="19" t="s">
        <v>196</v>
      </c>
      <c r="E99" s="19" t="s">
        <v>370</v>
      </c>
      <c r="F99" s="19">
        <v>52.363030000000002</v>
      </c>
      <c r="G99" s="19">
        <v>4.835337</v>
      </c>
      <c r="H99" s="19" t="s">
        <v>102</v>
      </c>
      <c r="I99" s="19">
        <v>216</v>
      </c>
      <c r="J99" s="19">
        <v>0.62963000000000002</v>
      </c>
      <c r="K99" s="19">
        <v>10225</v>
      </c>
      <c r="L99" s="19">
        <v>6438</v>
      </c>
      <c r="M99" s="19">
        <v>24</v>
      </c>
      <c r="N99" s="19">
        <v>7163</v>
      </c>
      <c r="O99" s="19">
        <v>4510</v>
      </c>
      <c r="P99">
        <f t="shared" si="1"/>
        <v>0.62962445902554798</v>
      </c>
    </row>
    <row r="100" spans="1:16">
      <c r="A100" s="19" t="s">
        <v>371</v>
      </c>
      <c r="B100" s="19">
        <v>2025</v>
      </c>
      <c r="C100" s="19">
        <v>70</v>
      </c>
      <c r="D100" s="19" t="s">
        <v>196</v>
      </c>
      <c r="E100" s="19" t="s">
        <v>372</v>
      </c>
      <c r="F100" s="19">
        <v>52.362229999999997</v>
      </c>
      <c r="G100" s="19">
        <v>4.8368630000000001</v>
      </c>
      <c r="H100" s="19" t="s">
        <v>102</v>
      </c>
      <c r="I100" s="19">
        <v>216</v>
      </c>
      <c r="J100" s="19">
        <v>0.32407399999999997</v>
      </c>
      <c r="K100" s="19">
        <v>10225</v>
      </c>
      <c r="L100" s="19">
        <v>3314</v>
      </c>
      <c r="M100" s="19">
        <v>24</v>
      </c>
      <c r="N100" s="19">
        <v>7163</v>
      </c>
      <c r="O100" s="19">
        <v>2321</v>
      </c>
      <c r="P100">
        <f t="shared" si="1"/>
        <v>0.32402624598631857</v>
      </c>
    </row>
    <row r="101" spans="1:16">
      <c r="A101" s="19" t="s">
        <v>373</v>
      </c>
      <c r="B101" s="19">
        <v>2025</v>
      </c>
      <c r="C101" s="19">
        <v>130</v>
      </c>
      <c r="D101" s="19" t="s">
        <v>196</v>
      </c>
      <c r="E101" s="19" t="s">
        <v>374</v>
      </c>
      <c r="F101" s="19">
        <v>52.365360000000003</v>
      </c>
      <c r="G101" s="19">
        <v>4.8352599999999999</v>
      </c>
      <c r="H101" s="19" t="s">
        <v>102</v>
      </c>
      <c r="I101" s="19">
        <v>216</v>
      </c>
      <c r="J101" s="19">
        <v>0.60185200000000005</v>
      </c>
      <c r="K101" s="19">
        <v>10225</v>
      </c>
      <c r="L101" s="19">
        <v>6154</v>
      </c>
      <c r="M101" s="19">
        <v>24</v>
      </c>
      <c r="N101" s="19">
        <v>7163</v>
      </c>
      <c r="O101" s="19">
        <v>4311</v>
      </c>
      <c r="P101">
        <f t="shared" si="1"/>
        <v>0.60184280329470896</v>
      </c>
    </row>
    <row r="102" spans="1:16">
      <c r="A102" s="19" t="s">
        <v>375</v>
      </c>
      <c r="B102" s="19">
        <v>2025</v>
      </c>
      <c r="C102" s="19">
        <v>66</v>
      </c>
      <c r="D102" s="19" t="s">
        <v>196</v>
      </c>
      <c r="E102" s="19" t="s">
        <v>376</v>
      </c>
      <c r="F102" s="19">
        <v>52.358960000000003</v>
      </c>
      <c r="G102" s="19">
        <v>4.8397019999999999</v>
      </c>
      <c r="H102" s="19" t="s">
        <v>102</v>
      </c>
      <c r="I102" s="19">
        <v>216</v>
      </c>
      <c r="J102" s="19">
        <v>0.30555599999999999</v>
      </c>
      <c r="K102" s="19">
        <v>10225</v>
      </c>
      <c r="L102" s="19">
        <v>3124</v>
      </c>
      <c r="M102" s="19">
        <v>24</v>
      </c>
      <c r="N102" s="19">
        <v>7163</v>
      </c>
      <c r="O102" s="19">
        <v>2189</v>
      </c>
      <c r="P102">
        <f t="shared" si="1"/>
        <v>0.30559821303922935</v>
      </c>
    </row>
    <row r="103" spans="1:16">
      <c r="A103" s="19" t="s">
        <v>377</v>
      </c>
      <c r="B103" s="19">
        <v>2025</v>
      </c>
      <c r="C103" s="19">
        <v>129</v>
      </c>
      <c r="D103" s="19" t="s">
        <v>196</v>
      </c>
      <c r="E103" s="19" t="s">
        <v>378</v>
      </c>
      <c r="F103" s="19">
        <v>52.356909999999999</v>
      </c>
      <c r="G103" s="19">
        <v>4.8067299999999999</v>
      </c>
      <c r="H103" s="19" t="s">
        <v>102</v>
      </c>
      <c r="I103" s="19">
        <v>216</v>
      </c>
      <c r="J103" s="19">
        <v>0.59722200000000003</v>
      </c>
      <c r="K103" s="19">
        <v>10225</v>
      </c>
      <c r="L103" s="19">
        <v>6107</v>
      </c>
      <c r="M103" s="19">
        <v>24</v>
      </c>
      <c r="N103" s="19">
        <v>7163</v>
      </c>
      <c r="O103" s="19">
        <v>4278</v>
      </c>
      <c r="P103">
        <f t="shared" si="1"/>
        <v>0.59723579505793667</v>
      </c>
    </row>
    <row r="104" spans="1:16">
      <c r="A104" s="19" t="s">
        <v>379</v>
      </c>
      <c r="B104" s="19">
        <v>2025</v>
      </c>
      <c r="C104" s="19">
        <v>320</v>
      </c>
      <c r="D104" s="19" t="s">
        <v>175</v>
      </c>
      <c r="E104" s="19" t="s">
        <v>380</v>
      </c>
      <c r="F104" s="19">
        <v>52.396810000000002</v>
      </c>
      <c r="G104" s="19">
        <v>4.9089460000000003</v>
      </c>
      <c r="H104" s="19" t="s">
        <v>103</v>
      </c>
      <c r="I104" s="19">
        <v>350</v>
      </c>
      <c r="J104" s="19">
        <v>0.91428600000000004</v>
      </c>
      <c r="K104" s="19">
        <v>32297</v>
      </c>
      <c r="L104" s="19">
        <v>29529</v>
      </c>
      <c r="M104" s="19">
        <v>30</v>
      </c>
      <c r="N104" s="19">
        <v>26588</v>
      </c>
      <c r="O104" s="19">
        <v>24309</v>
      </c>
      <c r="P104">
        <f t="shared" si="1"/>
        <v>0.91428463968707685</v>
      </c>
    </row>
    <row r="105" spans="1:16">
      <c r="A105" s="19" t="s">
        <v>381</v>
      </c>
      <c r="B105" s="19">
        <v>2025</v>
      </c>
      <c r="C105" s="19">
        <v>171</v>
      </c>
      <c r="D105" s="19" t="s">
        <v>175</v>
      </c>
      <c r="E105" s="19" t="s">
        <v>382</v>
      </c>
      <c r="F105" s="19">
        <v>52.3977</v>
      </c>
      <c r="G105" s="19">
        <v>4.9047010000000002</v>
      </c>
      <c r="H105" s="19" t="s">
        <v>102</v>
      </c>
      <c r="I105" s="19">
        <v>216</v>
      </c>
      <c r="J105" s="19">
        <v>0.79166700000000001</v>
      </c>
      <c r="K105" s="19">
        <v>10225</v>
      </c>
      <c r="L105" s="19">
        <v>8095</v>
      </c>
      <c r="M105" s="19">
        <v>24</v>
      </c>
      <c r="N105" s="19">
        <v>7163</v>
      </c>
      <c r="O105" s="19">
        <v>5671</v>
      </c>
      <c r="P105">
        <f t="shared" si="1"/>
        <v>0.7917073851738099</v>
      </c>
    </row>
    <row r="106" spans="1:16">
      <c r="A106" s="19" t="s">
        <v>383</v>
      </c>
      <c r="B106" s="19">
        <v>2025</v>
      </c>
      <c r="C106" s="19">
        <v>57</v>
      </c>
      <c r="D106" s="19" t="s">
        <v>175</v>
      </c>
      <c r="E106" s="19" t="s">
        <v>384</v>
      </c>
      <c r="F106" s="19">
        <v>52.392380000000003</v>
      </c>
      <c r="G106" s="19">
        <v>4.9055140000000002</v>
      </c>
      <c r="H106" s="19" t="s">
        <v>102</v>
      </c>
      <c r="I106" s="19">
        <v>216</v>
      </c>
      <c r="J106" s="19">
        <v>0.26388899999999998</v>
      </c>
      <c r="K106" s="19">
        <v>10225</v>
      </c>
      <c r="L106" s="19">
        <v>2698</v>
      </c>
      <c r="M106" s="19">
        <v>24</v>
      </c>
      <c r="N106" s="19">
        <v>7163</v>
      </c>
      <c r="O106" s="19">
        <v>1890</v>
      </c>
      <c r="P106">
        <f t="shared" si="1"/>
        <v>0.26385592628786819</v>
      </c>
    </row>
    <row r="107" spans="1:16">
      <c r="A107" s="19" t="s">
        <v>385</v>
      </c>
      <c r="B107" s="19">
        <v>2025</v>
      </c>
      <c r="C107" s="19">
        <v>80</v>
      </c>
      <c r="D107" s="19" t="s">
        <v>175</v>
      </c>
      <c r="E107" s="19" t="s">
        <v>386</v>
      </c>
      <c r="F107" s="19">
        <v>52.392629999999997</v>
      </c>
      <c r="G107" s="19">
        <v>4.9046099999999999</v>
      </c>
      <c r="H107" s="19" t="s">
        <v>102</v>
      </c>
      <c r="I107" s="19">
        <v>216</v>
      </c>
      <c r="J107" s="19">
        <v>0.37036999999999998</v>
      </c>
      <c r="K107" s="19">
        <v>10225</v>
      </c>
      <c r="L107" s="19">
        <v>3787</v>
      </c>
      <c r="M107" s="19">
        <v>24</v>
      </c>
      <c r="N107" s="19">
        <v>7163</v>
      </c>
      <c r="O107" s="19">
        <v>2653</v>
      </c>
      <c r="P107">
        <f t="shared" si="1"/>
        <v>0.37037554097445202</v>
      </c>
    </row>
    <row r="108" spans="1:16">
      <c r="A108" s="19" t="s">
        <v>387</v>
      </c>
      <c r="B108" s="19">
        <v>2025</v>
      </c>
      <c r="C108" s="19">
        <v>194</v>
      </c>
      <c r="D108" s="19" t="s">
        <v>175</v>
      </c>
      <c r="E108" s="19" t="s">
        <v>388</v>
      </c>
      <c r="F108" s="19">
        <v>52.383450000000003</v>
      </c>
      <c r="G108" s="19">
        <v>4.9212530000000001</v>
      </c>
      <c r="H108" s="19" t="s">
        <v>102</v>
      </c>
      <c r="I108" s="19">
        <v>216</v>
      </c>
      <c r="J108" s="19">
        <v>0.89814799999999995</v>
      </c>
      <c r="K108" s="19">
        <v>10225</v>
      </c>
      <c r="L108" s="19">
        <v>9184</v>
      </c>
      <c r="M108" s="19">
        <v>24</v>
      </c>
      <c r="N108" s="19">
        <v>7163</v>
      </c>
      <c r="O108" s="19">
        <v>6433</v>
      </c>
      <c r="P108">
        <f t="shared" si="1"/>
        <v>0.89808739355018852</v>
      </c>
    </row>
    <row r="109" spans="1:16">
      <c r="A109" s="19" t="s">
        <v>389</v>
      </c>
      <c r="B109" s="19">
        <v>2025</v>
      </c>
      <c r="C109" s="19">
        <v>87</v>
      </c>
      <c r="D109" s="19" t="s">
        <v>175</v>
      </c>
      <c r="E109" s="19" t="s">
        <v>390</v>
      </c>
      <c r="F109" s="19">
        <v>52.382840000000002</v>
      </c>
      <c r="G109" s="19">
        <v>4.9224829999999997</v>
      </c>
      <c r="H109" s="19" t="s">
        <v>102</v>
      </c>
      <c r="I109" s="19">
        <v>216</v>
      </c>
      <c r="J109" s="19">
        <v>0.40277800000000002</v>
      </c>
      <c r="K109" s="19">
        <v>10225</v>
      </c>
      <c r="L109" s="19">
        <v>4118</v>
      </c>
      <c r="M109" s="19">
        <v>24</v>
      </c>
      <c r="N109" s="19">
        <v>7163</v>
      </c>
      <c r="O109" s="19">
        <v>2885</v>
      </c>
      <c r="P109">
        <f t="shared" si="1"/>
        <v>0.40276420494206339</v>
      </c>
    </row>
    <row r="110" spans="1:16">
      <c r="A110" s="19" t="s">
        <v>391</v>
      </c>
      <c r="B110" s="19">
        <v>2025</v>
      </c>
      <c r="C110" s="19">
        <v>434</v>
      </c>
      <c r="D110" s="19" t="s">
        <v>175</v>
      </c>
      <c r="E110" s="19" t="s">
        <v>392</v>
      </c>
      <c r="F110" s="19">
        <v>52.383839999999999</v>
      </c>
      <c r="G110" s="19">
        <v>4.9241450000000002</v>
      </c>
      <c r="H110" s="19" t="s">
        <v>103</v>
      </c>
      <c r="I110" s="19">
        <v>350</v>
      </c>
      <c r="J110" s="19">
        <v>1.24</v>
      </c>
      <c r="K110" s="19">
        <v>32297</v>
      </c>
      <c r="L110" s="19">
        <v>40048</v>
      </c>
      <c r="M110" s="19">
        <v>30</v>
      </c>
      <c r="N110" s="19">
        <v>26588</v>
      </c>
      <c r="O110" s="19">
        <v>32969</v>
      </c>
      <c r="P110">
        <f t="shared" si="1"/>
        <v>1.2399954866857228</v>
      </c>
    </row>
    <row r="111" spans="1:16">
      <c r="A111" s="19" t="s">
        <v>393</v>
      </c>
      <c r="B111" s="19">
        <v>2025</v>
      </c>
      <c r="C111" s="19">
        <v>1200</v>
      </c>
      <c r="D111" s="19" t="s">
        <v>175</v>
      </c>
      <c r="E111" s="19" t="s">
        <v>394</v>
      </c>
      <c r="F111" s="19">
        <v>52.384410000000003</v>
      </c>
      <c r="G111" s="19">
        <v>4.9288809999999996</v>
      </c>
      <c r="H111" s="19" t="s">
        <v>104</v>
      </c>
      <c r="I111" s="19">
        <v>592</v>
      </c>
      <c r="J111" s="19">
        <v>2.0270269999999999</v>
      </c>
      <c r="K111" s="19">
        <v>75000</v>
      </c>
      <c r="L111" s="19">
        <v>152027</v>
      </c>
      <c r="M111" s="19">
        <v>36</v>
      </c>
      <c r="N111" s="19">
        <v>50000</v>
      </c>
      <c r="O111" s="19">
        <v>101351</v>
      </c>
      <c r="P111">
        <f t="shared" si="1"/>
        <v>2.0270199999999998</v>
      </c>
    </row>
    <row r="112" spans="1:16">
      <c r="A112" s="19" t="s">
        <v>395</v>
      </c>
      <c r="B112" s="19">
        <v>2025</v>
      </c>
      <c r="C112" s="19">
        <v>222</v>
      </c>
      <c r="D112" s="19" t="s">
        <v>175</v>
      </c>
      <c r="E112" s="19" t="s">
        <v>396</v>
      </c>
      <c r="F112" s="19">
        <v>52.385249999999999</v>
      </c>
      <c r="G112" s="19">
        <v>4.9200419999999996</v>
      </c>
      <c r="H112" s="19" t="s">
        <v>102</v>
      </c>
      <c r="I112" s="19">
        <v>216</v>
      </c>
      <c r="J112" s="19">
        <v>1.0277780000000001</v>
      </c>
      <c r="K112" s="19">
        <v>10225</v>
      </c>
      <c r="L112" s="19">
        <v>10509</v>
      </c>
      <c r="M112" s="19">
        <v>24</v>
      </c>
      <c r="N112" s="19">
        <v>7163</v>
      </c>
      <c r="O112" s="19">
        <v>7362</v>
      </c>
      <c r="P112">
        <f t="shared" si="1"/>
        <v>1.027781655730839</v>
      </c>
    </row>
    <row r="113" spans="1:16">
      <c r="A113" s="19" t="s">
        <v>257</v>
      </c>
      <c r="B113" s="19">
        <v>2025</v>
      </c>
      <c r="C113" s="19">
        <v>53</v>
      </c>
      <c r="D113" s="19" t="s">
        <v>193</v>
      </c>
      <c r="E113" s="19" t="s">
        <v>397</v>
      </c>
      <c r="F113" s="19">
        <v>52.370930000000001</v>
      </c>
      <c r="G113" s="19">
        <v>4.9535960000000001</v>
      </c>
      <c r="H113" s="19" t="s">
        <v>102</v>
      </c>
      <c r="I113" s="19">
        <v>216</v>
      </c>
      <c r="J113" s="19">
        <v>0.24537</v>
      </c>
      <c r="K113" s="19">
        <v>10225</v>
      </c>
      <c r="L113" s="19">
        <v>2509</v>
      </c>
      <c r="M113" s="19">
        <v>24</v>
      </c>
      <c r="N113" s="19">
        <v>7163</v>
      </c>
      <c r="O113" s="19">
        <v>1758</v>
      </c>
      <c r="P113">
        <f t="shared" si="1"/>
        <v>0.245427893340779</v>
      </c>
    </row>
    <row r="114" spans="1:16">
      <c r="A114" s="19" t="s">
        <v>398</v>
      </c>
      <c r="B114" s="19">
        <v>2025</v>
      </c>
      <c r="C114" s="19">
        <v>78</v>
      </c>
      <c r="D114" s="19" t="s">
        <v>193</v>
      </c>
      <c r="E114" s="19" t="s">
        <v>399</v>
      </c>
      <c r="F114" s="19">
        <v>52.355089999999997</v>
      </c>
      <c r="G114" s="19">
        <v>5.0214299999999996</v>
      </c>
      <c r="H114" s="19" t="s">
        <v>102</v>
      </c>
      <c r="I114" s="19">
        <v>216</v>
      </c>
      <c r="J114" s="19">
        <v>0.36111100000000002</v>
      </c>
      <c r="K114" s="19">
        <v>10225</v>
      </c>
      <c r="L114" s="19">
        <v>3692</v>
      </c>
      <c r="M114" s="19">
        <v>24</v>
      </c>
      <c r="N114" s="19">
        <v>7163</v>
      </c>
      <c r="O114" s="19">
        <v>2587</v>
      </c>
      <c r="P114">
        <f t="shared" si="1"/>
        <v>0.36116152450090744</v>
      </c>
    </row>
    <row r="115" spans="1:16">
      <c r="A115" s="19" t="s">
        <v>400</v>
      </c>
      <c r="B115" s="19">
        <v>2025</v>
      </c>
      <c r="C115" s="19">
        <v>83</v>
      </c>
      <c r="D115" s="19" t="s">
        <v>193</v>
      </c>
      <c r="E115" s="19" t="s">
        <v>401</v>
      </c>
      <c r="F115" s="19">
        <v>52.353459999999998</v>
      </c>
      <c r="G115" s="19">
        <v>5.0214259999999999</v>
      </c>
      <c r="H115" s="19" t="s">
        <v>102</v>
      </c>
      <c r="I115" s="19">
        <v>216</v>
      </c>
      <c r="J115" s="19">
        <v>0.38425900000000002</v>
      </c>
      <c r="K115" s="19">
        <v>10225</v>
      </c>
      <c r="L115" s="19">
        <v>3929</v>
      </c>
      <c r="M115" s="19">
        <v>24</v>
      </c>
      <c r="N115" s="19">
        <v>7163</v>
      </c>
      <c r="O115" s="19">
        <v>2752</v>
      </c>
      <c r="P115">
        <f t="shared" si="1"/>
        <v>0.38419656568476895</v>
      </c>
    </row>
    <row r="116" spans="1:16">
      <c r="A116" s="19" t="s">
        <v>402</v>
      </c>
      <c r="B116" s="19">
        <v>2025</v>
      </c>
      <c r="C116" s="19">
        <v>50</v>
      </c>
      <c r="D116" s="19" t="s">
        <v>193</v>
      </c>
      <c r="E116" s="19" t="s">
        <v>403</v>
      </c>
      <c r="F116" s="19">
        <v>52.336860000000001</v>
      </c>
      <c r="G116" s="19">
        <v>4.9184950000000001</v>
      </c>
      <c r="H116" s="19" t="s">
        <v>102</v>
      </c>
      <c r="I116" s="19">
        <v>216</v>
      </c>
      <c r="J116" s="19">
        <v>0.23148099999999999</v>
      </c>
      <c r="K116" s="19">
        <v>10225</v>
      </c>
      <c r="L116" s="19">
        <v>2367</v>
      </c>
      <c r="M116" s="19">
        <v>24</v>
      </c>
      <c r="N116" s="19">
        <v>7163</v>
      </c>
      <c r="O116" s="19">
        <v>1658</v>
      </c>
      <c r="P116">
        <f t="shared" si="1"/>
        <v>0.23146726232025688</v>
      </c>
    </row>
    <row r="117" spans="1:16">
      <c r="A117" s="19" t="s">
        <v>404</v>
      </c>
      <c r="B117" s="19">
        <v>2025</v>
      </c>
      <c r="C117" s="19">
        <v>148</v>
      </c>
      <c r="D117" s="19" t="s">
        <v>193</v>
      </c>
      <c r="E117" s="19" t="s">
        <v>405</v>
      </c>
      <c r="F117" s="19">
        <v>52.374940000000002</v>
      </c>
      <c r="G117" s="19">
        <v>4.9590899999999998</v>
      </c>
      <c r="H117" s="19" t="s">
        <v>102</v>
      </c>
      <c r="I117" s="19">
        <v>216</v>
      </c>
      <c r="J117" s="19">
        <v>0.68518500000000004</v>
      </c>
      <c r="K117" s="19">
        <v>10225</v>
      </c>
      <c r="L117" s="19">
        <v>7006</v>
      </c>
      <c r="M117" s="19">
        <v>24</v>
      </c>
      <c r="N117" s="19">
        <v>7163</v>
      </c>
      <c r="O117" s="19">
        <v>4908</v>
      </c>
      <c r="P117">
        <f t="shared" si="1"/>
        <v>0.68518777048722601</v>
      </c>
    </row>
    <row r="118" spans="1:16">
      <c r="A118" s="19" t="s">
        <v>406</v>
      </c>
      <c r="B118" s="19">
        <v>2025</v>
      </c>
      <c r="C118" s="19">
        <v>100</v>
      </c>
      <c r="D118" s="19" t="s">
        <v>188</v>
      </c>
      <c r="E118" s="19" t="s">
        <v>407</v>
      </c>
      <c r="F118" s="19">
        <v>52.382379999999998</v>
      </c>
      <c r="G118" s="19">
        <v>4.8400610000000004</v>
      </c>
      <c r="H118" s="19" t="s">
        <v>102</v>
      </c>
      <c r="I118" s="19">
        <v>216</v>
      </c>
      <c r="J118" s="19">
        <v>0.46296300000000001</v>
      </c>
      <c r="K118" s="19">
        <v>10225</v>
      </c>
      <c r="L118" s="19">
        <v>4734</v>
      </c>
      <c r="M118" s="19">
        <v>24</v>
      </c>
      <c r="N118" s="19">
        <v>7163</v>
      </c>
      <c r="O118" s="19">
        <v>3316</v>
      </c>
      <c r="P118">
        <f t="shared" si="1"/>
        <v>0.46293452464051377</v>
      </c>
    </row>
    <row r="119" spans="1:16">
      <c r="A119" s="19" t="s">
        <v>408</v>
      </c>
      <c r="B119" s="19">
        <v>2025</v>
      </c>
      <c r="C119" s="19">
        <v>272</v>
      </c>
      <c r="D119" s="19" t="s">
        <v>188</v>
      </c>
      <c r="E119" s="19" t="s">
        <v>409</v>
      </c>
      <c r="F119" s="19">
        <v>52.377009999999999</v>
      </c>
      <c r="G119" s="19">
        <v>4.8648530000000001</v>
      </c>
      <c r="H119" s="19" t="s">
        <v>102</v>
      </c>
      <c r="I119" s="19">
        <v>216</v>
      </c>
      <c r="J119" s="19">
        <v>1.2592589999999999</v>
      </c>
      <c r="K119" s="19">
        <v>10225</v>
      </c>
      <c r="L119" s="19">
        <v>12876</v>
      </c>
      <c r="M119" s="19">
        <v>24</v>
      </c>
      <c r="N119" s="19">
        <v>7163</v>
      </c>
      <c r="O119" s="19">
        <v>9020</v>
      </c>
      <c r="P119">
        <f t="shared" si="1"/>
        <v>1.259248918051096</v>
      </c>
    </row>
    <row r="120" spans="1:16">
      <c r="A120" s="19" t="s">
        <v>410</v>
      </c>
      <c r="B120" s="19">
        <v>2025</v>
      </c>
      <c r="C120" s="19">
        <v>168</v>
      </c>
      <c r="D120" s="19" t="s">
        <v>188</v>
      </c>
      <c r="E120" s="19" t="s">
        <v>411</v>
      </c>
      <c r="F120" s="19">
        <v>52.37715</v>
      </c>
      <c r="G120" s="19">
        <v>4.8651650000000002</v>
      </c>
      <c r="H120" s="19" t="s">
        <v>102</v>
      </c>
      <c r="I120" s="19">
        <v>216</v>
      </c>
      <c r="J120" s="19">
        <v>0.77777799999999997</v>
      </c>
      <c r="K120" s="19">
        <v>10225</v>
      </c>
      <c r="L120" s="19">
        <v>7953</v>
      </c>
      <c r="M120" s="19">
        <v>24</v>
      </c>
      <c r="N120" s="19">
        <v>7163</v>
      </c>
      <c r="O120" s="19">
        <v>5571</v>
      </c>
      <c r="P120">
        <f t="shared" si="1"/>
        <v>0.77774675415328776</v>
      </c>
    </row>
    <row r="121" spans="1:16">
      <c r="A121" s="19" t="s">
        <v>412</v>
      </c>
      <c r="B121" s="19">
        <v>2025</v>
      </c>
      <c r="C121" s="19">
        <v>439</v>
      </c>
      <c r="D121" s="19" t="s">
        <v>188</v>
      </c>
      <c r="E121" s="19" t="s">
        <v>413</v>
      </c>
      <c r="F121" s="19">
        <v>52.391039999999997</v>
      </c>
      <c r="G121" s="19">
        <v>4.8469709999999999</v>
      </c>
      <c r="H121" s="19" t="s">
        <v>103</v>
      </c>
      <c r="I121" s="19">
        <v>350</v>
      </c>
      <c r="J121" s="19">
        <v>1.254286</v>
      </c>
      <c r="K121" s="19">
        <v>32297</v>
      </c>
      <c r="L121" s="19">
        <v>40510</v>
      </c>
      <c r="M121" s="19">
        <v>30</v>
      </c>
      <c r="N121" s="19">
        <v>26588</v>
      </c>
      <c r="O121" s="19">
        <v>33349</v>
      </c>
      <c r="P121">
        <f t="shared" si="1"/>
        <v>1.2542876485632617</v>
      </c>
    </row>
    <row r="122" spans="1:16">
      <c r="A122" s="19" t="s">
        <v>263</v>
      </c>
      <c r="B122" s="19">
        <v>2025</v>
      </c>
      <c r="C122" s="19">
        <v>480</v>
      </c>
      <c r="D122" s="19" t="s">
        <v>188</v>
      </c>
      <c r="E122" s="19" t="s">
        <v>414</v>
      </c>
      <c r="F122" s="19">
        <v>52.390070000000001</v>
      </c>
      <c r="G122" s="19">
        <v>4.8447690000000003</v>
      </c>
      <c r="H122" s="19" t="s">
        <v>103</v>
      </c>
      <c r="I122" s="19">
        <v>350</v>
      </c>
      <c r="J122" s="19">
        <v>1.371429</v>
      </c>
      <c r="K122" s="19">
        <v>32297</v>
      </c>
      <c r="L122" s="19">
        <v>44293</v>
      </c>
      <c r="M122" s="19">
        <v>30</v>
      </c>
      <c r="N122" s="19">
        <v>26588</v>
      </c>
      <c r="O122" s="19">
        <v>36464</v>
      </c>
      <c r="P122">
        <f t="shared" si="1"/>
        <v>1.37144576500677</v>
      </c>
    </row>
    <row r="123" spans="1:16">
      <c r="A123" s="19" t="s">
        <v>415</v>
      </c>
      <c r="B123" s="19">
        <v>2025</v>
      </c>
      <c r="C123" s="19">
        <v>180</v>
      </c>
      <c r="D123" s="19" t="s">
        <v>231</v>
      </c>
      <c r="E123" s="19" t="s">
        <v>416</v>
      </c>
      <c r="F123" s="19">
        <v>52.341679999999997</v>
      </c>
      <c r="G123" s="19">
        <v>4.8610629999999997</v>
      </c>
      <c r="H123" s="19" t="s">
        <v>102</v>
      </c>
      <c r="I123" s="19">
        <v>216</v>
      </c>
      <c r="J123" s="19">
        <v>0.83333299999999999</v>
      </c>
      <c r="K123" s="19">
        <v>10225</v>
      </c>
      <c r="L123" s="19">
        <v>8521</v>
      </c>
      <c r="M123" s="19">
        <v>24</v>
      </c>
      <c r="N123" s="19">
        <v>7163</v>
      </c>
      <c r="O123" s="19">
        <v>5969</v>
      </c>
      <c r="P123">
        <f t="shared" si="1"/>
        <v>0.83331006561496579</v>
      </c>
    </row>
    <row r="124" spans="1:16">
      <c r="A124" s="19" t="s">
        <v>417</v>
      </c>
      <c r="B124" s="19">
        <v>2025</v>
      </c>
      <c r="C124" s="19">
        <v>107</v>
      </c>
      <c r="D124" s="19" t="s">
        <v>231</v>
      </c>
      <c r="E124" s="19" t="s">
        <v>418</v>
      </c>
      <c r="F124" s="19">
        <v>52.33755</v>
      </c>
      <c r="G124" s="19">
        <v>4.8663540000000003</v>
      </c>
      <c r="H124" s="19" t="s">
        <v>102</v>
      </c>
      <c r="I124" s="19">
        <v>216</v>
      </c>
      <c r="J124" s="19">
        <v>0.49536999999999998</v>
      </c>
      <c r="K124" s="19">
        <v>10225</v>
      </c>
      <c r="L124" s="19">
        <v>5065</v>
      </c>
      <c r="M124" s="19">
        <v>24</v>
      </c>
      <c r="N124" s="19">
        <v>7163</v>
      </c>
      <c r="O124" s="19">
        <v>3548</v>
      </c>
      <c r="P124">
        <f t="shared" si="1"/>
        <v>0.49532318860812508</v>
      </c>
    </row>
    <row r="125" spans="1:16">
      <c r="A125" s="19" t="s">
        <v>419</v>
      </c>
      <c r="B125" s="19">
        <v>2025</v>
      </c>
      <c r="C125" s="19">
        <v>97</v>
      </c>
      <c r="D125" s="19" t="s">
        <v>231</v>
      </c>
      <c r="E125" s="19" t="s">
        <v>420</v>
      </c>
      <c r="F125" s="19">
        <v>52.339930000000003</v>
      </c>
      <c r="G125" s="19">
        <v>4.8554250000000003</v>
      </c>
      <c r="H125" s="19" t="s">
        <v>102</v>
      </c>
      <c r="I125" s="19">
        <v>216</v>
      </c>
      <c r="J125" s="19">
        <v>0.44907399999999997</v>
      </c>
      <c r="K125" s="19">
        <v>10225</v>
      </c>
      <c r="L125" s="19">
        <v>4592</v>
      </c>
      <c r="M125" s="19">
        <v>24</v>
      </c>
      <c r="N125" s="19">
        <v>7163</v>
      </c>
      <c r="O125" s="19">
        <v>3217</v>
      </c>
      <c r="P125">
        <f t="shared" si="1"/>
        <v>0.44911349993019684</v>
      </c>
    </row>
    <row r="126" spans="1:16">
      <c r="A126" s="19" t="s">
        <v>421</v>
      </c>
      <c r="B126" s="19">
        <v>2025</v>
      </c>
      <c r="C126" s="19">
        <v>80</v>
      </c>
      <c r="D126" s="19" t="s">
        <v>196</v>
      </c>
      <c r="E126" s="19" t="s">
        <v>422</v>
      </c>
      <c r="F126" s="19">
        <v>52.382399999999997</v>
      </c>
      <c r="G126" s="19">
        <v>4.813072</v>
      </c>
      <c r="H126" s="19" t="s">
        <v>102</v>
      </c>
      <c r="I126" s="19">
        <v>216</v>
      </c>
      <c r="J126" s="19">
        <v>0.37036999999999998</v>
      </c>
      <c r="K126" s="19">
        <v>10225</v>
      </c>
      <c r="L126" s="19">
        <v>3787</v>
      </c>
      <c r="M126" s="19">
        <v>24</v>
      </c>
      <c r="N126" s="19">
        <v>7163</v>
      </c>
      <c r="O126" s="19">
        <v>2653</v>
      </c>
      <c r="P126">
        <f t="shared" si="1"/>
        <v>0.37037554097445202</v>
      </c>
    </row>
    <row r="127" spans="1:16">
      <c r="A127" s="19" t="s">
        <v>423</v>
      </c>
      <c r="B127" s="19">
        <v>2025</v>
      </c>
      <c r="C127" s="19">
        <v>80</v>
      </c>
      <c r="D127" s="19" t="s">
        <v>196</v>
      </c>
      <c r="E127" s="19" t="s">
        <v>424</v>
      </c>
      <c r="F127" s="19">
        <v>52.383000000000003</v>
      </c>
      <c r="G127" s="19">
        <v>4.8130490000000004</v>
      </c>
      <c r="H127" s="19" t="s">
        <v>102</v>
      </c>
      <c r="I127" s="19">
        <v>216</v>
      </c>
      <c r="J127" s="19">
        <v>0.37036999999999998</v>
      </c>
      <c r="K127" s="19">
        <v>10225</v>
      </c>
      <c r="L127" s="19">
        <v>3787</v>
      </c>
      <c r="M127" s="19">
        <v>24</v>
      </c>
      <c r="N127" s="19">
        <v>7163</v>
      </c>
      <c r="O127" s="19">
        <v>2653</v>
      </c>
      <c r="P127">
        <f t="shared" si="1"/>
        <v>0.37037554097445202</v>
      </c>
    </row>
    <row r="128" spans="1:16">
      <c r="A128" s="19" t="s">
        <v>425</v>
      </c>
      <c r="B128" s="19">
        <v>2025</v>
      </c>
      <c r="C128" s="19">
        <v>452</v>
      </c>
      <c r="D128" s="19" t="s">
        <v>175</v>
      </c>
      <c r="E128" s="19" t="s">
        <v>426</v>
      </c>
      <c r="F128" s="19">
        <v>52.391109999999998</v>
      </c>
      <c r="G128" s="19">
        <v>4.962974</v>
      </c>
      <c r="H128" s="19" t="s">
        <v>103</v>
      </c>
      <c r="I128" s="19">
        <v>350</v>
      </c>
      <c r="J128" s="19">
        <v>1.2914289999999999</v>
      </c>
      <c r="K128" s="19">
        <v>32297</v>
      </c>
      <c r="L128" s="19">
        <v>41709</v>
      </c>
      <c r="M128" s="19">
        <v>30</v>
      </c>
      <c r="N128" s="19">
        <v>26588</v>
      </c>
      <c r="O128" s="19">
        <v>34337</v>
      </c>
      <c r="P128">
        <f t="shared" si="1"/>
        <v>1.2914472694448624</v>
      </c>
    </row>
    <row r="129" spans="1:16">
      <c r="A129" s="19" t="s">
        <v>427</v>
      </c>
      <c r="B129" s="19">
        <v>2025</v>
      </c>
      <c r="C129" s="19">
        <v>390</v>
      </c>
      <c r="D129" s="19" t="s">
        <v>196</v>
      </c>
      <c r="E129" s="19" t="s">
        <v>428</v>
      </c>
      <c r="F129" s="19">
        <v>52.38814</v>
      </c>
      <c r="G129" s="19">
        <v>4.840897</v>
      </c>
      <c r="H129" s="19" t="s">
        <v>103</v>
      </c>
      <c r="I129" s="19">
        <v>350</v>
      </c>
      <c r="J129" s="19">
        <v>1.1142860000000001</v>
      </c>
      <c r="K129" s="19">
        <v>32297</v>
      </c>
      <c r="L129" s="19">
        <v>35988</v>
      </c>
      <c r="M129" s="19">
        <v>30</v>
      </c>
      <c r="N129" s="19">
        <v>26588</v>
      </c>
      <c r="O129" s="19">
        <v>29627</v>
      </c>
      <c r="P129">
        <f t="shared" si="1"/>
        <v>1.1142996840680006</v>
      </c>
    </row>
    <row r="130" spans="1:16">
      <c r="A130" s="19" t="s">
        <v>429</v>
      </c>
      <c r="B130" s="19">
        <v>2025</v>
      </c>
      <c r="C130" s="19">
        <v>54</v>
      </c>
      <c r="D130" s="19" t="s">
        <v>231</v>
      </c>
      <c r="E130" s="19" t="s">
        <v>430</v>
      </c>
      <c r="F130" s="19">
        <v>52.325949999999999</v>
      </c>
      <c r="G130" s="19">
        <v>4.876309</v>
      </c>
      <c r="H130" s="19" t="s">
        <v>102</v>
      </c>
      <c r="I130" s="19">
        <v>216</v>
      </c>
      <c r="J130" s="19">
        <v>0.25</v>
      </c>
      <c r="K130" s="19">
        <v>10225</v>
      </c>
      <c r="L130" s="19">
        <v>2556</v>
      </c>
      <c r="M130" s="19">
        <v>24</v>
      </c>
      <c r="N130" s="19">
        <v>7163</v>
      </c>
      <c r="O130" s="19">
        <v>1791</v>
      </c>
      <c r="P130">
        <f t="shared" si="1"/>
        <v>0.25003490157755132</v>
      </c>
    </row>
    <row r="131" spans="1:16">
      <c r="A131" s="19" t="s">
        <v>431</v>
      </c>
      <c r="B131" s="19">
        <v>2025</v>
      </c>
      <c r="C131" s="19">
        <v>64</v>
      </c>
      <c r="D131" s="19" t="s">
        <v>170</v>
      </c>
      <c r="E131" s="19" t="s">
        <v>432</v>
      </c>
      <c r="F131" s="19">
        <v>52.296860000000002</v>
      </c>
      <c r="G131" s="19">
        <v>4.9765449999999998</v>
      </c>
      <c r="H131" s="19" t="s">
        <v>102</v>
      </c>
      <c r="I131" s="19">
        <v>216</v>
      </c>
      <c r="J131" s="19">
        <v>0.296296</v>
      </c>
      <c r="K131" s="19">
        <v>10225</v>
      </c>
      <c r="L131" s="19">
        <v>3030</v>
      </c>
      <c r="M131" s="19">
        <v>24</v>
      </c>
      <c r="N131" s="19">
        <v>7163</v>
      </c>
      <c r="O131" s="19">
        <v>2122</v>
      </c>
      <c r="P131">
        <f t="shared" ref="P131:P194" si="2">O131/N131</f>
        <v>0.29624459025547956</v>
      </c>
    </row>
    <row r="132" spans="1:16">
      <c r="A132" s="19" t="s">
        <v>433</v>
      </c>
      <c r="B132" s="19">
        <v>2025</v>
      </c>
      <c r="C132" s="19">
        <v>507</v>
      </c>
      <c r="D132" s="19" t="s">
        <v>196</v>
      </c>
      <c r="E132" s="19" t="s">
        <v>434</v>
      </c>
      <c r="F132" s="19">
        <v>52.346580000000003</v>
      </c>
      <c r="G132" s="19">
        <v>4.83087</v>
      </c>
      <c r="H132" s="19" t="s">
        <v>104</v>
      </c>
      <c r="I132" s="19">
        <v>592</v>
      </c>
      <c r="J132" s="19">
        <v>0.85641900000000004</v>
      </c>
      <c r="K132" s="19">
        <v>75000</v>
      </c>
      <c r="L132" s="19">
        <v>64231</v>
      </c>
      <c r="M132" s="19">
        <v>36</v>
      </c>
      <c r="N132" s="19">
        <v>50000</v>
      </c>
      <c r="O132" s="19">
        <v>42821</v>
      </c>
      <c r="P132">
        <f t="shared" si="2"/>
        <v>0.85641999999999996</v>
      </c>
    </row>
    <row r="133" spans="1:16">
      <c r="A133" s="19" t="s">
        <v>435</v>
      </c>
      <c r="B133" s="19">
        <v>2025</v>
      </c>
      <c r="C133" s="19">
        <v>133</v>
      </c>
      <c r="D133" s="19" t="s">
        <v>300</v>
      </c>
      <c r="E133" s="19" t="s">
        <v>436</v>
      </c>
      <c r="F133" s="19">
        <v>52.324869999999997</v>
      </c>
      <c r="G133" s="19">
        <v>5.0400770000000001</v>
      </c>
      <c r="H133" s="19" t="s">
        <v>102</v>
      </c>
      <c r="I133" s="19">
        <v>216</v>
      </c>
      <c r="J133" s="19">
        <v>0.61574099999999998</v>
      </c>
      <c r="K133" s="19">
        <v>10225</v>
      </c>
      <c r="L133" s="19">
        <v>6296</v>
      </c>
      <c r="M133" s="19">
        <v>24</v>
      </c>
      <c r="N133" s="19">
        <v>7163</v>
      </c>
      <c r="O133" s="19">
        <v>4411</v>
      </c>
      <c r="P133">
        <f t="shared" si="2"/>
        <v>0.6158034343152311</v>
      </c>
    </row>
    <row r="134" spans="1:16">
      <c r="A134" s="19" t="s">
        <v>437</v>
      </c>
      <c r="B134" s="19">
        <v>2025</v>
      </c>
      <c r="C134" s="19">
        <v>205</v>
      </c>
      <c r="D134" s="19" t="s">
        <v>300</v>
      </c>
      <c r="E134" s="19" t="s">
        <v>438</v>
      </c>
      <c r="F134" s="19">
        <v>52.323770000000003</v>
      </c>
      <c r="G134" s="19">
        <v>5.0296669999999999</v>
      </c>
      <c r="H134" s="19" t="s">
        <v>102</v>
      </c>
      <c r="I134" s="19">
        <v>216</v>
      </c>
      <c r="J134" s="19">
        <v>0.94907399999999997</v>
      </c>
      <c r="K134" s="19">
        <v>10225</v>
      </c>
      <c r="L134" s="19">
        <v>9704</v>
      </c>
      <c r="M134" s="19">
        <v>24</v>
      </c>
      <c r="N134" s="19">
        <v>7163</v>
      </c>
      <c r="O134" s="19">
        <v>6798</v>
      </c>
      <c r="P134">
        <f t="shared" si="2"/>
        <v>0.94904369677509426</v>
      </c>
    </row>
    <row r="135" spans="1:16">
      <c r="A135" s="19" t="s">
        <v>439</v>
      </c>
      <c r="B135" s="19">
        <v>2025</v>
      </c>
      <c r="C135" s="19">
        <v>73</v>
      </c>
      <c r="D135" s="19" t="s">
        <v>300</v>
      </c>
      <c r="E135" s="19" t="s">
        <v>440</v>
      </c>
      <c r="F135" s="19">
        <v>52.321770000000001</v>
      </c>
      <c r="G135" s="19">
        <v>5.0275569999999998</v>
      </c>
      <c r="H135" s="19" t="s">
        <v>102</v>
      </c>
      <c r="I135" s="19">
        <v>216</v>
      </c>
      <c r="J135" s="19">
        <v>0.33796300000000001</v>
      </c>
      <c r="K135" s="19">
        <v>10225</v>
      </c>
      <c r="L135" s="19">
        <v>3456</v>
      </c>
      <c r="M135" s="19">
        <v>24</v>
      </c>
      <c r="N135" s="19">
        <v>7163</v>
      </c>
      <c r="O135" s="19">
        <v>2421</v>
      </c>
      <c r="P135">
        <f t="shared" si="2"/>
        <v>0.33798687700684071</v>
      </c>
    </row>
    <row r="136" spans="1:16">
      <c r="A136" s="19" t="s">
        <v>441</v>
      </c>
      <c r="B136" s="19">
        <v>2025</v>
      </c>
      <c r="C136" s="19">
        <v>236</v>
      </c>
      <c r="D136" s="19" t="s">
        <v>196</v>
      </c>
      <c r="E136" s="19" t="s">
        <v>442</v>
      </c>
      <c r="F136" s="19">
        <v>52.348680000000002</v>
      </c>
      <c r="G136" s="19">
        <v>4.8266580000000001</v>
      </c>
      <c r="H136" s="19" t="s">
        <v>102</v>
      </c>
      <c r="I136" s="19">
        <v>216</v>
      </c>
      <c r="J136" s="19">
        <v>1.0925929999999999</v>
      </c>
      <c r="K136" s="19">
        <v>10225</v>
      </c>
      <c r="L136" s="19">
        <v>11172</v>
      </c>
      <c r="M136" s="19">
        <v>24</v>
      </c>
      <c r="N136" s="19">
        <v>7163</v>
      </c>
      <c r="O136" s="19">
        <v>7826</v>
      </c>
      <c r="P136">
        <f t="shared" si="2"/>
        <v>1.0925589836660616</v>
      </c>
    </row>
    <row r="137" spans="1:16">
      <c r="A137" s="19" t="s">
        <v>443</v>
      </c>
      <c r="B137" s="19">
        <v>2025</v>
      </c>
      <c r="C137" s="19">
        <v>88</v>
      </c>
      <c r="D137" s="19" t="s">
        <v>193</v>
      </c>
      <c r="E137" s="19" t="s">
        <v>444</v>
      </c>
      <c r="F137" s="19">
        <v>52.334299999999999</v>
      </c>
      <c r="G137" s="19">
        <v>4.9171449999999997</v>
      </c>
      <c r="H137" s="19" t="s">
        <v>102</v>
      </c>
      <c r="I137" s="19">
        <v>216</v>
      </c>
      <c r="J137" s="19">
        <v>0.40740700000000002</v>
      </c>
      <c r="K137" s="19">
        <v>10225</v>
      </c>
      <c r="L137" s="19">
        <v>4166</v>
      </c>
      <c r="M137" s="19">
        <v>24</v>
      </c>
      <c r="N137" s="19">
        <v>7163</v>
      </c>
      <c r="O137" s="19">
        <v>2918</v>
      </c>
      <c r="P137">
        <f t="shared" si="2"/>
        <v>0.40737121317883568</v>
      </c>
    </row>
    <row r="138" spans="1:16">
      <c r="A138" s="19" t="s">
        <v>445</v>
      </c>
      <c r="B138" s="19">
        <v>2025</v>
      </c>
      <c r="C138" s="19">
        <v>250</v>
      </c>
      <c r="D138" s="19" t="s">
        <v>193</v>
      </c>
      <c r="E138" s="19" t="s">
        <v>446</v>
      </c>
      <c r="F138" s="19">
        <v>52.334919999999997</v>
      </c>
      <c r="G138" s="19">
        <v>4.9196520000000001</v>
      </c>
      <c r="H138" s="19" t="s">
        <v>102</v>
      </c>
      <c r="I138" s="19">
        <v>216</v>
      </c>
      <c r="J138" s="19">
        <v>1.1574070000000001</v>
      </c>
      <c r="K138" s="19">
        <v>10225</v>
      </c>
      <c r="L138" s="19">
        <v>11834</v>
      </c>
      <c r="M138" s="19">
        <v>24</v>
      </c>
      <c r="N138" s="19">
        <v>7163</v>
      </c>
      <c r="O138" s="19">
        <v>8291</v>
      </c>
      <c r="P138">
        <f t="shared" si="2"/>
        <v>1.1574759179114895</v>
      </c>
    </row>
    <row r="139" spans="1:16">
      <c r="A139" s="19" t="s">
        <v>447</v>
      </c>
      <c r="B139" s="19">
        <v>2025</v>
      </c>
      <c r="C139" s="19">
        <v>116</v>
      </c>
      <c r="D139" s="19" t="s">
        <v>175</v>
      </c>
      <c r="E139" s="19" t="s">
        <v>448</v>
      </c>
      <c r="F139" s="19">
        <v>52.391869999999997</v>
      </c>
      <c r="G139" s="19">
        <v>4.9584770000000002</v>
      </c>
      <c r="H139" s="19" t="s">
        <v>102</v>
      </c>
      <c r="I139" s="19">
        <v>216</v>
      </c>
      <c r="J139" s="19">
        <v>0.53703699999999999</v>
      </c>
      <c r="K139" s="19">
        <v>10225</v>
      </c>
      <c r="L139" s="19">
        <v>5491</v>
      </c>
      <c r="M139" s="19">
        <v>24</v>
      </c>
      <c r="N139" s="19">
        <v>7163</v>
      </c>
      <c r="O139" s="19">
        <v>3847</v>
      </c>
      <c r="P139">
        <f t="shared" si="2"/>
        <v>0.53706547535948623</v>
      </c>
    </row>
    <row r="140" spans="1:16">
      <c r="A140" s="19" t="s">
        <v>449</v>
      </c>
      <c r="B140" s="19">
        <v>2025</v>
      </c>
      <c r="C140" s="19">
        <v>64</v>
      </c>
      <c r="D140" s="19" t="s">
        <v>231</v>
      </c>
      <c r="E140" s="19" t="s">
        <v>450</v>
      </c>
      <c r="F140" s="19">
        <v>52.331879999999998</v>
      </c>
      <c r="G140" s="19">
        <v>4.8828740000000002</v>
      </c>
      <c r="H140" s="19" t="s">
        <v>102</v>
      </c>
      <c r="I140" s="19">
        <v>216</v>
      </c>
      <c r="J140" s="19">
        <v>0.296296</v>
      </c>
      <c r="K140" s="19">
        <v>10225</v>
      </c>
      <c r="L140" s="19">
        <v>3030</v>
      </c>
      <c r="M140" s="19">
        <v>24</v>
      </c>
      <c r="N140" s="19">
        <v>7163</v>
      </c>
      <c r="O140" s="19">
        <v>2122</v>
      </c>
      <c r="P140">
        <f t="shared" si="2"/>
        <v>0.29624459025547956</v>
      </c>
    </row>
    <row r="141" spans="1:16">
      <c r="A141" s="19" t="s">
        <v>451</v>
      </c>
      <c r="B141" s="19">
        <v>2025</v>
      </c>
      <c r="C141" s="19">
        <v>174</v>
      </c>
      <c r="D141" s="19" t="s">
        <v>196</v>
      </c>
      <c r="E141" s="19" t="s">
        <v>452</v>
      </c>
      <c r="F141" s="19">
        <v>52.362349999999999</v>
      </c>
      <c r="G141" s="19">
        <v>4.8411840000000002</v>
      </c>
      <c r="H141" s="19" t="s">
        <v>102</v>
      </c>
      <c r="I141" s="19">
        <v>216</v>
      </c>
      <c r="J141" s="19">
        <v>0.80555600000000005</v>
      </c>
      <c r="K141" s="19">
        <v>10225</v>
      </c>
      <c r="L141" s="19">
        <v>8237</v>
      </c>
      <c r="M141" s="19">
        <v>24</v>
      </c>
      <c r="N141" s="19">
        <v>7163</v>
      </c>
      <c r="O141" s="19">
        <v>5770</v>
      </c>
      <c r="P141">
        <f t="shared" si="2"/>
        <v>0.80552840988412677</v>
      </c>
    </row>
    <row r="142" spans="1:16">
      <c r="A142" s="19" t="s">
        <v>453</v>
      </c>
      <c r="B142" s="19">
        <v>2025</v>
      </c>
      <c r="C142" s="19">
        <v>340</v>
      </c>
      <c r="D142" s="19" t="s">
        <v>188</v>
      </c>
      <c r="E142" s="19" t="s">
        <v>454</v>
      </c>
      <c r="F142" s="19">
        <v>52.380830000000003</v>
      </c>
      <c r="G142" s="19">
        <v>4.8438119999999998</v>
      </c>
      <c r="H142" s="19" t="s">
        <v>103</v>
      </c>
      <c r="I142" s="19">
        <v>350</v>
      </c>
      <c r="J142" s="19">
        <v>0.97142899999999999</v>
      </c>
      <c r="K142" s="19">
        <v>32297</v>
      </c>
      <c r="L142" s="19">
        <v>31374</v>
      </c>
      <c r="M142" s="19">
        <v>30</v>
      </c>
      <c r="N142" s="19">
        <v>26588</v>
      </c>
      <c r="O142" s="19">
        <v>25828</v>
      </c>
      <c r="P142">
        <f t="shared" si="2"/>
        <v>0.97141567624492253</v>
      </c>
    </row>
    <row r="143" spans="1:16">
      <c r="A143" s="19" t="s">
        <v>455</v>
      </c>
      <c r="B143" s="19">
        <v>2025</v>
      </c>
      <c r="C143" s="19">
        <v>67</v>
      </c>
      <c r="D143" s="19" t="s">
        <v>170</v>
      </c>
      <c r="E143" s="19" t="s">
        <v>456</v>
      </c>
      <c r="F143" s="19">
        <v>52.315809999999999</v>
      </c>
      <c r="G143" s="19">
        <v>4.9584739999999998</v>
      </c>
      <c r="H143" s="19" t="s">
        <v>102</v>
      </c>
      <c r="I143" s="19">
        <v>216</v>
      </c>
      <c r="J143" s="19">
        <v>0.31018499999999999</v>
      </c>
      <c r="K143" s="19">
        <v>10225</v>
      </c>
      <c r="L143" s="19">
        <v>3172</v>
      </c>
      <c r="M143" s="19">
        <v>24</v>
      </c>
      <c r="N143" s="19">
        <v>7163</v>
      </c>
      <c r="O143" s="19">
        <v>2222</v>
      </c>
      <c r="P143">
        <f t="shared" si="2"/>
        <v>0.3102052212760017</v>
      </c>
    </row>
    <row r="144" spans="1:16">
      <c r="A144" s="19" t="s">
        <v>457</v>
      </c>
      <c r="B144" s="19">
        <v>2025</v>
      </c>
      <c r="C144" s="19">
        <v>69</v>
      </c>
      <c r="D144" s="19" t="s">
        <v>170</v>
      </c>
      <c r="E144" s="19" t="s">
        <v>458</v>
      </c>
      <c r="F144" s="19">
        <v>52.31532</v>
      </c>
      <c r="G144" s="19">
        <v>4.9588679999999998</v>
      </c>
      <c r="H144" s="19" t="s">
        <v>102</v>
      </c>
      <c r="I144" s="19">
        <v>216</v>
      </c>
      <c r="J144" s="19">
        <v>0.31944400000000001</v>
      </c>
      <c r="K144" s="19">
        <v>10225</v>
      </c>
      <c r="L144" s="19">
        <v>3266</v>
      </c>
      <c r="M144" s="19">
        <v>24</v>
      </c>
      <c r="N144" s="19">
        <v>7163</v>
      </c>
      <c r="O144" s="19">
        <v>2288</v>
      </c>
      <c r="P144">
        <f t="shared" si="2"/>
        <v>0.31941923774954628</v>
      </c>
    </row>
    <row r="145" spans="1:16">
      <c r="A145" s="19" t="s">
        <v>459</v>
      </c>
      <c r="B145" s="19">
        <v>2025</v>
      </c>
      <c r="C145" s="19">
        <v>94</v>
      </c>
      <c r="D145" s="19" t="s">
        <v>170</v>
      </c>
      <c r="E145" s="19" t="s">
        <v>460</v>
      </c>
      <c r="F145" s="19">
        <v>52.315649999999998</v>
      </c>
      <c r="G145" s="19">
        <v>4.9570699999999999</v>
      </c>
      <c r="H145" s="19" t="s">
        <v>102</v>
      </c>
      <c r="I145" s="19">
        <v>216</v>
      </c>
      <c r="J145" s="19">
        <v>0.43518499999999999</v>
      </c>
      <c r="K145" s="19">
        <v>10225</v>
      </c>
      <c r="L145" s="19">
        <v>4450</v>
      </c>
      <c r="M145" s="19">
        <v>24</v>
      </c>
      <c r="N145" s="19">
        <v>7163</v>
      </c>
      <c r="O145" s="19">
        <v>3117</v>
      </c>
      <c r="P145">
        <f t="shared" si="2"/>
        <v>0.43515286890967469</v>
      </c>
    </row>
    <row r="146" spans="1:16">
      <c r="A146" s="19" t="s">
        <v>461</v>
      </c>
      <c r="B146" s="19">
        <v>2025</v>
      </c>
      <c r="C146" s="19">
        <v>225</v>
      </c>
      <c r="D146" s="19" t="s">
        <v>175</v>
      </c>
      <c r="E146" s="19" t="s">
        <v>462</v>
      </c>
      <c r="F146" s="19">
        <v>52.396039999999999</v>
      </c>
      <c r="G146" s="19">
        <v>4.9089150000000004</v>
      </c>
      <c r="H146" s="19" t="s">
        <v>102</v>
      </c>
      <c r="I146" s="19">
        <v>216</v>
      </c>
      <c r="J146" s="19">
        <v>1.0416669999999999</v>
      </c>
      <c r="K146" s="19">
        <v>10225</v>
      </c>
      <c r="L146" s="19">
        <v>10651</v>
      </c>
      <c r="M146" s="19">
        <v>24</v>
      </c>
      <c r="N146" s="19">
        <v>7163</v>
      </c>
      <c r="O146" s="19">
        <v>7461</v>
      </c>
      <c r="P146">
        <f t="shared" si="2"/>
        <v>1.041602680441156</v>
      </c>
    </row>
    <row r="147" spans="1:16">
      <c r="A147" s="19" t="s">
        <v>463</v>
      </c>
      <c r="B147" s="19">
        <v>2025</v>
      </c>
      <c r="C147" s="19">
        <v>184</v>
      </c>
      <c r="D147" s="19" t="s">
        <v>175</v>
      </c>
      <c r="E147" s="19" t="s">
        <v>464</v>
      </c>
      <c r="F147" s="19">
        <v>52.395719999999997</v>
      </c>
      <c r="G147" s="19">
        <v>4.9098379999999997</v>
      </c>
      <c r="H147" s="19" t="s">
        <v>102</v>
      </c>
      <c r="I147" s="19">
        <v>216</v>
      </c>
      <c r="J147" s="19">
        <v>0.85185200000000005</v>
      </c>
      <c r="K147" s="19">
        <v>10225</v>
      </c>
      <c r="L147" s="19">
        <v>8710</v>
      </c>
      <c r="M147" s="19">
        <v>24</v>
      </c>
      <c r="N147" s="19">
        <v>7163</v>
      </c>
      <c r="O147" s="19">
        <v>6102</v>
      </c>
      <c r="P147">
        <f t="shared" si="2"/>
        <v>0.85187770487226022</v>
      </c>
    </row>
    <row r="148" spans="1:16">
      <c r="A148" s="19" t="s">
        <v>465</v>
      </c>
      <c r="B148" s="19">
        <v>2025</v>
      </c>
      <c r="C148" s="19">
        <v>384</v>
      </c>
      <c r="D148" s="19" t="s">
        <v>175</v>
      </c>
      <c r="E148" s="19" t="s">
        <v>466</v>
      </c>
      <c r="F148" s="19">
        <v>52.389119999999998</v>
      </c>
      <c r="G148" s="19">
        <v>4.9037920000000002</v>
      </c>
      <c r="H148" s="19" t="s">
        <v>103</v>
      </c>
      <c r="I148" s="19">
        <v>350</v>
      </c>
      <c r="J148" s="19">
        <v>1.097143</v>
      </c>
      <c r="K148" s="19">
        <v>32297</v>
      </c>
      <c r="L148" s="19">
        <v>35434</v>
      </c>
      <c r="M148" s="19">
        <v>30</v>
      </c>
      <c r="N148" s="19">
        <v>26588</v>
      </c>
      <c r="O148" s="19">
        <v>29171</v>
      </c>
      <c r="P148">
        <f t="shared" si="2"/>
        <v>1.0971490898149541</v>
      </c>
    </row>
    <row r="149" spans="1:16">
      <c r="A149" s="19" t="s">
        <v>467</v>
      </c>
      <c r="B149" s="19">
        <v>2025</v>
      </c>
      <c r="C149" s="19">
        <v>48</v>
      </c>
      <c r="D149" s="19" t="s">
        <v>175</v>
      </c>
      <c r="E149" s="19" t="s">
        <v>468</v>
      </c>
      <c r="F149" s="19">
        <v>52.383069999999996</v>
      </c>
      <c r="G149" s="19">
        <v>4.923997</v>
      </c>
      <c r="H149" s="19" t="s">
        <v>102</v>
      </c>
      <c r="I149" s="19">
        <v>216</v>
      </c>
      <c r="J149" s="19">
        <v>0.222222</v>
      </c>
      <c r="K149" s="19">
        <v>10225</v>
      </c>
      <c r="L149" s="19">
        <v>2272</v>
      </c>
      <c r="M149" s="19">
        <v>24</v>
      </c>
      <c r="N149" s="19">
        <v>7163</v>
      </c>
      <c r="O149" s="19">
        <v>1592</v>
      </c>
      <c r="P149">
        <f t="shared" si="2"/>
        <v>0.22225324584671227</v>
      </c>
    </row>
    <row r="150" spans="1:16">
      <c r="A150" s="19" t="s">
        <v>469</v>
      </c>
      <c r="B150" s="19">
        <v>2025</v>
      </c>
      <c r="C150" s="19">
        <v>109</v>
      </c>
      <c r="D150" s="19" t="s">
        <v>175</v>
      </c>
      <c r="E150" s="19" t="s">
        <v>470</v>
      </c>
      <c r="F150" s="19">
        <v>52.38317</v>
      </c>
      <c r="G150" s="19">
        <v>4.9246420000000004</v>
      </c>
      <c r="H150" s="19" t="s">
        <v>102</v>
      </c>
      <c r="I150" s="19">
        <v>216</v>
      </c>
      <c r="J150" s="19">
        <v>0.50463000000000002</v>
      </c>
      <c r="K150" s="19">
        <v>10225</v>
      </c>
      <c r="L150" s="19">
        <v>5160</v>
      </c>
      <c r="M150" s="19">
        <v>24</v>
      </c>
      <c r="N150" s="19">
        <v>7163</v>
      </c>
      <c r="O150" s="19">
        <v>3615</v>
      </c>
      <c r="P150">
        <f t="shared" si="2"/>
        <v>0.50467681139187492</v>
      </c>
    </row>
    <row r="151" spans="1:16">
      <c r="A151" s="19" t="s">
        <v>471</v>
      </c>
      <c r="B151" s="19">
        <v>2025</v>
      </c>
      <c r="C151" s="19">
        <v>174</v>
      </c>
      <c r="D151" s="19" t="s">
        <v>175</v>
      </c>
      <c r="E151" s="19" t="s">
        <v>472</v>
      </c>
      <c r="F151" s="19">
        <v>52.38411</v>
      </c>
      <c r="G151" s="19">
        <v>4.9252630000000002</v>
      </c>
      <c r="H151" s="19" t="s">
        <v>102</v>
      </c>
      <c r="I151" s="19">
        <v>216</v>
      </c>
      <c r="J151" s="19">
        <v>0.80555600000000005</v>
      </c>
      <c r="K151" s="19">
        <v>10225</v>
      </c>
      <c r="L151" s="19">
        <v>8237</v>
      </c>
      <c r="M151" s="19">
        <v>24</v>
      </c>
      <c r="N151" s="19">
        <v>7163</v>
      </c>
      <c r="O151" s="19">
        <v>5770</v>
      </c>
      <c r="P151">
        <f t="shared" si="2"/>
        <v>0.80552840988412677</v>
      </c>
    </row>
    <row r="152" spans="1:16">
      <c r="A152" s="19" t="s">
        <v>473</v>
      </c>
      <c r="B152" s="19">
        <v>2025</v>
      </c>
      <c r="C152" s="19">
        <v>318</v>
      </c>
      <c r="D152" s="19" t="s">
        <v>175</v>
      </c>
      <c r="E152" s="19" t="s">
        <v>474</v>
      </c>
      <c r="F152" s="19">
        <v>52.383389999999999</v>
      </c>
      <c r="G152" s="19">
        <v>4.9254829999999998</v>
      </c>
      <c r="H152" s="19" t="s">
        <v>103</v>
      </c>
      <c r="I152" s="19">
        <v>350</v>
      </c>
      <c r="J152" s="19">
        <v>0.90857100000000002</v>
      </c>
      <c r="K152" s="19">
        <v>32297</v>
      </c>
      <c r="L152" s="19">
        <v>29344</v>
      </c>
      <c r="M152" s="19">
        <v>30</v>
      </c>
      <c r="N152" s="19">
        <v>26588</v>
      </c>
      <c r="O152" s="19">
        <v>24157</v>
      </c>
      <c r="P152">
        <f t="shared" si="2"/>
        <v>0.90856777493606133</v>
      </c>
    </row>
    <row r="153" spans="1:16">
      <c r="A153" s="19" t="s">
        <v>475</v>
      </c>
      <c r="B153" s="19">
        <v>2025</v>
      </c>
      <c r="C153" s="19">
        <v>359</v>
      </c>
      <c r="D153" s="19" t="s">
        <v>175</v>
      </c>
      <c r="E153" s="19" t="s">
        <v>476</v>
      </c>
      <c r="F153" s="19">
        <v>52.383679999999998</v>
      </c>
      <c r="G153" s="19">
        <v>4.923057</v>
      </c>
      <c r="H153" s="19" t="s">
        <v>103</v>
      </c>
      <c r="I153" s="19">
        <v>350</v>
      </c>
      <c r="J153" s="19">
        <v>1.025714</v>
      </c>
      <c r="K153" s="19">
        <v>32297</v>
      </c>
      <c r="L153" s="19">
        <v>33127</v>
      </c>
      <c r="M153" s="19">
        <v>30</v>
      </c>
      <c r="N153" s="19">
        <v>26588</v>
      </c>
      <c r="O153" s="19">
        <v>27272</v>
      </c>
      <c r="P153">
        <f t="shared" si="2"/>
        <v>1.0257258913795697</v>
      </c>
    </row>
    <row r="154" spans="1:16">
      <c r="A154" s="19" t="s">
        <v>477</v>
      </c>
      <c r="B154" s="19">
        <v>2025</v>
      </c>
      <c r="C154" s="19">
        <v>72</v>
      </c>
      <c r="D154" s="19" t="s">
        <v>175</v>
      </c>
      <c r="E154" s="19" t="s">
        <v>478</v>
      </c>
      <c r="F154" s="19">
        <v>52.382950000000001</v>
      </c>
      <c r="G154" s="19">
        <v>4.9231490000000004</v>
      </c>
      <c r="H154" s="19" t="s">
        <v>102</v>
      </c>
      <c r="I154" s="19">
        <v>216</v>
      </c>
      <c r="J154" s="19">
        <v>0.33333299999999999</v>
      </c>
      <c r="K154" s="19">
        <v>10225</v>
      </c>
      <c r="L154" s="19">
        <v>3408</v>
      </c>
      <c r="M154" s="19">
        <v>24</v>
      </c>
      <c r="N154" s="19">
        <v>7163</v>
      </c>
      <c r="O154" s="19">
        <v>2388</v>
      </c>
      <c r="P154">
        <f t="shared" si="2"/>
        <v>0.33337986877006842</v>
      </c>
    </row>
    <row r="155" spans="1:16">
      <c r="A155" s="19" t="s">
        <v>479</v>
      </c>
      <c r="B155" s="19">
        <v>2025</v>
      </c>
      <c r="C155" s="19">
        <v>116</v>
      </c>
      <c r="D155" s="19" t="s">
        <v>175</v>
      </c>
      <c r="E155" s="19" t="s">
        <v>480</v>
      </c>
      <c r="F155" s="19">
        <v>52.384349999999998</v>
      </c>
      <c r="G155" s="19">
        <v>4.9208869999999996</v>
      </c>
      <c r="H155" s="19" t="s">
        <v>102</v>
      </c>
      <c r="I155" s="19">
        <v>216</v>
      </c>
      <c r="J155" s="19">
        <v>0.53703699999999999</v>
      </c>
      <c r="K155" s="19">
        <v>10225</v>
      </c>
      <c r="L155" s="19">
        <v>5491</v>
      </c>
      <c r="M155" s="19">
        <v>24</v>
      </c>
      <c r="N155" s="19">
        <v>7163</v>
      </c>
      <c r="O155" s="19">
        <v>3847</v>
      </c>
      <c r="P155">
        <f t="shared" si="2"/>
        <v>0.53706547535948623</v>
      </c>
    </row>
    <row r="156" spans="1:16">
      <c r="A156" s="19" t="s">
        <v>481</v>
      </c>
      <c r="B156" s="19">
        <v>2025</v>
      </c>
      <c r="C156" s="19">
        <v>100</v>
      </c>
      <c r="D156" s="19" t="s">
        <v>170</v>
      </c>
      <c r="E156" s="19" t="s">
        <v>482</v>
      </c>
      <c r="F156" s="19">
        <v>52.3123</v>
      </c>
      <c r="G156" s="19">
        <v>4.9834009999999997</v>
      </c>
      <c r="H156" s="19" t="s">
        <v>102</v>
      </c>
      <c r="I156" s="19">
        <v>216</v>
      </c>
      <c r="J156" s="19">
        <v>0.46296300000000001</v>
      </c>
      <c r="K156" s="19">
        <v>10225</v>
      </c>
      <c r="L156" s="19">
        <v>4734</v>
      </c>
      <c r="M156" s="19">
        <v>24</v>
      </c>
      <c r="N156" s="19">
        <v>7163</v>
      </c>
      <c r="O156" s="19">
        <v>3316</v>
      </c>
      <c r="P156">
        <f t="shared" si="2"/>
        <v>0.46293452464051377</v>
      </c>
    </row>
    <row r="157" spans="1:16">
      <c r="A157" s="19" t="s">
        <v>483</v>
      </c>
      <c r="B157" s="19">
        <v>2025</v>
      </c>
      <c r="C157" s="19">
        <v>160</v>
      </c>
      <c r="D157" s="19" t="s">
        <v>170</v>
      </c>
      <c r="E157" s="19" t="s">
        <v>484</v>
      </c>
      <c r="F157" s="19">
        <v>52.317549999999997</v>
      </c>
      <c r="G157" s="19">
        <v>4.9848869999999996</v>
      </c>
      <c r="H157" s="19" t="s">
        <v>102</v>
      </c>
      <c r="I157" s="19">
        <v>216</v>
      </c>
      <c r="J157" s="19">
        <v>0.74074099999999998</v>
      </c>
      <c r="K157" s="19">
        <v>10225</v>
      </c>
      <c r="L157" s="19">
        <v>7574</v>
      </c>
      <c r="M157" s="19">
        <v>24</v>
      </c>
      <c r="N157" s="19">
        <v>7163</v>
      </c>
      <c r="O157" s="19">
        <v>5306</v>
      </c>
      <c r="P157">
        <f t="shared" si="2"/>
        <v>0.74075108194890404</v>
      </c>
    </row>
    <row r="158" spans="1:16">
      <c r="A158" s="19" t="s">
        <v>485</v>
      </c>
      <c r="B158" s="19">
        <v>2025</v>
      </c>
      <c r="C158" s="19">
        <v>249</v>
      </c>
      <c r="D158" s="19" t="s">
        <v>196</v>
      </c>
      <c r="E158" s="19" t="s">
        <v>486</v>
      </c>
      <c r="F158" s="19">
        <v>52.388300000000001</v>
      </c>
      <c r="G158" s="19">
        <v>4.8264089999999999</v>
      </c>
      <c r="H158" s="19" t="s">
        <v>102</v>
      </c>
      <c r="I158" s="19">
        <v>216</v>
      </c>
      <c r="J158" s="19">
        <v>1.1527780000000001</v>
      </c>
      <c r="K158" s="19">
        <v>10225</v>
      </c>
      <c r="L158" s="19">
        <v>11787</v>
      </c>
      <c r="M158" s="19">
        <v>24</v>
      </c>
      <c r="N158" s="19">
        <v>7163</v>
      </c>
      <c r="O158" s="19">
        <v>8257</v>
      </c>
      <c r="P158">
        <f t="shared" si="2"/>
        <v>1.1527293033645121</v>
      </c>
    </row>
    <row r="159" spans="1:16">
      <c r="A159" s="19" t="s">
        <v>487</v>
      </c>
      <c r="B159" s="19">
        <v>2025</v>
      </c>
      <c r="C159" s="19">
        <v>178</v>
      </c>
      <c r="D159" s="19" t="s">
        <v>196</v>
      </c>
      <c r="E159" s="19" t="s">
        <v>488</v>
      </c>
      <c r="F159" s="19">
        <v>52.388390000000001</v>
      </c>
      <c r="G159" s="19">
        <v>4.831582</v>
      </c>
      <c r="H159" s="19" t="s">
        <v>102</v>
      </c>
      <c r="I159" s="19">
        <v>216</v>
      </c>
      <c r="J159" s="19">
        <v>0.82407399999999997</v>
      </c>
      <c r="K159" s="19">
        <v>10225</v>
      </c>
      <c r="L159" s="19">
        <v>8426</v>
      </c>
      <c r="M159" s="19">
        <v>24</v>
      </c>
      <c r="N159" s="19">
        <v>7163</v>
      </c>
      <c r="O159" s="19">
        <v>5903</v>
      </c>
      <c r="P159">
        <f t="shared" si="2"/>
        <v>0.82409604914142121</v>
      </c>
    </row>
    <row r="160" spans="1:16">
      <c r="A160" s="19" t="s">
        <v>489</v>
      </c>
      <c r="B160" s="19">
        <v>2026</v>
      </c>
      <c r="C160" s="19">
        <v>150</v>
      </c>
      <c r="D160" s="19" t="s">
        <v>175</v>
      </c>
      <c r="E160" s="19" t="s">
        <v>490</v>
      </c>
      <c r="F160" s="19">
        <v>52.414270000000002</v>
      </c>
      <c r="G160" s="19">
        <v>4.9230029999999996</v>
      </c>
      <c r="H160" s="19" t="s">
        <v>102</v>
      </c>
      <c r="I160" s="19">
        <v>216</v>
      </c>
      <c r="J160" s="19">
        <v>0.69444399999999995</v>
      </c>
      <c r="K160" s="19">
        <v>10225</v>
      </c>
      <c r="L160" s="19">
        <v>7101</v>
      </c>
      <c r="M160" s="19">
        <v>24</v>
      </c>
      <c r="N160" s="19">
        <v>7163</v>
      </c>
      <c r="O160" s="19">
        <v>4974</v>
      </c>
      <c r="P160">
        <f t="shared" si="2"/>
        <v>0.6944017869607706</v>
      </c>
    </row>
    <row r="161" spans="1:16">
      <c r="A161" s="19" t="s">
        <v>491</v>
      </c>
      <c r="B161" s="19">
        <v>2026</v>
      </c>
      <c r="C161" s="19">
        <v>275</v>
      </c>
      <c r="D161" s="19" t="s">
        <v>175</v>
      </c>
      <c r="E161" s="19" t="s">
        <v>492</v>
      </c>
      <c r="F161" s="19">
        <v>52.395820000000001</v>
      </c>
      <c r="G161" s="19">
        <v>4.8991540000000002</v>
      </c>
      <c r="H161" s="19" t="s">
        <v>102</v>
      </c>
      <c r="I161" s="19">
        <v>216</v>
      </c>
      <c r="J161" s="19">
        <v>1.2731479999999999</v>
      </c>
      <c r="K161" s="19">
        <v>10225</v>
      </c>
      <c r="L161" s="19">
        <v>13018</v>
      </c>
      <c r="M161" s="19">
        <v>24</v>
      </c>
      <c r="N161" s="19">
        <v>7163</v>
      </c>
      <c r="O161" s="19">
        <v>9120</v>
      </c>
      <c r="P161">
        <f t="shared" si="2"/>
        <v>1.273209549071618</v>
      </c>
    </row>
    <row r="162" spans="1:16">
      <c r="A162" s="19" t="s">
        <v>493</v>
      </c>
      <c r="B162" s="19">
        <v>2026</v>
      </c>
      <c r="C162" s="19">
        <v>85</v>
      </c>
      <c r="D162" s="19" t="s">
        <v>193</v>
      </c>
      <c r="E162" s="19" t="s">
        <v>494</v>
      </c>
      <c r="F162" s="19">
        <v>52.354939999999999</v>
      </c>
      <c r="G162" s="19">
        <v>5.018904</v>
      </c>
      <c r="H162" s="19" t="s">
        <v>102</v>
      </c>
      <c r="I162" s="19">
        <v>216</v>
      </c>
      <c r="J162" s="19">
        <v>0.39351900000000001</v>
      </c>
      <c r="K162" s="19">
        <v>10225</v>
      </c>
      <c r="L162" s="19">
        <v>4024</v>
      </c>
      <c r="M162" s="19">
        <v>24</v>
      </c>
      <c r="N162" s="19">
        <v>7163</v>
      </c>
      <c r="O162" s="19">
        <v>2819</v>
      </c>
      <c r="P162">
        <f t="shared" si="2"/>
        <v>0.3935501884685188</v>
      </c>
    </row>
    <row r="163" spans="1:16">
      <c r="A163" s="19" t="s">
        <v>495</v>
      </c>
      <c r="B163" s="19">
        <v>2026</v>
      </c>
      <c r="C163" s="19">
        <v>246</v>
      </c>
      <c r="D163" s="19" t="s">
        <v>175</v>
      </c>
      <c r="E163" s="19" t="s">
        <v>496</v>
      </c>
      <c r="F163" s="19">
        <v>52.402529999999999</v>
      </c>
      <c r="G163" s="19">
        <v>4.8930670000000003</v>
      </c>
      <c r="H163" s="19" t="s">
        <v>102</v>
      </c>
      <c r="I163" s="19">
        <v>216</v>
      </c>
      <c r="J163" s="19">
        <v>1.138889</v>
      </c>
      <c r="K163" s="19">
        <v>10225</v>
      </c>
      <c r="L163" s="19">
        <v>11645</v>
      </c>
      <c r="M163" s="19">
        <v>24</v>
      </c>
      <c r="N163" s="19">
        <v>7163</v>
      </c>
      <c r="O163" s="19">
        <v>8158</v>
      </c>
      <c r="P163">
        <f t="shared" si="2"/>
        <v>1.1389082786541951</v>
      </c>
    </row>
    <row r="164" spans="1:16">
      <c r="A164" s="19" t="s">
        <v>497</v>
      </c>
      <c r="B164" s="19">
        <v>2026</v>
      </c>
      <c r="C164" s="19">
        <v>56</v>
      </c>
      <c r="D164" s="19" t="s">
        <v>170</v>
      </c>
      <c r="E164" s="19" t="s">
        <v>498</v>
      </c>
      <c r="F164" s="19">
        <v>52.297429999999999</v>
      </c>
      <c r="G164" s="19">
        <v>4.9718499999999999</v>
      </c>
      <c r="H164" s="19" t="s">
        <v>102</v>
      </c>
      <c r="I164" s="19">
        <v>216</v>
      </c>
      <c r="J164" s="19">
        <v>0.25925900000000002</v>
      </c>
      <c r="K164" s="19">
        <v>10225</v>
      </c>
      <c r="L164" s="19">
        <v>2651</v>
      </c>
      <c r="M164" s="19">
        <v>24</v>
      </c>
      <c r="N164" s="19">
        <v>7163</v>
      </c>
      <c r="O164" s="19">
        <v>1857</v>
      </c>
      <c r="P164">
        <f t="shared" si="2"/>
        <v>0.2592489180510959</v>
      </c>
    </row>
    <row r="165" spans="1:16">
      <c r="A165" s="19" t="s">
        <v>499</v>
      </c>
      <c r="B165" s="19">
        <v>2026</v>
      </c>
      <c r="C165" s="19">
        <v>233</v>
      </c>
      <c r="D165" s="19" t="s">
        <v>193</v>
      </c>
      <c r="E165" s="19" t="s">
        <v>500</v>
      </c>
      <c r="F165" s="19">
        <v>52.334310000000002</v>
      </c>
      <c r="G165" s="19">
        <v>4.9142419999999998</v>
      </c>
      <c r="H165" s="19" t="s">
        <v>102</v>
      </c>
      <c r="I165" s="19">
        <v>216</v>
      </c>
      <c r="J165" s="19">
        <v>1.0787040000000001</v>
      </c>
      <c r="K165" s="19">
        <v>10225</v>
      </c>
      <c r="L165" s="19">
        <v>11030</v>
      </c>
      <c r="M165" s="19">
        <v>24</v>
      </c>
      <c r="N165" s="19">
        <v>7163</v>
      </c>
      <c r="O165" s="19">
        <v>7727</v>
      </c>
      <c r="P165">
        <f t="shared" si="2"/>
        <v>1.0787379589557449</v>
      </c>
    </row>
    <row r="166" spans="1:16">
      <c r="A166" s="19" t="s">
        <v>501</v>
      </c>
      <c r="B166" s="19">
        <v>2026</v>
      </c>
      <c r="C166" s="19">
        <v>204</v>
      </c>
      <c r="D166" s="19" t="s">
        <v>175</v>
      </c>
      <c r="E166" s="19" t="s">
        <v>502</v>
      </c>
      <c r="F166" s="19">
        <v>52.397460000000002</v>
      </c>
      <c r="G166" s="19">
        <v>4.9024640000000002</v>
      </c>
      <c r="H166" s="19" t="s">
        <v>102</v>
      </c>
      <c r="I166" s="19">
        <v>216</v>
      </c>
      <c r="J166" s="19">
        <v>0.94444399999999995</v>
      </c>
      <c r="K166" s="19">
        <v>10225</v>
      </c>
      <c r="L166" s="19">
        <v>9657</v>
      </c>
      <c r="M166" s="19">
        <v>24</v>
      </c>
      <c r="N166" s="19">
        <v>7163</v>
      </c>
      <c r="O166" s="19">
        <v>6765</v>
      </c>
      <c r="P166">
        <f t="shared" si="2"/>
        <v>0.94443668853832197</v>
      </c>
    </row>
    <row r="167" spans="1:16">
      <c r="A167" s="19" t="s">
        <v>503</v>
      </c>
      <c r="B167" s="19">
        <v>2026</v>
      </c>
      <c r="C167" s="19">
        <v>92</v>
      </c>
      <c r="D167" s="19" t="s">
        <v>175</v>
      </c>
      <c r="E167" s="19" t="s">
        <v>504</v>
      </c>
      <c r="F167" s="19">
        <v>52.396630000000002</v>
      </c>
      <c r="G167" s="19">
        <v>4.9028859999999996</v>
      </c>
      <c r="H167" s="19" t="s">
        <v>102</v>
      </c>
      <c r="I167" s="19">
        <v>216</v>
      </c>
      <c r="J167" s="19">
        <v>0.42592600000000003</v>
      </c>
      <c r="K167" s="19">
        <v>10225</v>
      </c>
      <c r="L167" s="19">
        <v>4355</v>
      </c>
      <c r="M167" s="19">
        <v>24</v>
      </c>
      <c r="N167" s="19">
        <v>7163</v>
      </c>
      <c r="O167" s="19">
        <v>3051</v>
      </c>
      <c r="P167">
        <f t="shared" si="2"/>
        <v>0.42593885243613011</v>
      </c>
    </row>
    <row r="168" spans="1:16">
      <c r="A168" s="19" t="s">
        <v>505</v>
      </c>
      <c r="B168" s="19">
        <v>2026</v>
      </c>
      <c r="C168" s="19">
        <v>152</v>
      </c>
      <c r="D168" s="19" t="s">
        <v>175</v>
      </c>
      <c r="E168" s="19" t="s">
        <v>506</v>
      </c>
      <c r="F168" s="19">
        <v>52.396940000000001</v>
      </c>
      <c r="G168" s="19">
        <v>4.9018839999999999</v>
      </c>
      <c r="H168" s="19" t="s">
        <v>102</v>
      </c>
      <c r="I168" s="19">
        <v>216</v>
      </c>
      <c r="J168" s="19">
        <v>0.703704</v>
      </c>
      <c r="K168" s="19">
        <v>10225</v>
      </c>
      <c r="L168" s="19">
        <v>7195</v>
      </c>
      <c r="M168" s="19">
        <v>24</v>
      </c>
      <c r="N168" s="19">
        <v>7163</v>
      </c>
      <c r="O168" s="19">
        <v>5041</v>
      </c>
      <c r="P168">
        <f t="shared" si="2"/>
        <v>0.70375540974452044</v>
      </c>
    </row>
    <row r="169" spans="1:16">
      <c r="A169" s="19" t="s">
        <v>507</v>
      </c>
      <c r="B169" s="19">
        <v>2026</v>
      </c>
      <c r="C169" s="19">
        <v>283</v>
      </c>
      <c r="D169" s="19" t="s">
        <v>196</v>
      </c>
      <c r="E169" s="19" t="s">
        <v>508</v>
      </c>
      <c r="F169" s="19">
        <v>52.377409999999998</v>
      </c>
      <c r="G169" s="19">
        <v>4.8205140000000002</v>
      </c>
      <c r="H169" s="19" t="s">
        <v>102</v>
      </c>
      <c r="I169" s="19">
        <v>216</v>
      </c>
      <c r="J169" s="19">
        <v>1.3101849999999999</v>
      </c>
      <c r="K169" s="19">
        <v>10225</v>
      </c>
      <c r="L169" s="19">
        <v>13397</v>
      </c>
      <c r="M169" s="19">
        <v>24</v>
      </c>
      <c r="N169" s="19">
        <v>7163</v>
      </c>
      <c r="O169" s="19">
        <v>9385</v>
      </c>
      <c r="P169">
        <f t="shared" si="2"/>
        <v>1.3102052212760016</v>
      </c>
    </row>
    <row r="170" spans="1:16">
      <c r="A170" s="19" t="s">
        <v>509</v>
      </c>
      <c r="B170" s="19">
        <v>2026</v>
      </c>
      <c r="C170" s="19">
        <v>316</v>
      </c>
      <c r="D170" s="19" t="s">
        <v>175</v>
      </c>
      <c r="E170" s="19" t="s">
        <v>510</v>
      </c>
      <c r="F170" s="19">
        <v>52.403590000000001</v>
      </c>
      <c r="G170" s="19">
        <v>4.8936380000000002</v>
      </c>
      <c r="H170" s="19" t="s">
        <v>103</v>
      </c>
      <c r="I170" s="19">
        <v>350</v>
      </c>
      <c r="J170" s="19">
        <v>0.90285700000000002</v>
      </c>
      <c r="K170" s="19">
        <v>32297</v>
      </c>
      <c r="L170" s="19">
        <v>29160</v>
      </c>
      <c r="M170" s="19">
        <v>30</v>
      </c>
      <c r="N170" s="19">
        <v>26588</v>
      </c>
      <c r="O170" s="19">
        <v>24005</v>
      </c>
      <c r="P170">
        <f t="shared" si="2"/>
        <v>0.90285091018504593</v>
      </c>
    </row>
    <row r="171" spans="1:16">
      <c r="A171" s="19" t="s">
        <v>511</v>
      </c>
      <c r="B171" s="19">
        <v>2026</v>
      </c>
      <c r="C171" s="19">
        <v>348</v>
      </c>
      <c r="D171" s="19" t="s">
        <v>175</v>
      </c>
      <c r="E171" s="19" t="s">
        <v>512</v>
      </c>
      <c r="F171" s="19">
        <v>52.40457</v>
      </c>
      <c r="G171" s="19">
        <v>4.891051</v>
      </c>
      <c r="H171" s="19" t="s">
        <v>103</v>
      </c>
      <c r="I171" s="19">
        <v>350</v>
      </c>
      <c r="J171" s="19">
        <v>0.994286</v>
      </c>
      <c r="K171" s="19">
        <v>32297</v>
      </c>
      <c r="L171" s="19">
        <v>32112</v>
      </c>
      <c r="M171" s="19">
        <v>30</v>
      </c>
      <c r="N171" s="19">
        <v>26588</v>
      </c>
      <c r="O171" s="19">
        <v>26436</v>
      </c>
      <c r="P171">
        <f t="shared" si="2"/>
        <v>0.99428313524898448</v>
      </c>
    </row>
    <row r="172" spans="1:16">
      <c r="A172" s="19" t="s">
        <v>513</v>
      </c>
      <c r="B172" s="19">
        <v>2026</v>
      </c>
      <c r="C172" s="19">
        <v>326</v>
      </c>
      <c r="D172" s="19" t="s">
        <v>175</v>
      </c>
      <c r="E172" s="19" t="s">
        <v>514</v>
      </c>
      <c r="F172" s="19">
        <v>52.383620000000001</v>
      </c>
      <c r="G172" s="19">
        <v>4.9200569999999999</v>
      </c>
      <c r="H172" s="19" t="s">
        <v>103</v>
      </c>
      <c r="I172" s="19">
        <v>350</v>
      </c>
      <c r="J172" s="19">
        <v>0.93142899999999995</v>
      </c>
      <c r="K172" s="19">
        <v>32297</v>
      </c>
      <c r="L172" s="19">
        <v>30082</v>
      </c>
      <c r="M172" s="19">
        <v>30</v>
      </c>
      <c r="N172" s="19">
        <v>26588</v>
      </c>
      <c r="O172" s="19">
        <v>24765</v>
      </c>
      <c r="P172">
        <f t="shared" si="2"/>
        <v>0.9314352339401234</v>
      </c>
    </row>
    <row r="173" spans="1:16">
      <c r="A173" s="19" t="s">
        <v>515</v>
      </c>
      <c r="B173" s="19">
        <v>2026</v>
      </c>
      <c r="C173" s="19">
        <v>176</v>
      </c>
      <c r="D173" s="19" t="s">
        <v>175</v>
      </c>
      <c r="E173" s="19" t="s">
        <v>516</v>
      </c>
      <c r="F173" s="19">
        <v>52.385449999999999</v>
      </c>
      <c r="G173" s="19">
        <v>4.9286120000000002</v>
      </c>
      <c r="H173" s="19" t="s">
        <v>102</v>
      </c>
      <c r="I173" s="19">
        <v>216</v>
      </c>
      <c r="J173" s="19">
        <v>0.81481499999999996</v>
      </c>
      <c r="K173" s="19">
        <v>10225</v>
      </c>
      <c r="L173" s="19">
        <v>8331</v>
      </c>
      <c r="M173" s="19">
        <v>24</v>
      </c>
      <c r="N173" s="19">
        <v>7163</v>
      </c>
      <c r="O173" s="19">
        <v>5837</v>
      </c>
      <c r="P173">
        <f t="shared" si="2"/>
        <v>0.81488203266787662</v>
      </c>
    </row>
    <row r="174" spans="1:16">
      <c r="A174" s="19" t="s">
        <v>517</v>
      </c>
      <c r="B174" s="19">
        <v>2026</v>
      </c>
      <c r="C174" s="19">
        <v>192</v>
      </c>
      <c r="D174" s="19" t="s">
        <v>193</v>
      </c>
      <c r="E174" s="19" t="s">
        <v>518</v>
      </c>
      <c r="F174" s="19">
        <v>52.368250000000003</v>
      </c>
      <c r="G174" s="19">
        <v>4.9482200000000001</v>
      </c>
      <c r="H174" s="19" t="s">
        <v>102</v>
      </c>
      <c r="I174" s="19">
        <v>216</v>
      </c>
      <c r="J174" s="19">
        <v>0.88888900000000004</v>
      </c>
      <c r="K174" s="19">
        <v>10225</v>
      </c>
      <c r="L174" s="19">
        <v>9089</v>
      </c>
      <c r="M174" s="19">
        <v>24</v>
      </c>
      <c r="N174" s="19">
        <v>7163</v>
      </c>
      <c r="O174" s="19">
        <v>6367</v>
      </c>
      <c r="P174">
        <f t="shared" si="2"/>
        <v>0.88887337707664382</v>
      </c>
    </row>
    <row r="175" spans="1:16">
      <c r="A175" s="19" t="s">
        <v>519</v>
      </c>
      <c r="B175" s="19">
        <v>2026</v>
      </c>
      <c r="C175" s="19">
        <v>120</v>
      </c>
      <c r="D175" s="19" t="s">
        <v>193</v>
      </c>
      <c r="E175" s="19" t="s">
        <v>520</v>
      </c>
      <c r="F175" s="19">
        <v>52.336709999999997</v>
      </c>
      <c r="G175" s="19">
        <v>4.9176120000000001</v>
      </c>
      <c r="H175" s="19" t="s">
        <v>102</v>
      </c>
      <c r="I175" s="19">
        <v>216</v>
      </c>
      <c r="J175" s="19">
        <v>0.55555600000000005</v>
      </c>
      <c r="K175" s="19">
        <v>10225</v>
      </c>
      <c r="L175" s="19">
        <v>5681</v>
      </c>
      <c r="M175" s="19">
        <v>24</v>
      </c>
      <c r="N175" s="19">
        <v>7163</v>
      </c>
      <c r="O175" s="19">
        <v>3979</v>
      </c>
      <c r="P175">
        <f t="shared" si="2"/>
        <v>0.55549350830657551</v>
      </c>
    </row>
    <row r="176" spans="1:16">
      <c r="A176" s="19" t="s">
        <v>521</v>
      </c>
      <c r="B176" s="19">
        <v>2026</v>
      </c>
      <c r="C176" s="19">
        <v>105</v>
      </c>
      <c r="D176" s="19" t="s">
        <v>193</v>
      </c>
      <c r="E176" s="19" t="s">
        <v>522</v>
      </c>
      <c r="F176" s="19">
        <v>52.336530000000003</v>
      </c>
      <c r="G176" s="19">
        <v>4.9169330000000002</v>
      </c>
      <c r="H176" s="19" t="s">
        <v>102</v>
      </c>
      <c r="I176" s="19">
        <v>216</v>
      </c>
      <c r="J176" s="19">
        <v>0.48611100000000002</v>
      </c>
      <c r="K176" s="19">
        <v>10225</v>
      </c>
      <c r="L176" s="19">
        <v>4970</v>
      </c>
      <c r="M176" s="19">
        <v>24</v>
      </c>
      <c r="N176" s="19">
        <v>7163</v>
      </c>
      <c r="O176" s="19">
        <v>3482</v>
      </c>
      <c r="P176">
        <f t="shared" si="2"/>
        <v>0.48610917213458049</v>
      </c>
    </row>
    <row r="177" spans="1:16">
      <c r="A177" s="19" t="s">
        <v>523</v>
      </c>
      <c r="B177" s="19">
        <v>2026</v>
      </c>
      <c r="C177" s="19">
        <v>301</v>
      </c>
      <c r="D177" s="19" t="s">
        <v>193</v>
      </c>
      <c r="E177" s="19" t="s">
        <v>524</v>
      </c>
      <c r="F177" s="19">
        <v>52.343179999999997</v>
      </c>
      <c r="G177" s="19">
        <v>4.9171589999999998</v>
      </c>
      <c r="H177" s="19" t="s">
        <v>103</v>
      </c>
      <c r="I177" s="19">
        <v>350</v>
      </c>
      <c r="J177" s="19">
        <v>0.86</v>
      </c>
      <c r="K177" s="19">
        <v>32297</v>
      </c>
      <c r="L177" s="19">
        <v>27775</v>
      </c>
      <c r="M177" s="19">
        <v>30</v>
      </c>
      <c r="N177" s="19">
        <v>26588</v>
      </c>
      <c r="O177" s="19">
        <v>22866</v>
      </c>
      <c r="P177">
        <f t="shared" si="2"/>
        <v>0.86001203550473893</v>
      </c>
    </row>
    <row r="178" spans="1:16">
      <c r="A178" s="19" t="s">
        <v>525</v>
      </c>
      <c r="B178" s="19">
        <v>2026</v>
      </c>
      <c r="C178" s="19">
        <v>46</v>
      </c>
      <c r="D178" s="19" t="s">
        <v>193</v>
      </c>
      <c r="E178" s="19" t="s">
        <v>526</v>
      </c>
      <c r="F178" s="19">
        <v>52.34686</v>
      </c>
      <c r="G178" s="19">
        <v>4.9146419999999997</v>
      </c>
      <c r="H178" s="19" t="s">
        <v>102</v>
      </c>
      <c r="I178" s="19">
        <v>216</v>
      </c>
      <c r="J178" s="19">
        <v>0.21296300000000001</v>
      </c>
      <c r="K178" s="19">
        <v>10225</v>
      </c>
      <c r="L178" s="19">
        <v>2178</v>
      </c>
      <c r="M178" s="19">
        <v>24</v>
      </c>
      <c r="N178" s="19">
        <v>7163</v>
      </c>
      <c r="O178" s="19">
        <v>1525</v>
      </c>
      <c r="P178">
        <f t="shared" si="2"/>
        <v>0.21289962306296245</v>
      </c>
    </row>
    <row r="179" spans="1:16">
      <c r="A179" s="19" t="s">
        <v>527</v>
      </c>
      <c r="B179" s="19">
        <v>2026</v>
      </c>
      <c r="C179" s="19">
        <v>335</v>
      </c>
      <c r="D179" s="19" t="s">
        <v>193</v>
      </c>
      <c r="E179" s="19" t="s">
        <v>528</v>
      </c>
      <c r="F179" s="19">
        <v>52.346910000000001</v>
      </c>
      <c r="G179" s="19">
        <v>4.915222</v>
      </c>
      <c r="H179" s="19" t="s">
        <v>103</v>
      </c>
      <c r="I179" s="19">
        <v>350</v>
      </c>
      <c r="J179" s="19">
        <v>0.95714299999999997</v>
      </c>
      <c r="K179" s="19">
        <v>32297</v>
      </c>
      <c r="L179" s="19">
        <v>30913</v>
      </c>
      <c r="M179" s="19">
        <v>30</v>
      </c>
      <c r="N179" s="19">
        <v>26588</v>
      </c>
      <c r="O179" s="19">
        <v>25449</v>
      </c>
      <c r="P179">
        <f t="shared" si="2"/>
        <v>0.95716112531969311</v>
      </c>
    </row>
    <row r="180" spans="1:16">
      <c r="A180" s="19" t="s">
        <v>529</v>
      </c>
      <c r="B180" s="19">
        <v>2026</v>
      </c>
      <c r="C180" s="19">
        <v>151</v>
      </c>
      <c r="D180" s="19" t="s">
        <v>188</v>
      </c>
      <c r="E180" s="19" t="s">
        <v>530</v>
      </c>
      <c r="F180" s="19">
        <v>52.377769999999998</v>
      </c>
      <c r="G180" s="19">
        <v>4.8647070000000001</v>
      </c>
      <c r="H180" s="19" t="s">
        <v>102</v>
      </c>
      <c r="I180" s="19">
        <v>216</v>
      </c>
      <c r="J180" s="19">
        <v>0.69907399999999997</v>
      </c>
      <c r="K180" s="19">
        <v>10225</v>
      </c>
      <c r="L180" s="19">
        <v>7148</v>
      </c>
      <c r="M180" s="19">
        <v>24</v>
      </c>
      <c r="N180" s="19">
        <v>7163</v>
      </c>
      <c r="O180" s="19">
        <v>5007</v>
      </c>
      <c r="P180">
        <f t="shared" si="2"/>
        <v>0.69900879519754289</v>
      </c>
    </row>
    <row r="181" spans="1:16">
      <c r="A181" s="19" t="s">
        <v>531</v>
      </c>
      <c r="B181" s="19">
        <v>2026</v>
      </c>
      <c r="C181" s="19">
        <v>47</v>
      </c>
      <c r="D181" s="19" t="s">
        <v>231</v>
      </c>
      <c r="E181" s="19" t="s">
        <v>532</v>
      </c>
      <c r="F181" s="19">
        <v>52.3416</v>
      </c>
      <c r="G181" s="19">
        <v>4.8546269999999998</v>
      </c>
      <c r="H181" s="19" t="s">
        <v>102</v>
      </c>
      <c r="I181" s="19">
        <v>216</v>
      </c>
      <c r="J181" s="19">
        <v>0.21759300000000001</v>
      </c>
      <c r="K181" s="19">
        <v>10225</v>
      </c>
      <c r="L181" s="19">
        <v>2225</v>
      </c>
      <c r="M181" s="19">
        <v>24</v>
      </c>
      <c r="N181" s="19">
        <v>7163</v>
      </c>
      <c r="O181" s="19">
        <v>1559</v>
      </c>
      <c r="P181">
        <f t="shared" si="2"/>
        <v>0.21764623760993998</v>
      </c>
    </row>
    <row r="182" spans="1:16">
      <c r="A182" s="19" t="s">
        <v>533</v>
      </c>
      <c r="B182" s="19">
        <v>2026</v>
      </c>
      <c r="C182" s="19">
        <v>85</v>
      </c>
      <c r="D182" s="19" t="s">
        <v>231</v>
      </c>
      <c r="E182" s="19" t="s">
        <v>534</v>
      </c>
      <c r="F182" s="19">
        <v>52.335799999999999</v>
      </c>
      <c r="G182" s="19">
        <v>4.8788580000000001</v>
      </c>
      <c r="H182" s="19" t="s">
        <v>102</v>
      </c>
      <c r="I182" s="19">
        <v>216</v>
      </c>
      <c r="J182" s="19">
        <v>0.39351900000000001</v>
      </c>
      <c r="K182" s="19">
        <v>10225</v>
      </c>
      <c r="L182" s="19">
        <v>4024</v>
      </c>
      <c r="M182" s="19">
        <v>24</v>
      </c>
      <c r="N182" s="19">
        <v>7163</v>
      </c>
      <c r="O182" s="19">
        <v>2819</v>
      </c>
      <c r="P182">
        <f t="shared" si="2"/>
        <v>0.3935501884685188</v>
      </c>
    </row>
    <row r="183" spans="1:16">
      <c r="A183" s="19" t="s">
        <v>535</v>
      </c>
      <c r="B183" s="19">
        <v>2026</v>
      </c>
      <c r="C183" s="19">
        <v>167</v>
      </c>
      <c r="D183" s="19" t="s">
        <v>231</v>
      </c>
      <c r="E183" s="19" t="s">
        <v>536</v>
      </c>
      <c r="F183" s="19">
        <v>52.33578</v>
      </c>
      <c r="G183" s="19">
        <v>4.8848520000000004</v>
      </c>
      <c r="H183" s="19" t="s">
        <v>102</v>
      </c>
      <c r="I183" s="19">
        <v>216</v>
      </c>
      <c r="J183" s="19">
        <v>0.77314799999999995</v>
      </c>
      <c r="K183" s="19">
        <v>10225</v>
      </c>
      <c r="L183" s="19">
        <v>7905</v>
      </c>
      <c r="M183" s="19">
        <v>24</v>
      </c>
      <c r="N183" s="19">
        <v>7163</v>
      </c>
      <c r="O183" s="19">
        <v>5538</v>
      </c>
      <c r="P183">
        <f t="shared" si="2"/>
        <v>0.77313974591651546</v>
      </c>
    </row>
    <row r="184" spans="1:16">
      <c r="A184" s="19" t="s">
        <v>537</v>
      </c>
      <c r="B184" s="19">
        <v>2026</v>
      </c>
      <c r="C184" s="19">
        <v>621</v>
      </c>
      <c r="D184" s="19" t="s">
        <v>231</v>
      </c>
      <c r="E184" s="19" t="s">
        <v>538</v>
      </c>
      <c r="F184" s="19">
        <v>52.336480000000002</v>
      </c>
      <c r="G184" s="19">
        <v>4.8677580000000003</v>
      </c>
      <c r="H184" s="19" t="s">
        <v>104</v>
      </c>
      <c r="I184" s="19">
        <v>592</v>
      </c>
      <c r="J184" s="19">
        <v>1.048986</v>
      </c>
      <c r="K184" s="19">
        <v>75000</v>
      </c>
      <c r="L184" s="19">
        <v>78674</v>
      </c>
      <c r="M184" s="19">
        <v>36</v>
      </c>
      <c r="N184" s="19">
        <v>50000</v>
      </c>
      <c r="O184" s="19">
        <v>52449</v>
      </c>
      <c r="P184">
        <f t="shared" si="2"/>
        <v>1.04898</v>
      </c>
    </row>
    <row r="185" spans="1:16">
      <c r="A185" s="19" t="s">
        <v>539</v>
      </c>
      <c r="B185" s="19">
        <v>2026</v>
      </c>
      <c r="C185" s="19">
        <v>90</v>
      </c>
      <c r="D185" s="19" t="s">
        <v>170</v>
      </c>
      <c r="E185" s="19" t="s">
        <v>540</v>
      </c>
      <c r="F185" s="19">
        <v>52.29739</v>
      </c>
      <c r="G185" s="19">
        <v>4.9627210000000002</v>
      </c>
      <c r="H185" s="19" t="s">
        <v>102</v>
      </c>
      <c r="I185" s="19">
        <v>216</v>
      </c>
      <c r="J185" s="19">
        <v>0.41666700000000001</v>
      </c>
      <c r="K185" s="19">
        <v>10225</v>
      </c>
      <c r="L185" s="19">
        <v>4260</v>
      </c>
      <c r="M185" s="19">
        <v>24</v>
      </c>
      <c r="N185" s="19">
        <v>7163</v>
      </c>
      <c r="O185" s="19">
        <v>2985</v>
      </c>
      <c r="P185">
        <f t="shared" si="2"/>
        <v>0.41672483596258553</v>
      </c>
    </row>
    <row r="186" spans="1:16">
      <c r="A186" s="19" t="s">
        <v>541</v>
      </c>
      <c r="B186" s="19">
        <v>2026</v>
      </c>
      <c r="C186" s="19">
        <v>214</v>
      </c>
      <c r="D186" s="19" t="s">
        <v>170</v>
      </c>
      <c r="E186" s="19" t="s">
        <v>542</v>
      </c>
      <c r="F186" s="19">
        <v>52.318190000000001</v>
      </c>
      <c r="G186" s="19">
        <v>4.9470679999999998</v>
      </c>
      <c r="H186" s="19" t="s">
        <v>102</v>
      </c>
      <c r="I186" s="19">
        <v>216</v>
      </c>
      <c r="J186" s="19">
        <v>0.99074099999999998</v>
      </c>
      <c r="K186" s="19">
        <v>10225</v>
      </c>
      <c r="L186" s="19">
        <v>10130</v>
      </c>
      <c r="M186" s="19">
        <v>24</v>
      </c>
      <c r="N186" s="19">
        <v>7163</v>
      </c>
      <c r="O186" s="19">
        <v>7097</v>
      </c>
      <c r="P186">
        <f t="shared" si="2"/>
        <v>0.99078598352645542</v>
      </c>
    </row>
    <row r="187" spans="1:16">
      <c r="A187" s="19" t="s">
        <v>543</v>
      </c>
      <c r="B187" s="19">
        <v>2026</v>
      </c>
      <c r="C187" s="19">
        <v>149</v>
      </c>
      <c r="D187" s="19" t="s">
        <v>231</v>
      </c>
      <c r="E187" s="19" t="s">
        <v>544</v>
      </c>
      <c r="F187" s="19">
        <v>52.341949999999997</v>
      </c>
      <c r="G187" s="19">
        <v>4.8449879999999999</v>
      </c>
      <c r="H187" s="19" t="s">
        <v>102</v>
      </c>
      <c r="I187" s="19">
        <v>216</v>
      </c>
      <c r="J187" s="19">
        <v>0.68981499999999996</v>
      </c>
      <c r="K187" s="19">
        <v>10225</v>
      </c>
      <c r="L187" s="19">
        <v>7053</v>
      </c>
      <c r="M187" s="19">
        <v>24</v>
      </c>
      <c r="N187" s="19">
        <v>7163</v>
      </c>
      <c r="O187" s="19">
        <v>4941</v>
      </c>
      <c r="P187">
        <f t="shared" si="2"/>
        <v>0.6897947787239983</v>
      </c>
    </row>
    <row r="188" spans="1:16">
      <c r="A188" s="19" t="s">
        <v>545</v>
      </c>
      <c r="B188" s="19">
        <v>2026</v>
      </c>
      <c r="C188" s="19">
        <v>140</v>
      </c>
      <c r="D188" s="19" t="s">
        <v>196</v>
      </c>
      <c r="E188" s="19" t="s">
        <v>546</v>
      </c>
      <c r="F188" s="19">
        <v>52.376950000000001</v>
      </c>
      <c r="G188" s="19">
        <v>4.8037200000000002</v>
      </c>
      <c r="H188" s="19" t="s">
        <v>102</v>
      </c>
      <c r="I188" s="19">
        <v>216</v>
      </c>
      <c r="J188" s="19">
        <v>0.64814799999999995</v>
      </c>
      <c r="K188" s="19">
        <v>10225</v>
      </c>
      <c r="L188" s="19">
        <v>6627</v>
      </c>
      <c r="M188" s="19">
        <v>24</v>
      </c>
      <c r="N188" s="19">
        <v>7163</v>
      </c>
      <c r="O188" s="19">
        <v>4643</v>
      </c>
      <c r="P188">
        <f t="shared" si="2"/>
        <v>0.64819209828284241</v>
      </c>
    </row>
    <row r="189" spans="1:16">
      <c r="A189" s="19" t="s">
        <v>547</v>
      </c>
      <c r="B189" s="19">
        <v>2026</v>
      </c>
      <c r="C189" s="19">
        <v>62</v>
      </c>
      <c r="D189" s="19" t="s">
        <v>193</v>
      </c>
      <c r="E189" s="19" t="s">
        <v>548</v>
      </c>
      <c r="F189" s="19">
        <v>52.375239999999998</v>
      </c>
      <c r="G189" s="19">
        <v>4.9621199999999996</v>
      </c>
      <c r="H189" s="19" t="s">
        <v>102</v>
      </c>
      <c r="I189" s="19">
        <v>216</v>
      </c>
      <c r="J189" s="19">
        <v>0.28703699999999999</v>
      </c>
      <c r="K189" s="19">
        <v>10225</v>
      </c>
      <c r="L189" s="19">
        <v>2935</v>
      </c>
      <c r="M189" s="19">
        <v>24</v>
      </c>
      <c r="N189" s="19">
        <v>7163</v>
      </c>
      <c r="O189" s="19">
        <v>2056</v>
      </c>
      <c r="P189">
        <f t="shared" si="2"/>
        <v>0.28703057378193492</v>
      </c>
    </row>
    <row r="190" spans="1:16">
      <c r="A190" s="19" t="s">
        <v>549</v>
      </c>
      <c r="B190" s="19">
        <v>2026</v>
      </c>
      <c r="C190" s="19">
        <v>144</v>
      </c>
      <c r="D190" s="19" t="s">
        <v>188</v>
      </c>
      <c r="E190" s="19" t="s">
        <v>550</v>
      </c>
      <c r="F190" s="19">
        <v>52.370899999999999</v>
      </c>
      <c r="G190" s="19">
        <v>4.8432339999999998</v>
      </c>
      <c r="H190" s="19" t="s">
        <v>102</v>
      </c>
      <c r="I190" s="19">
        <v>216</v>
      </c>
      <c r="J190" s="19">
        <v>0.66666700000000001</v>
      </c>
      <c r="K190" s="19">
        <v>10225</v>
      </c>
      <c r="L190" s="19">
        <v>6817</v>
      </c>
      <c r="M190" s="19">
        <v>24</v>
      </c>
      <c r="N190" s="19">
        <v>7163</v>
      </c>
      <c r="O190" s="19">
        <v>4775</v>
      </c>
      <c r="P190">
        <f t="shared" si="2"/>
        <v>0.66662013122993158</v>
      </c>
    </row>
    <row r="191" spans="1:16">
      <c r="A191" s="19" t="s">
        <v>551</v>
      </c>
      <c r="B191" s="19">
        <v>2026</v>
      </c>
      <c r="C191" s="19">
        <v>65</v>
      </c>
      <c r="D191" s="19" t="s">
        <v>231</v>
      </c>
      <c r="E191" s="19" t="s">
        <v>552</v>
      </c>
      <c r="F191" s="19">
        <v>52.340879999999999</v>
      </c>
      <c r="G191" s="19">
        <v>4.8667639999999999</v>
      </c>
      <c r="H191" s="19" t="s">
        <v>102</v>
      </c>
      <c r="I191" s="19">
        <v>216</v>
      </c>
      <c r="J191" s="19">
        <v>0.30092600000000003</v>
      </c>
      <c r="K191" s="19">
        <v>10225</v>
      </c>
      <c r="L191" s="19">
        <v>3077</v>
      </c>
      <c r="M191" s="19">
        <v>24</v>
      </c>
      <c r="N191" s="19">
        <v>7163</v>
      </c>
      <c r="O191" s="19">
        <v>2156</v>
      </c>
      <c r="P191">
        <f t="shared" si="2"/>
        <v>0.30099120480245706</v>
      </c>
    </row>
    <row r="192" spans="1:16">
      <c r="A192" s="19" t="s">
        <v>553</v>
      </c>
      <c r="B192" s="19">
        <v>2026</v>
      </c>
      <c r="C192" s="19">
        <v>92</v>
      </c>
      <c r="D192" s="19" t="s">
        <v>170</v>
      </c>
      <c r="E192" s="19" t="s">
        <v>554</v>
      </c>
      <c r="F192" s="19">
        <v>52.296599999999998</v>
      </c>
      <c r="G192" s="19">
        <v>4.974888</v>
      </c>
      <c r="H192" s="19" t="s">
        <v>102</v>
      </c>
      <c r="I192" s="19">
        <v>216</v>
      </c>
      <c r="J192" s="19">
        <v>0.42592600000000003</v>
      </c>
      <c r="K192" s="19">
        <v>10225</v>
      </c>
      <c r="L192" s="19">
        <v>4355</v>
      </c>
      <c r="M192" s="19">
        <v>24</v>
      </c>
      <c r="N192" s="19">
        <v>7163</v>
      </c>
      <c r="O192" s="19">
        <v>3051</v>
      </c>
      <c r="P192">
        <f t="shared" si="2"/>
        <v>0.42593885243613011</v>
      </c>
    </row>
    <row r="193" spans="1:16">
      <c r="A193" s="19" t="s">
        <v>555</v>
      </c>
      <c r="B193" s="19">
        <v>2026</v>
      </c>
      <c r="C193" s="19">
        <v>69</v>
      </c>
      <c r="D193" s="19" t="s">
        <v>170</v>
      </c>
      <c r="E193" s="19" t="s">
        <v>556</v>
      </c>
      <c r="F193" s="19">
        <v>52.294870000000003</v>
      </c>
      <c r="G193" s="19">
        <v>4.9758990000000001</v>
      </c>
      <c r="H193" s="19" t="s">
        <v>102</v>
      </c>
      <c r="I193" s="19">
        <v>216</v>
      </c>
      <c r="J193" s="19">
        <v>0.31944400000000001</v>
      </c>
      <c r="K193" s="19">
        <v>10225</v>
      </c>
      <c r="L193" s="19">
        <v>3266</v>
      </c>
      <c r="M193" s="19">
        <v>24</v>
      </c>
      <c r="N193" s="19">
        <v>7163</v>
      </c>
      <c r="O193" s="19">
        <v>2288</v>
      </c>
      <c r="P193">
        <f t="shared" si="2"/>
        <v>0.31941923774954628</v>
      </c>
    </row>
    <row r="194" spans="1:16">
      <c r="A194" s="19" t="s">
        <v>557</v>
      </c>
      <c r="B194" s="19">
        <v>2026</v>
      </c>
      <c r="C194" s="19">
        <v>110</v>
      </c>
      <c r="D194" s="19" t="s">
        <v>300</v>
      </c>
      <c r="E194" s="19" t="s">
        <v>558</v>
      </c>
      <c r="F194" s="19">
        <v>52.32564</v>
      </c>
      <c r="G194" s="19">
        <v>5.0308320000000002</v>
      </c>
      <c r="H194" s="19" t="s">
        <v>102</v>
      </c>
      <c r="I194" s="19">
        <v>216</v>
      </c>
      <c r="J194" s="19">
        <v>0.50925900000000002</v>
      </c>
      <c r="K194" s="19">
        <v>10225</v>
      </c>
      <c r="L194" s="19">
        <v>5207</v>
      </c>
      <c r="M194" s="19">
        <v>24</v>
      </c>
      <c r="N194" s="19">
        <v>7163</v>
      </c>
      <c r="O194" s="19">
        <v>3648</v>
      </c>
      <c r="P194">
        <f t="shared" si="2"/>
        <v>0.50928381962864722</v>
      </c>
    </row>
    <row r="195" spans="1:16">
      <c r="A195" s="19" t="s">
        <v>559</v>
      </c>
      <c r="B195" s="19">
        <v>2026</v>
      </c>
      <c r="C195" s="19">
        <v>84</v>
      </c>
      <c r="D195" s="19" t="s">
        <v>300</v>
      </c>
      <c r="E195" s="19" t="s">
        <v>560</v>
      </c>
      <c r="F195" s="19">
        <v>52.321770000000001</v>
      </c>
      <c r="G195" s="19">
        <v>5.0293080000000003</v>
      </c>
      <c r="H195" s="19" t="s">
        <v>102</v>
      </c>
      <c r="I195" s="19">
        <v>216</v>
      </c>
      <c r="J195" s="19">
        <v>0.38888899999999998</v>
      </c>
      <c r="K195" s="19">
        <v>10225</v>
      </c>
      <c r="L195" s="19">
        <v>3976</v>
      </c>
      <c r="M195" s="19">
        <v>24</v>
      </c>
      <c r="N195" s="19">
        <v>7163</v>
      </c>
      <c r="O195" s="19">
        <v>2786</v>
      </c>
      <c r="P195">
        <f t="shared" ref="P195:P258" si="3">O195/N195</f>
        <v>0.38894318023174645</v>
      </c>
    </row>
    <row r="196" spans="1:16">
      <c r="A196" s="19" t="s">
        <v>561</v>
      </c>
      <c r="B196" s="19">
        <v>2026</v>
      </c>
      <c r="C196" s="19">
        <v>205</v>
      </c>
      <c r="D196" s="19" t="s">
        <v>300</v>
      </c>
      <c r="E196" s="19" t="s">
        <v>562</v>
      </c>
      <c r="F196" s="19">
        <v>52.324300000000001</v>
      </c>
      <c r="G196" s="19">
        <v>5.0255010000000002</v>
      </c>
      <c r="H196" s="19" t="s">
        <v>102</v>
      </c>
      <c r="I196" s="19">
        <v>216</v>
      </c>
      <c r="J196" s="19">
        <v>0.94907399999999997</v>
      </c>
      <c r="K196" s="19">
        <v>10225</v>
      </c>
      <c r="L196" s="19">
        <v>9704</v>
      </c>
      <c r="M196" s="19">
        <v>24</v>
      </c>
      <c r="N196" s="19">
        <v>7163</v>
      </c>
      <c r="O196" s="19">
        <v>6798</v>
      </c>
      <c r="P196">
        <f t="shared" si="3"/>
        <v>0.94904369677509426</v>
      </c>
    </row>
    <row r="197" spans="1:16">
      <c r="A197" s="19" t="s">
        <v>563</v>
      </c>
      <c r="B197" s="19">
        <v>2026</v>
      </c>
      <c r="C197" s="19">
        <v>247</v>
      </c>
      <c r="D197" s="19" t="s">
        <v>196</v>
      </c>
      <c r="E197" s="19" t="s">
        <v>564</v>
      </c>
      <c r="F197" s="19">
        <v>52.342289999999998</v>
      </c>
      <c r="G197" s="19">
        <v>4.8291310000000003</v>
      </c>
      <c r="H197" s="19" t="s">
        <v>102</v>
      </c>
      <c r="I197" s="19">
        <v>216</v>
      </c>
      <c r="J197" s="19">
        <v>1.143519</v>
      </c>
      <c r="K197" s="19">
        <v>10225</v>
      </c>
      <c r="L197" s="19">
        <v>11692</v>
      </c>
      <c r="M197" s="19">
        <v>24</v>
      </c>
      <c r="N197" s="19">
        <v>7163</v>
      </c>
      <c r="O197" s="19">
        <v>8191</v>
      </c>
      <c r="P197">
        <f t="shared" si="3"/>
        <v>1.1435152868909675</v>
      </c>
    </row>
    <row r="198" spans="1:16">
      <c r="A198" s="19" t="s">
        <v>565</v>
      </c>
      <c r="B198" s="19">
        <v>2026</v>
      </c>
      <c r="C198" s="19">
        <v>148</v>
      </c>
      <c r="D198" s="19" t="s">
        <v>193</v>
      </c>
      <c r="E198" s="19" t="s">
        <v>566</v>
      </c>
      <c r="F198" s="19">
        <v>52.374110000000002</v>
      </c>
      <c r="G198" s="19">
        <v>4.9616230000000003</v>
      </c>
      <c r="H198" s="19" t="s">
        <v>102</v>
      </c>
      <c r="I198" s="19">
        <v>216</v>
      </c>
      <c r="J198" s="19">
        <v>0.68518500000000004</v>
      </c>
      <c r="K198" s="19">
        <v>10225</v>
      </c>
      <c r="L198" s="19">
        <v>7006</v>
      </c>
      <c r="M198" s="19">
        <v>24</v>
      </c>
      <c r="N198" s="19">
        <v>7163</v>
      </c>
      <c r="O198" s="19">
        <v>4908</v>
      </c>
      <c r="P198">
        <f t="shared" si="3"/>
        <v>0.68518777048722601</v>
      </c>
    </row>
    <row r="199" spans="1:16">
      <c r="A199" s="19" t="s">
        <v>567</v>
      </c>
      <c r="B199" s="19">
        <v>2026</v>
      </c>
      <c r="C199" s="19">
        <v>181</v>
      </c>
      <c r="D199" s="19" t="s">
        <v>193</v>
      </c>
      <c r="E199" s="19" t="s">
        <v>568</v>
      </c>
      <c r="F199" s="19">
        <v>52.375149999999998</v>
      </c>
      <c r="G199" s="19">
        <v>4.9614200000000004</v>
      </c>
      <c r="H199" s="19" t="s">
        <v>102</v>
      </c>
      <c r="I199" s="19">
        <v>216</v>
      </c>
      <c r="J199" s="19">
        <v>0.83796300000000001</v>
      </c>
      <c r="K199" s="19">
        <v>10225</v>
      </c>
      <c r="L199" s="19">
        <v>8568</v>
      </c>
      <c r="M199" s="19">
        <v>24</v>
      </c>
      <c r="N199" s="19">
        <v>7163</v>
      </c>
      <c r="O199" s="19">
        <v>6002</v>
      </c>
      <c r="P199">
        <f t="shared" si="3"/>
        <v>0.83791707385173808</v>
      </c>
    </row>
    <row r="200" spans="1:16">
      <c r="A200" s="19" t="s">
        <v>569</v>
      </c>
      <c r="B200" s="19">
        <v>2026</v>
      </c>
      <c r="C200" s="19">
        <v>444</v>
      </c>
      <c r="D200" s="19" t="s">
        <v>196</v>
      </c>
      <c r="E200" s="19" t="s">
        <v>570</v>
      </c>
      <c r="F200" s="19">
        <v>52.348930000000003</v>
      </c>
      <c r="G200" s="19">
        <v>4.8359899999999998</v>
      </c>
      <c r="H200" s="19" t="s">
        <v>103</v>
      </c>
      <c r="I200" s="19">
        <v>350</v>
      </c>
      <c r="J200" s="19">
        <v>1.2685709999999999</v>
      </c>
      <c r="K200" s="19">
        <v>32297</v>
      </c>
      <c r="L200" s="19">
        <v>40971</v>
      </c>
      <c r="M200" s="19">
        <v>30</v>
      </c>
      <c r="N200" s="19">
        <v>26588</v>
      </c>
      <c r="O200" s="19">
        <v>33729</v>
      </c>
      <c r="P200">
        <f t="shared" si="3"/>
        <v>1.2685798104408004</v>
      </c>
    </row>
    <row r="201" spans="1:16">
      <c r="A201" s="19" t="s">
        <v>571</v>
      </c>
      <c r="B201" s="19">
        <v>2026</v>
      </c>
      <c r="C201" s="19">
        <v>109</v>
      </c>
      <c r="D201" s="19" t="s">
        <v>196</v>
      </c>
      <c r="E201" s="19" t="s">
        <v>572</v>
      </c>
      <c r="F201" s="19">
        <v>52.358989999999999</v>
      </c>
      <c r="G201" s="19">
        <v>4.8004680000000004</v>
      </c>
      <c r="H201" s="19" t="s">
        <v>102</v>
      </c>
      <c r="I201" s="19">
        <v>216</v>
      </c>
      <c r="J201" s="19">
        <v>0.50463000000000002</v>
      </c>
      <c r="K201" s="19">
        <v>10225</v>
      </c>
      <c r="L201" s="19">
        <v>5160</v>
      </c>
      <c r="M201" s="19">
        <v>24</v>
      </c>
      <c r="N201" s="19">
        <v>7163</v>
      </c>
      <c r="O201" s="19">
        <v>3615</v>
      </c>
      <c r="P201">
        <f t="shared" si="3"/>
        <v>0.50467681139187492</v>
      </c>
    </row>
    <row r="202" spans="1:16">
      <c r="A202" s="19" t="s">
        <v>573</v>
      </c>
      <c r="B202" s="19">
        <v>2026</v>
      </c>
      <c r="C202" s="19">
        <v>55</v>
      </c>
      <c r="D202" s="19" t="s">
        <v>175</v>
      </c>
      <c r="E202" s="19" t="s">
        <v>574</v>
      </c>
      <c r="F202" s="19">
        <v>52.401009999999999</v>
      </c>
      <c r="G202" s="19">
        <v>4.9062229999999998</v>
      </c>
      <c r="H202" s="19" t="s">
        <v>102</v>
      </c>
      <c r="I202" s="19">
        <v>216</v>
      </c>
      <c r="J202" s="19">
        <v>0.25463000000000002</v>
      </c>
      <c r="K202" s="19">
        <v>10225</v>
      </c>
      <c r="L202" s="19">
        <v>2604</v>
      </c>
      <c r="M202" s="19">
        <v>24</v>
      </c>
      <c r="N202" s="19">
        <v>7163</v>
      </c>
      <c r="O202" s="19">
        <v>1824</v>
      </c>
      <c r="P202">
        <f t="shared" si="3"/>
        <v>0.25464190981432361</v>
      </c>
    </row>
    <row r="203" spans="1:16">
      <c r="A203" s="19" t="s">
        <v>575</v>
      </c>
      <c r="B203" s="19">
        <v>2026</v>
      </c>
      <c r="C203" s="19">
        <v>70</v>
      </c>
      <c r="D203" s="19" t="s">
        <v>231</v>
      </c>
      <c r="E203" s="19" t="s">
        <v>576</v>
      </c>
      <c r="F203" s="19">
        <v>52.336399999999998</v>
      </c>
      <c r="G203" s="19">
        <v>4.878285</v>
      </c>
      <c r="H203" s="19" t="s">
        <v>102</v>
      </c>
      <c r="I203" s="19">
        <v>216</v>
      </c>
      <c r="J203" s="19">
        <v>0.32407399999999997</v>
      </c>
      <c r="K203" s="19">
        <v>10225</v>
      </c>
      <c r="L203" s="19">
        <v>3314</v>
      </c>
      <c r="M203" s="19">
        <v>24</v>
      </c>
      <c r="N203" s="19">
        <v>7163</v>
      </c>
      <c r="O203" s="19">
        <v>2321</v>
      </c>
      <c r="P203">
        <f t="shared" si="3"/>
        <v>0.32402624598631857</v>
      </c>
    </row>
    <row r="204" spans="1:16">
      <c r="A204" s="19" t="s">
        <v>577</v>
      </c>
      <c r="B204" s="19">
        <v>2026</v>
      </c>
      <c r="C204" s="19">
        <v>80</v>
      </c>
      <c r="D204" s="19" t="s">
        <v>170</v>
      </c>
      <c r="E204" s="19" t="s">
        <v>578</v>
      </c>
      <c r="F204" s="19">
        <v>52.316070000000003</v>
      </c>
      <c r="G204" s="19">
        <v>4.9576260000000003</v>
      </c>
      <c r="H204" s="19" t="s">
        <v>102</v>
      </c>
      <c r="I204" s="19">
        <v>216</v>
      </c>
      <c r="J204" s="19">
        <v>0.37036999999999998</v>
      </c>
      <c r="K204" s="19">
        <v>10225</v>
      </c>
      <c r="L204" s="19">
        <v>3787</v>
      </c>
      <c r="M204" s="19">
        <v>24</v>
      </c>
      <c r="N204" s="19">
        <v>7163</v>
      </c>
      <c r="O204" s="19">
        <v>2653</v>
      </c>
      <c r="P204">
        <f t="shared" si="3"/>
        <v>0.37037554097445202</v>
      </c>
    </row>
    <row r="205" spans="1:16">
      <c r="A205" s="19" t="s">
        <v>579</v>
      </c>
      <c r="B205" s="19">
        <v>2026</v>
      </c>
      <c r="C205" s="19">
        <v>100</v>
      </c>
      <c r="D205" s="19" t="s">
        <v>196</v>
      </c>
      <c r="E205" s="19" t="s">
        <v>580</v>
      </c>
      <c r="F205" s="19">
        <v>52.376649999999998</v>
      </c>
      <c r="G205" s="19">
        <v>4.825075</v>
      </c>
      <c r="H205" s="19" t="s">
        <v>102</v>
      </c>
      <c r="I205" s="19">
        <v>216</v>
      </c>
      <c r="J205" s="19">
        <v>0.46296300000000001</v>
      </c>
      <c r="K205" s="19">
        <v>10225</v>
      </c>
      <c r="L205" s="19">
        <v>4734</v>
      </c>
      <c r="M205" s="19">
        <v>24</v>
      </c>
      <c r="N205" s="19">
        <v>7163</v>
      </c>
      <c r="O205" s="19">
        <v>3316</v>
      </c>
      <c r="P205">
        <f t="shared" si="3"/>
        <v>0.46293452464051377</v>
      </c>
    </row>
    <row r="206" spans="1:16">
      <c r="A206" s="19" t="s">
        <v>581</v>
      </c>
      <c r="B206" s="19">
        <v>2026</v>
      </c>
      <c r="C206" s="19">
        <v>146</v>
      </c>
      <c r="D206" s="19" t="s">
        <v>196</v>
      </c>
      <c r="E206" s="19" t="s">
        <v>582</v>
      </c>
      <c r="F206" s="19">
        <v>52.3748</v>
      </c>
      <c r="G206" s="19">
        <v>4.8296270000000003</v>
      </c>
      <c r="H206" s="19" t="s">
        <v>102</v>
      </c>
      <c r="I206" s="19">
        <v>216</v>
      </c>
      <c r="J206" s="19">
        <v>0.67592600000000003</v>
      </c>
      <c r="K206" s="19">
        <v>10225</v>
      </c>
      <c r="L206" s="19">
        <v>6911</v>
      </c>
      <c r="M206" s="19">
        <v>24</v>
      </c>
      <c r="N206" s="19">
        <v>7163</v>
      </c>
      <c r="O206" s="19">
        <v>4842</v>
      </c>
      <c r="P206">
        <f t="shared" si="3"/>
        <v>0.67597375401368143</v>
      </c>
    </row>
    <row r="207" spans="1:16">
      <c r="A207" s="19" t="s">
        <v>583</v>
      </c>
      <c r="B207" s="19">
        <v>2026</v>
      </c>
      <c r="C207" s="19">
        <v>257</v>
      </c>
      <c r="D207" s="19" t="s">
        <v>196</v>
      </c>
      <c r="E207" s="19" t="s">
        <v>584</v>
      </c>
      <c r="F207" s="19">
        <v>52.375010000000003</v>
      </c>
      <c r="G207" s="19">
        <v>4.8282660000000002</v>
      </c>
      <c r="H207" s="19" t="s">
        <v>102</v>
      </c>
      <c r="I207" s="19">
        <v>216</v>
      </c>
      <c r="J207" s="19">
        <v>1.1898150000000001</v>
      </c>
      <c r="K207" s="19">
        <v>10225</v>
      </c>
      <c r="L207" s="19">
        <v>12166</v>
      </c>
      <c r="M207" s="19">
        <v>24</v>
      </c>
      <c r="N207" s="19">
        <v>7163</v>
      </c>
      <c r="O207" s="19">
        <v>8523</v>
      </c>
      <c r="P207">
        <f t="shared" si="3"/>
        <v>1.1898645818791009</v>
      </c>
    </row>
    <row r="208" spans="1:16">
      <c r="A208" s="19" t="s">
        <v>585</v>
      </c>
      <c r="B208" s="19">
        <v>2026</v>
      </c>
      <c r="C208" s="19">
        <v>60</v>
      </c>
      <c r="D208" s="19" t="s">
        <v>196</v>
      </c>
      <c r="E208" s="19" t="s">
        <v>586</v>
      </c>
      <c r="F208" s="19">
        <v>52.376399999999997</v>
      </c>
      <c r="G208" s="19">
        <v>4.825164</v>
      </c>
      <c r="H208" s="19" t="s">
        <v>102</v>
      </c>
      <c r="I208" s="19">
        <v>216</v>
      </c>
      <c r="J208" s="19">
        <v>0.27777800000000002</v>
      </c>
      <c r="K208" s="19">
        <v>10225</v>
      </c>
      <c r="L208" s="19">
        <v>2840</v>
      </c>
      <c r="M208" s="19">
        <v>24</v>
      </c>
      <c r="N208" s="19">
        <v>7163</v>
      </c>
      <c r="O208" s="19">
        <v>1990</v>
      </c>
      <c r="P208">
        <f t="shared" si="3"/>
        <v>0.27781655730839033</v>
      </c>
    </row>
    <row r="209" spans="1:16">
      <c r="A209" s="19" t="s">
        <v>587</v>
      </c>
      <c r="B209" s="19">
        <v>2026</v>
      </c>
      <c r="C209" s="19">
        <v>73</v>
      </c>
      <c r="D209" s="19" t="s">
        <v>175</v>
      </c>
      <c r="E209" s="19" t="s">
        <v>588</v>
      </c>
      <c r="F209" s="19">
        <v>52.39714</v>
      </c>
      <c r="G209" s="19">
        <v>4.90334</v>
      </c>
      <c r="H209" s="19" t="s">
        <v>102</v>
      </c>
      <c r="I209" s="19">
        <v>216</v>
      </c>
      <c r="J209" s="19">
        <v>0.33796300000000001</v>
      </c>
      <c r="K209" s="19">
        <v>10225</v>
      </c>
      <c r="L209" s="19">
        <v>3456</v>
      </c>
      <c r="M209" s="19">
        <v>24</v>
      </c>
      <c r="N209" s="19">
        <v>7163</v>
      </c>
      <c r="O209" s="19">
        <v>2421</v>
      </c>
      <c r="P209">
        <f t="shared" si="3"/>
        <v>0.33798687700684071</v>
      </c>
    </row>
    <row r="210" spans="1:16">
      <c r="A210" s="19" t="s">
        <v>589</v>
      </c>
      <c r="B210" s="19">
        <v>2026</v>
      </c>
      <c r="C210" s="19">
        <v>55</v>
      </c>
      <c r="D210" s="19" t="s">
        <v>175</v>
      </c>
      <c r="E210" s="19" t="s">
        <v>590</v>
      </c>
      <c r="F210" s="19">
        <v>52.400620000000004</v>
      </c>
      <c r="G210" s="19">
        <v>4.9062150000000004</v>
      </c>
      <c r="H210" s="19" t="s">
        <v>102</v>
      </c>
      <c r="I210" s="19">
        <v>216</v>
      </c>
      <c r="J210" s="19">
        <v>0.25463000000000002</v>
      </c>
      <c r="K210" s="19">
        <v>10225</v>
      </c>
      <c r="L210" s="19">
        <v>2604</v>
      </c>
      <c r="M210" s="19">
        <v>24</v>
      </c>
      <c r="N210" s="19">
        <v>7163</v>
      </c>
      <c r="O210" s="19">
        <v>1824</v>
      </c>
      <c r="P210">
        <f t="shared" si="3"/>
        <v>0.25464190981432361</v>
      </c>
    </row>
    <row r="211" spans="1:16">
      <c r="A211" s="19" t="s">
        <v>591</v>
      </c>
      <c r="B211" s="19">
        <v>2026</v>
      </c>
      <c r="C211" s="19">
        <v>124</v>
      </c>
      <c r="D211" s="19" t="s">
        <v>175</v>
      </c>
      <c r="E211" s="19" t="s">
        <v>592</v>
      </c>
      <c r="F211" s="19">
        <v>52.382750000000001</v>
      </c>
      <c r="G211" s="19">
        <v>4.9214739999999999</v>
      </c>
      <c r="H211" s="19" t="s">
        <v>102</v>
      </c>
      <c r="I211" s="19">
        <v>216</v>
      </c>
      <c r="J211" s="19">
        <v>0.57407399999999997</v>
      </c>
      <c r="K211" s="19">
        <v>10225</v>
      </c>
      <c r="L211" s="19">
        <v>5870</v>
      </c>
      <c r="M211" s="19">
        <v>24</v>
      </c>
      <c r="N211" s="19">
        <v>7163</v>
      </c>
      <c r="O211" s="19">
        <v>4112</v>
      </c>
      <c r="P211">
        <f t="shared" si="3"/>
        <v>0.57406114756386983</v>
      </c>
    </row>
    <row r="212" spans="1:16">
      <c r="A212" s="19" t="s">
        <v>593</v>
      </c>
      <c r="B212" s="19">
        <v>2026</v>
      </c>
      <c r="C212" s="19">
        <v>80</v>
      </c>
      <c r="D212" s="19" t="s">
        <v>170</v>
      </c>
      <c r="E212" s="19" t="s">
        <v>594</v>
      </c>
      <c r="F212" s="19">
        <v>52.299140000000001</v>
      </c>
      <c r="G212" s="19">
        <v>4.9630099999999997</v>
      </c>
      <c r="H212" s="19" t="s">
        <v>102</v>
      </c>
      <c r="I212" s="19">
        <v>216</v>
      </c>
      <c r="J212" s="19">
        <v>0.37036999999999998</v>
      </c>
      <c r="K212" s="19">
        <v>10225</v>
      </c>
      <c r="L212" s="19">
        <v>3787</v>
      </c>
      <c r="M212" s="19">
        <v>24</v>
      </c>
      <c r="N212" s="19">
        <v>7163</v>
      </c>
      <c r="O212" s="19">
        <v>2653</v>
      </c>
      <c r="P212">
        <f t="shared" si="3"/>
        <v>0.37037554097445202</v>
      </c>
    </row>
    <row r="213" spans="1:16">
      <c r="A213" s="19" t="s">
        <v>595</v>
      </c>
      <c r="B213" s="19">
        <v>2026</v>
      </c>
      <c r="C213" s="19">
        <v>168</v>
      </c>
      <c r="D213" s="19" t="s">
        <v>170</v>
      </c>
      <c r="E213" s="19" t="s">
        <v>596</v>
      </c>
      <c r="F213" s="19">
        <v>52.316270000000003</v>
      </c>
      <c r="G213" s="19">
        <v>4.9797330000000004</v>
      </c>
      <c r="H213" s="19" t="s">
        <v>102</v>
      </c>
      <c r="I213" s="19">
        <v>216</v>
      </c>
      <c r="J213" s="19">
        <v>0.77777799999999997</v>
      </c>
      <c r="K213" s="19">
        <v>10225</v>
      </c>
      <c r="L213" s="19">
        <v>7953</v>
      </c>
      <c r="M213" s="19">
        <v>24</v>
      </c>
      <c r="N213" s="19">
        <v>7163</v>
      </c>
      <c r="O213" s="19">
        <v>5571</v>
      </c>
      <c r="P213">
        <f t="shared" si="3"/>
        <v>0.77774675415328776</v>
      </c>
    </row>
    <row r="214" spans="1:16">
      <c r="A214" s="19" t="s">
        <v>597</v>
      </c>
      <c r="B214" s="19">
        <v>2026</v>
      </c>
      <c r="C214" s="19">
        <v>290</v>
      </c>
      <c r="D214" s="19" t="s">
        <v>170</v>
      </c>
      <c r="E214" s="19" t="s">
        <v>598</v>
      </c>
      <c r="F214" s="19">
        <v>52.314610000000002</v>
      </c>
      <c r="G214" s="19">
        <v>4.9763539999999997</v>
      </c>
      <c r="H214" s="19" t="s">
        <v>102</v>
      </c>
      <c r="I214" s="19">
        <v>216</v>
      </c>
      <c r="J214" s="19">
        <v>1.3425929999999999</v>
      </c>
      <c r="K214" s="19">
        <v>10225</v>
      </c>
      <c r="L214" s="19">
        <v>13728</v>
      </c>
      <c r="M214" s="19">
        <v>24</v>
      </c>
      <c r="N214" s="19">
        <v>7163</v>
      </c>
      <c r="O214" s="19">
        <v>9617</v>
      </c>
      <c r="P214">
        <f t="shared" si="3"/>
        <v>1.342593885243613</v>
      </c>
    </row>
    <row r="215" spans="1:16">
      <c r="A215" s="19" t="s">
        <v>599</v>
      </c>
      <c r="B215" s="19">
        <v>2026</v>
      </c>
      <c r="C215" s="19">
        <v>161</v>
      </c>
      <c r="D215" s="19" t="s">
        <v>170</v>
      </c>
      <c r="E215" s="19" t="s">
        <v>600</v>
      </c>
      <c r="F215" s="19">
        <v>52.315350000000002</v>
      </c>
      <c r="G215" s="19">
        <v>4.9788670000000002</v>
      </c>
      <c r="H215" s="19" t="s">
        <v>102</v>
      </c>
      <c r="I215" s="19">
        <v>216</v>
      </c>
      <c r="J215" s="19">
        <v>0.74536999999999998</v>
      </c>
      <c r="K215" s="19">
        <v>10225</v>
      </c>
      <c r="L215" s="19">
        <v>7621</v>
      </c>
      <c r="M215" s="19">
        <v>24</v>
      </c>
      <c r="N215" s="19">
        <v>7163</v>
      </c>
      <c r="O215" s="19">
        <v>5339</v>
      </c>
      <c r="P215">
        <f t="shared" si="3"/>
        <v>0.74535809018567645</v>
      </c>
    </row>
    <row r="216" spans="1:16">
      <c r="A216" s="19" t="s">
        <v>601</v>
      </c>
      <c r="B216" s="19">
        <v>2027</v>
      </c>
      <c r="C216" s="19">
        <v>286</v>
      </c>
      <c r="D216" s="19" t="s">
        <v>175</v>
      </c>
      <c r="E216" s="19" t="s">
        <v>602</v>
      </c>
      <c r="F216" s="19">
        <v>52.411549999999998</v>
      </c>
      <c r="G216" s="19">
        <v>4.9215660000000003</v>
      </c>
      <c r="H216" s="19" t="s">
        <v>102</v>
      </c>
      <c r="I216" s="19">
        <v>216</v>
      </c>
      <c r="J216" s="19">
        <v>1.324074</v>
      </c>
      <c r="K216" s="19">
        <v>10225</v>
      </c>
      <c r="L216" s="19">
        <v>13539</v>
      </c>
      <c r="M216" s="19">
        <v>24</v>
      </c>
      <c r="N216" s="19">
        <v>7163</v>
      </c>
      <c r="O216" s="19">
        <v>9484</v>
      </c>
      <c r="P216">
        <f t="shared" si="3"/>
        <v>1.3240262459863186</v>
      </c>
    </row>
    <row r="217" spans="1:16">
      <c r="A217" s="19" t="s">
        <v>603</v>
      </c>
      <c r="B217" s="19">
        <v>2027</v>
      </c>
      <c r="C217" s="19">
        <v>199</v>
      </c>
      <c r="D217" s="19" t="s">
        <v>175</v>
      </c>
      <c r="E217" s="19" t="s">
        <v>604</v>
      </c>
      <c r="F217" s="19">
        <v>52.395449999999997</v>
      </c>
      <c r="G217" s="19">
        <v>4.9068659999999999</v>
      </c>
      <c r="H217" s="19" t="s">
        <v>102</v>
      </c>
      <c r="I217" s="19">
        <v>216</v>
      </c>
      <c r="J217" s="19">
        <v>0.921296</v>
      </c>
      <c r="K217" s="19">
        <v>10225</v>
      </c>
      <c r="L217" s="19">
        <v>9420</v>
      </c>
      <c r="M217" s="19">
        <v>24</v>
      </c>
      <c r="N217" s="19">
        <v>7163</v>
      </c>
      <c r="O217" s="19">
        <v>6599</v>
      </c>
      <c r="P217">
        <f t="shared" si="3"/>
        <v>0.92126204104425524</v>
      </c>
    </row>
    <row r="218" spans="1:16">
      <c r="A218" s="19" t="s">
        <v>605</v>
      </c>
      <c r="B218" s="19">
        <v>2027</v>
      </c>
      <c r="C218" s="19">
        <v>111</v>
      </c>
      <c r="D218" s="19" t="s">
        <v>175</v>
      </c>
      <c r="E218" s="19" t="s">
        <v>606</v>
      </c>
      <c r="F218" s="19">
        <v>52.395220000000002</v>
      </c>
      <c r="G218" s="19">
        <v>4.907508</v>
      </c>
      <c r="H218" s="19" t="s">
        <v>102</v>
      </c>
      <c r="I218" s="19">
        <v>216</v>
      </c>
      <c r="J218" s="19">
        <v>0.51388900000000004</v>
      </c>
      <c r="K218" s="19">
        <v>10225</v>
      </c>
      <c r="L218" s="19">
        <v>5255</v>
      </c>
      <c r="M218" s="19">
        <v>24</v>
      </c>
      <c r="N218" s="19">
        <v>7163</v>
      </c>
      <c r="O218" s="19">
        <v>3681</v>
      </c>
      <c r="P218">
        <f t="shared" si="3"/>
        <v>0.51389082786541951</v>
      </c>
    </row>
    <row r="219" spans="1:16">
      <c r="A219" s="19" t="s">
        <v>607</v>
      </c>
      <c r="B219" s="19">
        <v>2027</v>
      </c>
      <c r="C219" s="19">
        <v>48</v>
      </c>
      <c r="D219" s="19" t="s">
        <v>175</v>
      </c>
      <c r="E219" s="19" t="s">
        <v>608</v>
      </c>
      <c r="F219" s="19">
        <v>52.393079999999998</v>
      </c>
      <c r="G219" s="19">
        <v>4.9120369999999998</v>
      </c>
      <c r="H219" s="19" t="s">
        <v>102</v>
      </c>
      <c r="I219" s="19">
        <v>216</v>
      </c>
      <c r="J219" s="19">
        <v>0.222222</v>
      </c>
      <c r="K219" s="19">
        <v>10225</v>
      </c>
      <c r="L219" s="19">
        <v>2272</v>
      </c>
      <c r="M219" s="19">
        <v>24</v>
      </c>
      <c r="N219" s="19">
        <v>7163</v>
      </c>
      <c r="O219" s="19">
        <v>1592</v>
      </c>
      <c r="P219">
        <f t="shared" si="3"/>
        <v>0.22225324584671227</v>
      </c>
    </row>
    <row r="220" spans="1:16">
      <c r="A220" s="19" t="s">
        <v>609</v>
      </c>
      <c r="B220" s="19">
        <v>2027</v>
      </c>
      <c r="C220" s="19">
        <v>182</v>
      </c>
      <c r="D220" s="19" t="s">
        <v>175</v>
      </c>
      <c r="E220" s="19" t="s">
        <v>610</v>
      </c>
      <c r="F220" s="19">
        <v>52.396349999999998</v>
      </c>
      <c r="G220" s="19">
        <v>4.897767</v>
      </c>
      <c r="H220" s="19" t="s">
        <v>102</v>
      </c>
      <c r="I220" s="19">
        <v>216</v>
      </c>
      <c r="J220" s="19">
        <v>0.84259300000000004</v>
      </c>
      <c r="K220" s="19">
        <v>10225</v>
      </c>
      <c r="L220" s="19">
        <v>8616</v>
      </c>
      <c r="M220" s="19">
        <v>24</v>
      </c>
      <c r="N220" s="19">
        <v>7163</v>
      </c>
      <c r="O220" s="19">
        <v>6035</v>
      </c>
      <c r="P220">
        <f t="shared" si="3"/>
        <v>0.84252408208851037</v>
      </c>
    </row>
    <row r="221" spans="1:16">
      <c r="A221" s="19" t="s">
        <v>611</v>
      </c>
      <c r="B221" s="19">
        <v>2027</v>
      </c>
      <c r="C221" s="19">
        <v>1000</v>
      </c>
      <c r="D221" s="19" t="s">
        <v>612</v>
      </c>
      <c r="E221" s="19" t="s">
        <v>613</v>
      </c>
      <c r="F221" s="19">
        <v>52.323540000000001</v>
      </c>
      <c r="G221" s="19">
        <v>4.9295070000000001</v>
      </c>
      <c r="H221" s="19" t="s">
        <v>104</v>
      </c>
      <c r="I221" s="19">
        <v>592</v>
      </c>
      <c r="J221" s="19">
        <v>1.6891890000000001</v>
      </c>
      <c r="K221" s="19">
        <v>75000</v>
      </c>
      <c r="L221" s="19">
        <v>126689</v>
      </c>
      <c r="M221" s="19">
        <v>36</v>
      </c>
      <c r="N221" s="19">
        <v>50000</v>
      </c>
      <c r="O221" s="19">
        <v>84459</v>
      </c>
      <c r="P221">
        <f t="shared" si="3"/>
        <v>1.6891799999999999</v>
      </c>
    </row>
    <row r="222" spans="1:16">
      <c r="A222" s="19" t="s">
        <v>614</v>
      </c>
      <c r="B222" s="19">
        <v>2027</v>
      </c>
      <c r="C222" s="19">
        <v>68</v>
      </c>
      <c r="D222" s="19" t="s">
        <v>193</v>
      </c>
      <c r="E222" s="19" t="s">
        <v>615</v>
      </c>
      <c r="F222" s="19">
        <v>52.3553</v>
      </c>
      <c r="G222" s="19">
        <v>5.0198900000000002</v>
      </c>
      <c r="H222" s="19" t="s">
        <v>102</v>
      </c>
      <c r="I222" s="19">
        <v>216</v>
      </c>
      <c r="J222" s="19">
        <v>0.31481500000000001</v>
      </c>
      <c r="K222" s="19">
        <v>10225</v>
      </c>
      <c r="L222" s="19">
        <v>3219</v>
      </c>
      <c r="M222" s="19">
        <v>24</v>
      </c>
      <c r="N222" s="19">
        <v>7163</v>
      </c>
      <c r="O222" s="19">
        <v>2255</v>
      </c>
      <c r="P222">
        <f t="shared" si="3"/>
        <v>0.31481222951277399</v>
      </c>
    </row>
    <row r="223" spans="1:16">
      <c r="A223" s="19" t="s">
        <v>616</v>
      </c>
      <c r="B223" s="19">
        <v>2027</v>
      </c>
      <c r="C223" s="19">
        <v>54</v>
      </c>
      <c r="D223" s="19" t="s">
        <v>193</v>
      </c>
      <c r="E223" s="19" t="s">
        <v>617</v>
      </c>
      <c r="F223" s="19">
        <v>52.354379999999999</v>
      </c>
      <c r="G223" s="19">
        <v>5.0206540000000004</v>
      </c>
      <c r="H223" s="19" t="s">
        <v>102</v>
      </c>
      <c r="I223" s="19">
        <v>216</v>
      </c>
      <c r="J223" s="19">
        <v>0.25</v>
      </c>
      <c r="K223" s="19">
        <v>10225</v>
      </c>
      <c r="L223" s="19">
        <v>2556</v>
      </c>
      <c r="M223" s="19">
        <v>24</v>
      </c>
      <c r="N223" s="19">
        <v>7163</v>
      </c>
      <c r="O223" s="19">
        <v>1791</v>
      </c>
      <c r="P223">
        <f t="shared" si="3"/>
        <v>0.25003490157755132</v>
      </c>
    </row>
    <row r="224" spans="1:16">
      <c r="A224" s="19" t="s">
        <v>618</v>
      </c>
      <c r="B224" s="19">
        <v>2027</v>
      </c>
      <c r="C224" s="19">
        <v>70</v>
      </c>
      <c r="D224" s="19" t="s">
        <v>193</v>
      </c>
      <c r="E224" s="19" t="s">
        <v>619</v>
      </c>
      <c r="F224" s="19">
        <v>52.355519999999999</v>
      </c>
      <c r="G224" s="19">
        <v>5.0210530000000002</v>
      </c>
      <c r="H224" s="19" t="s">
        <v>102</v>
      </c>
      <c r="I224" s="19">
        <v>216</v>
      </c>
      <c r="J224" s="19">
        <v>0.32407399999999997</v>
      </c>
      <c r="K224" s="19">
        <v>10225</v>
      </c>
      <c r="L224" s="19">
        <v>3314</v>
      </c>
      <c r="M224" s="19">
        <v>24</v>
      </c>
      <c r="N224" s="19">
        <v>7163</v>
      </c>
      <c r="O224" s="19">
        <v>2321</v>
      </c>
      <c r="P224">
        <f t="shared" si="3"/>
        <v>0.32402624598631857</v>
      </c>
    </row>
    <row r="225" spans="1:16">
      <c r="A225" s="19" t="s">
        <v>620</v>
      </c>
      <c r="B225" s="19">
        <v>2027</v>
      </c>
      <c r="C225" s="19">
        <v>91</v>
      </c>
      <c r="D225" s="19" t="s">
        <v>193</v>
      </c>
      <c r="E225" s="19" t="s">
        <v>621</v>
      </c>
      <c r="F225" s="19">
        <v>52.358919999999998</v>
      </c>
      <c r="G225" s="19">
        <v>5.0188829999999998</v>
      </c>
      <c r="H225" s="19" t="s">
        <v>102</v>
      </c>
      <c r="I225" s="19">
        <v>216</v>
      </c>
      <c r="J225" s="19">
        <v>0.421296</v>
      </c>
      <c r="K225" s="19">
        <v>10225</v>
      </c>
      <c r="L225" s="19">
        <v>4308</v>
      </c>
      <c r="M225" s="19">
        <v>24</v>
      </c>
      <c r="N225" s="19">
        <v>7163</v>
      </c>
      <c r="O225" s="19">
        <v>3018</v>
      </c>
      <c r="P225">
        <f t="shared" si="3"/>
        <v>0.42133184419935782</v>
      </c>
    </row>
    <row r="226" spans="1:16">
      <c r="A226" s="19" t="s">
        <v>622</v>
      </c>
      <c r="B226" s="19">
        <v>2027</v>
      </c>
      <c r="C226" s="19">
        <v>800</v>
      </c>
      <c r="D226" s="19" t="s">
        <v>623</v>
      </c>
      <c r="E226" s="19" t="s">
        <v>624</v>
      </c>
      <c r="F226" s="19">
        <v>52.374049999999997</v>
      </c>
      <c r="G226" s="19">
        <v>4.9167800000000002</v>
      </c>
      <c r="H226" s="19" t="s">
        <v>104</v>
      </c>
      <c r="I226" s="19">
        <v>592</v>
      </c>
      <c r="J226" s="19">
        <v>1.351351</v>
      </c>
      <c r="K226" s="19">
        <v>75000</v>
      </c>
      <c r="L226" s="19">
        <v>101351</v>
      </c>
      <c r="M226" s="19">
        <v>36</v>
      </c>
      <c r="N226" s="19">
        <v>50000</v>
      </c>
      <c r="O226" s="19">
        <v>67568</v>
      </c>
      <c r="P226">
        <f t="shared" si="3"/>
        <v>1.3513599999999999</v>
      </c>
    </row>
    <row r="227" spans="1:16">
      <c r="A227" s="19" t="s">
        <v>625</v>
      </c>
      <c r="B227" s="19">
        <v>2027</v>
      </c>
      <c r="C227" s="19">
        <v>100</v>
      </c>
      <c r="D227" s="19" t="s">
        <v>193</v>
      </c>
      <c r="E227" s="19" t="s">
        <v>626</v>
      </c>
      <c r="F227" s="19">
        <v>52.33605</v>
      </c>
      <c r="G227" s="19">
        <v>4.918031</v>
      </c>
      <c r="H227" s="19" t="s">
        <v>102</v>
      </c>
      <c r="I227" s="19">
        <v>216</v>
      </c>
      <c r="J227" s="19">
        <v>0.46296300000000001</v>
      </c>
      <c r="K227" s="19">
        <v>10225</v>
      </c>
      <c r="L227" s="19">
        <v>4734</v>
      </c>
      <c r="M227" s="19">
        <v>24</v>
      </c>
      <c r="N227" s="19">
        <v>7163</v>
      </c>
      <c r="O227" s="19">
        <v>3316</v>
      </c>
      <c r="P227">
        <f t="shared" si="3"/>
        <v>0.46293452464051377</v>
      </c>
    </row>
    <row r="228" spans="1:16">
      <c r="A228" s="19" t="s">
        <v>627</v>
      </c>
      <c r="B228" s="19">
        <v>2027</v>
      </c>
      <c r="C228" s="19">
        <v>175</v>
      </c>
      <c r="D228" s="19" t="s">
        <v>193</v>
      </c>
      <c r="E228" s="19" t="s">
        <v>628</v>
      </c>
      <c r="F228" s="19">
        <v>52.347610000000003</v>
      </c>
      <c r="G228" s="19">
        <v>4.9193740000000004</v>
      </c>
      <c r="H228" s="19" t="s">
        <v>102</v>
      </c>
      <c r="I228" s="19">
        <v>216</v>
      </c>
      <c r="J228" s="19">
        <v>0.81018500000000004</v>
      </c>
      <c r="K228" s="19">
        <v>10225</v>
      </c>
      <c r="L228" s="19">
        <v>8284</v>
      </c>
      <c r="M228" s="19">
        <v>24</v>
      </c>
      <c r="N228" s="19">
        <v>7163</v>
      </c>
      <c r="O228" s="19">
        <v>5803</v>
      </c>
      <c r="P228">
        <f t="shared" si="3"/>
        <v>0.81013541812089906</v>
      </c>
    </row>
    <row r="229" spans="1:16">
      <c r="A229" s="19" t="s">
        <v>230</v>
      </c>
      <c r="B229" s="19">
        <v>2027</v>
      </c>
      <c r="C229" s="19">
        <v>184</v>
      </c>
      <c r="D229" s="19" t="s">
        <v>231</v>
      </c>
      <c r="E229" s="19" t="s">
        <v>629</v>
      </c>
      <c r="F229" s="19">
        <v>52.336480000000002</v>
      </c>
      <c r="G229" s="19">
        <v>4.8805730000000001</v>
      </c>
      <c r="H229" s="19" t="s">
        <v>102</v>
      </c>
      <c r="I229" s="19">
        <v>216</v>
      </c>
      <c r="J229" s="19">
        <v>0.85185200000000005</v>
      </c>
      <c r="K229" s="19">
        <v>10225</v>
      </c>
      <c r="L229" s="19">
        <v>8710</v>
      </c>
      <c r="M229" s="19">
        <v>24</v>
      </c>
      <c r="N229" s="19">
        <v>7163</v>
      </c>
      <c r="O229" s="19">
        <v>6102</v>
      </c>
      <c r="P229">
        <f t="shared" si="3"/>
        <v>0.85187770487226022</v>
      </c>
    </row>
    <row r="230" spans="1:16">
      <c r="A230" s="19" t="s">
        <v>630</v>
      </c>
      <c r="B230" s="19">
        <v>2027</v>
      </c>
      <c r="C230" s="19">
        <v>175</v>
      </c>
      <c r="D230" s="19" t="s">
        <v>196</v>
      </c>
      <c r="E230" s="19" t="s">
        <v>631</v>
      </c>
      <c r="F230" s="19">
        <v>52.360430000000001</v>
      </c>
      <c r="G230" s="19">
        <v>4.7981429999999996</v>
      </c>
      <c r="H230" s="19" t="s">
        <v>102</v>
      </c>
      <c r="I230" s="19">
        <v>216</v>
      </c>
      <c r="J230" s="19">
        <v>0.81018500000000004</v>
      </c>
      <c r="K230" s="19">
        <v>10225</v>
      </c>
      <c r="L230" s="19">
        <v>8284</v>
      </c>
      <c r="M230" s="19">
        <v>24</v>
      </c>
      <c r="N230" s="19">
        <v>7163</v>
      </c>
      <c r="O230" s="19">
        <v>5803</v>
      </c>
      <c r="P230">
        <f t="shared" si="3"/>
        <v>0.81013541812089906</v>
      </c>
    </row>
    <row r="231" spans="1:16">
      <c r="A231" s="19" t="s">
        <v>632</v>
      </c>
      <c r="B231" s="19">
        <v>2027</v>
      </c>
      <c r="C231" s="19">
        <v>338</v>
      </c>
      <c r="D231" s="19" t="s">
        <v>196</v>
      </c>
      <c r="E231" s="19" t="s">
        <v>633</v>
      </c>
      <c r="F231" s="19">
        <v>52.361539999999998</v>
      </c>
      <c r="G231" s="19">
        <v>4.8060479999999997</v>
      </c>
      <c r="H231" s="19" t="s">
        <v>103</v>
      </c>
      <c r="I231" s="19">
        <v>350</v>
      </c>
      <c r="J231" s="19">
        <v>0.96571399999999996</v>
      </c>
      <c r="K231" s="19">
        <v>32297</v>
      </c>
      <c r="L231" s="19">
        <v>31190</v>
      </c>
      <c r="M231" s="19">
        <v>30</v>
      </c>
      <c r="N231" s="19">
        <v>26588</v>
      </c>
      <c r="O231" s="19">
        <v>25676</v>
      </c>
      <c r="P231">
        <f t="shared" si="3"/>
        <v>0.96569881149390702</v>
      </c>
    </row>
    <row r="232" spans="1:16">
      <c r="A232" s="19" t="s">
        <v>634</v>
      </c>
      <c r="B232" s="19">
        <v>2027</v>
      </c>
      <c r="C232" s="19">
        <v>93</v>
      </c>
      <c r="D232" s="19" t="s">
        <v>196</v>
      </c>
      <c r="E232" s="19" t="s">
        <v>635</v>
      </c>
      <c r="F232" s="19">
        <v>52.38794</v>
      </c>
      <c r="G232" s="19">
        <v>4.8312879999999998</v>
      </c>
      <c r="H232" s="19" t="s">
        <v>102</v>
      </c>
      <c r="I232" s="19">
        <v>216</v>
      </c>
      <c r="J232" s="19">
        <v>0.43055599999999999</v>
      </c>
      <c r="K232" s="19">
        <v>10225</v>
      </c>
      <c r="L232" s="19">
        <v>4402</v>
      </c>
      <c r="M232" s="19">
        <v>24</v>
      </c>
      <c r="N232" s="19">
        <v>7163</v>
      </c>
      <c r="O232" s="19">
        <v>3084</v>
      </c>
      <c r="P232">
        <f t="shared" si="3"/>
        <v>0.4305458606729024</v>
      </c>
    </row>
    <row r="233" spans="1:16">
      <c r="A233" s="19" t="s">
        <v>636</v>
      </c>
      <c r="B233" s="19">
        <v>2027</v>
      </c>
      <c r="C233" s="19">
        <v>191</v>
      </c>
      <c r="D233" s="19" t="s">
        <v>175</v>
      </c>
      <c r="E233" s="19" t="s">
        <v>637</v>
      </c>
      <c r="F233" s="19">
        <v>52.402769999999997</v>
      </c>
      <c r="G233" s="19">
        <v>4.8905200000000004</v>
      </c>
      <c r="H233" s="19" t="s">
        <v>102</v>
      </c>
      <c r="I233" s="19">
        <v>216</v>
      </c>
      <c r="J233" s="19">
        <v>0.88425900000000002</v>
      </c>
      <c r="K233" s="19">
        <v>10225</v>
      </c>
      <c r="L233" s="19">
        <v>9042</v>
      </c>
      <c r="M233" s="19">
        <v>24</v>
      </c>
      <c r="N233" s="19">
        <v>7163</v>
      </c>
      <c r="O233" s="19">
        <v>6334</v>
      </c>
      <c r="P233">
        <f t="shared" si="3"/>
        <v>0.88426636883987153</v>
      </c>
    </row>
    <row r="234" spans="1:16">
      <c r="A234" s="19" t="s">
        <v>638</v>
      </c>
      <c r="B234" s="19">
        <v>2027</v>
      </c>
      <c r="C234" s="19">
        <v>66</v>
      </c>
      <c r="D234" s="19" t="s">
        <v>175</v>
      </c>
      <c r="E234" s="19" t="s">
        <v>639</v>
      </c>
      <c r="F234" s="19">
        <v>52.403979999999997</v>
      </c>
      <c r="G234" s="19">
        <v>4.8916639999999996</v>
      </c>
      <c r="H234" s="19" t="s">
        <v>102</v>
      </c>
      <c r="I234" s="19">
        <v>216</v>
      </c>
      <c r="J234" s="19">
        <v>0.30555599999999999</v>
      </c>
      <c r="K234" s="19">
        <v>10225</v>
      </c>
      <c r="L234" s="19">
        <v>3124</v>
      </c>
      <c r="M234" s="19">
        <v>24</v>
      </c>
      <c r="N234" s="19">
        <v>7163</v>
      </c>
      <c r="O234" s="19">
        <v>2189</v>
      </c>
      <c r="P234">
        <f t="shared" si="3"/>
        <v>0.30559821303922935</v>
      </c>
    </row>
    <row r="235" spans="1:16">
      <c r="A235" s="19" t="s">
        <v>640</v>
      </c>
      <c r="B235" s="19">
        <v>2027</v>
      </c>
      <c r="C235" s="19">
        <v>56</v>
      </c>
      <c r="D235" s="19" t="s">
        <v>175</v>
      </c>
      <c r="E235" s="19" t="s">
        <v>641</v>
      </c>
      <c r="F235" s="19">
        <v>52.398719999999997</v>
      </c>
      <c r="G235" s="19">
        <v>4.9080529999999998</v>
      </c>
      <c r="H235" s="19" t="s">
        <v>102</v>
      </c>
      <c r="I235" s="19">
        <v>216</v>
      </c>
      <c r="J235" s="19">
        <v>0.25925900000000002</v>
      </c>
      <c r="K235" s="19">
        <v>10225</v>
      </c>
      <c r="L235" s="19">
        <v>2651</v>
      </c>
      <c r="M235" s="19">
        <v>24</v>
      </c>
      <c r="N235" s="19">
        <v>7163</v>
      </c>
      <c r="O235" s="19">
        <v>1857</v>
      </c>
      <c r="P235">
        <f t="shared" si="3"/>
        <v>0.2592489180510959</v>
      </c>
    </row>
    <row r="236" spans="1:16">
      <c r="A236" s="19" t="s">
        <v>642</v>
      </c>
      <c r="B236" s="19">
        <v>2027</v>
      </c>
      <c r="C236" s="19">
        <v>186</v>
      </c>
      <c r="D236" s="19" t="s">
        <v>175</v>
      </c>
      <c r="E236" s="19" t="s">
        <v>643</v>
      </c>
      <c r="F236" s="19">
        <v>52.383589999999998</v>
      </c>
      <c r="G236" s="19">
        <v>4.9221550000000001</v>
      </c>
      <c r="H236" s="19" t="s">
        <v>102</v>
      </c>
      <c r="I236" s="19">
        <v>216</v>
      </c>
      <c r="J236" s="19">
        <v>0.86111099999999996</v>
      </c>
      <c r="K236" s="19">
        <v>10225</v>
      </c>
      <c r="L236" s="19">
        <v>8805</v>
      </c>
      <c r="M236" s="19">
        <v>24</v>
      </c>
      <c r="N236" s="19">
        <v>7163</v>
      </c>
      <c r="O236" s="19">
        <v>6168</v>
      </c>
      <c r="P236">
        <f t="shared" si="3"/>
        <v>0.86109172134580481</v>
      </c>
    </row>
    <row r="237" spans="1:16">
      <c r="A237" s="19" t="s">
        <v>644</v>
      </c>
      <c r="B237" s="19">
        <v>2027</v>
      </c>
      <c r="C237" s="19">
        <v>110</v>
      </c>
      <c r="D237" s="19" t="s">
        <v>193</v>
      </c>
      <c r="E237" s="19" t="s">
        <v>645</v>
      </c>
      <c r="F237" s="19">
        <v>52.350659999999998</v>
      </c>
      <c r="G237" s="19">
        <v>5.0169560000000004</v>
      </c>
      <c r="H237" s="19" t="s">
        <v>102</v>
      </c>
      <c r="I237" s="19">
        <v>216</v>
      </c>
      <c r="J237" s="19">
        <v>0.50925900000000002</v>
      </c>
      <c r="K237" s="19">
        <v>10225</v>
      </c>
      <c r="L237" s="19">
        <v>5207</v>
      </c>
      <c r="M237" s="19">
        <v>24</v>
      </c>
      <c r="N237" s="19">
        <v>7163</v>
      </c>
      <c r="O237" s="19">
        <v>3648</v>
      </c>
      <c r="P237">
        <f t="shared" si="3"/>
        <v>0.50928381962864722</v>
      </c>
    </row>
    <row r="238" spans="1:16">
      <c r="A238" s="19" t="s">
        <v>646</v>
      </c>
      <c r="B238" s="19">
        <v>2027</v>
      </c>
      <c r="C238" s="19">
        <v>113</v>
      </c>
      <c r="D238" s="19" t="s">
        <v>193</v>
      </c>
      <c r="E238" s="19" t="s">
        <v>647</v>
      </c>
      <c r="F238" s="19">
        <v>52.338859999999997</v>
      </c>
      <c r="G238" s="19">
        <v>4.9272429999999998</v>
      </c>
      <c r="H238" s="19" t="s">
        <v>102</v>
      </c>
      <c r="I238" s="19">
        <v>216</v>
      </c>
      <c r="J238" s="19">
        <v>0.52314799999999995</v>
      </c>
      <c r="K238" s="19">
        <v>10225</v>
      </c>
      <c r="L238" s="19">
        <v>5349</v>
      </c>
      <c r="M238" s="19">
        <v>24</v>
      </c>
      <c r="N238" s="19">
        <v>7163</v>
      </c>
      <c r="O238" s="19">
        <v>3747</v>
      </c>
      <c r="P238">
        <f t="shared" si="3"/>
        <v>0.52310484433896409</v>
      </c>
    </row>
    <row r="239" spans="1:16">
      <c r="A239" s="19" t="s">
        <v>648</v>
      </c>
      <c r="B239" s="19">
        <v>2027</v>
      </c>
      <c r="C239" s="19">
        <v>105</v>
      </c>
      <c r="D239" s="19" t="s">
        <v>193</v>
      </c>
      <c r="E239" s="19" t="s">
        <v>649</v>
      </c>
      <c r="F239" s="19">
        <v>52.335509999999999</v>
      </c>
      <c r="G239" s="19">
        <v>4.9158799999999996</v>
      </c>
      <c r="H239" s="19" t="s">
        <v>102</v>
      </c>
      <c r="I239" s="19">
        <v>216</v>
      </c>
      <c r="J239" s="19">
        <v>0.48611100000000002</v>
      </c>
      <c r="K239" s="19">
        <v>10225</v>
      </c>
      <c r="L239" s="19">
        <v>4970</v>
      </c>
      <c r="M239" s="19">
        <v>24</v>
      </c>
      <c r="N239" s="19">
        <v>7163</v>
      </c>
      <c r="O239" s="19">
        <v>3482</v>
      </c>
      <c r="P239">
        <f t="shared" si="3"/>
        <v>0.48610917213458049</v>
      </c>
    </row>
    <row r="240" spans="1:16">
      <c r="A240" s="19" t="s">
        <v>650</v>
      </c>
      <c r="B240" s="19">
        <v>2027</v>
      </c>
      <c r="C240" s="19">
        <v>190</v>
      </c>
      <c r="D240" s="19" t="s">
        <v>193</v>
      </c>
      <c r="E240" s="19" t="s">
        <v>651</v>
      </c>
      <c r="F240" s="19">
        <v>52.336300000000001</v>
      </c>
      <c r="G240" s="19">
        <v>4.9160830000000004</v>
      </c>
      <c r="H240" s="19" t="s">
        <v>102</v>
      </c>
      <c r="I240" s="19">
        <v>216</v>
      </c>
      <c r="J240" s="19">
        <v>0.87963000000000002</v>
      </c>
      <c r="K240" s="19">
        <v>10225</v>
      </c>
      <c r="L240" s="19">
        <v>8994</v>
      </c>
      <c r="M240" s="19">
        <v>24</v>
      </c>
      <c r="N240" s="19">
        <v>7163</v>
      </c>
      <c r="O240" s="19">
        <v>6301</v>
      </c>
      <c r="P240">
        <f t="shared" si="3"/>
        <v>0.87965936060309924</v>
      </c>
    </row>
    <row r="241" spans="1:16">
      <c r="A241" s="19" t="s">
        <v>652</v>
      </c>
      <c r="B241" s="19">
        <v>2027</v>
      </c>
      <c r="C241" s="19">
        <v>347</v>
      </c>
      <c r="D241" s="19" t="s">
        <v>193</v>
      </c>
      <c r="E241" s="19" t="s">
        <v>653</v>
      </c>
      <c r="F241" s="19">
        <v>52.373260000000002</v>
      </c>
      <c r="G241" s="19">
        <v>4.9608189999999999</v>
      </c>
      <c r="H241" s="19" t="s">
        <v>103</v>
      </c>
      <c r="I241" s="19">
        <v>350</v>
      </c>
      <c r="J241" s="19">
        <v>0.991429</v>
      </c>
      <c r="K241" s="19">
        <v>32297</v>
      </c>
      <c r="L241" s="19">
        <v>32020</v>
      </c>
      <c r="M241" s="19">
        <v>30</v>
      </c>
      <c r="N241" s="19">
        <v>26588</v>
      </c>
      <c r="O241" s="19">
        <v>26360</v>
      </c>
      <c r="P241">
        <f t="shared" si="3"/>
        <v>0.99142470287347673</v>
      </c>
    </row>
    <row r="242" spans="1:16">
      <c r="A242" s="19" t="s">
        <v>654</v>
      </c>
      <c r="B242" s="19">
        <v>2027</v>
      </c>
      <c r="C242" s="19">
        <v>192</v>
      </c>
      <c r="D242" s="19" t="s">
        <v>193</v>
      </c>
      <c r="E242" s="19" t="s">
        <v>655</v>
      </c>
      <c r="F242" s="19">
        <v>52.346910000000001</v>
      </c>
      <c r="G242" s="19">
        <v>4.91493</v>
      </c>
      <c r="H242" s="19" t="s">
        <v>102</v>
      </c>
      <c r="I242" s="19">
        <v>216</v>
      </c>
      <c r="J242" s="19">
        <v>0.88888900000000004</v>
      </c>
      <c r="K242" s="19">
        <v>10225</v>
      </c>
      <c r="L242" s="19">
        <v>9089</v>
      </c>
      <c r="M242" s="19">
        <v>24</v>
      </c>
      <c r="N242" s="19">
        <v>7163</v>
      </c>
      <c r="O242" s="19">
        <v>6367</v>
      </c>
      <c r="P242">
        <f t="shared" si="3"/>
        <v>0.88887337707664382</v>
      </c>
    </row>
    <row r="243" spans="1:16">
      <c r="A243" s="19" t="s">
        <v>656</v>
      </c>
      <c r="B243" s="19">
        <v>2027</v>
      </c>
      <c r="C243" s="19">
        <v>217</v>
      </c>
      <c r="D243" s="19" t="s">
        <v>188</v>
      </c>
      <c r="E243" s="19" t="s">
        <v>657</v>
      </c>
      <c r="F243" s="19">
        <v>52.37838</v>
      </c>
      <c r="G243" s="19">
        <v>4.8644780000000001</v>
      </c>
      <c r="H243" s="19" t="s">
        <v>102</v>
      </c>
      <c r="I243" s="19">
        <v>216</v>
      </c>
      <c r="J243" s="19">
        <v>1.0046299999999999</v>
      </c>
      <c r="K243" s="19">
        <v>10225</v>
      </c>
      <c r="L243" s="19">
        <v>10272</v>
      </c>
      <c r="M243" s="19">
        <v>24</v>
      </c>
      <c r="N243" s="19">
        <v>7163</v>
      </c>
      <c r="O243" s="19">
        <v>7196</v>
      </c>
      <c r="P243">
        <f t="shared" si="3"/>
        <v>1.0046070082367724</v>
      </c>
    </row>
    <row r="244" spans="1:16">
      <c r="A244" s="19" t="s">
        <v>658</v>
      </c>
      <c r="B244" s="19">
        <v>2027</v>
      </c>
      <c r="C244" s="19">
        <v>194</v>
      </c>
      <c r="D244" s="19" t="s">
        <v>188</v>
      </c>
      <c r="E244" s="19" t="s">
        <v>659</v>
      </c>
      <c r="F244" s="19">
        <v>52.391159999999999</v>
      </c>
      <c r="G244" s="19">
        <v>4.852322</v>
      </c>
      <c r="H244" s="19" t="s">
        <v>102</v>
      </c>
      <c r="I244" s="19">
        <v>216</v>
      </c>
      <c r="J244" s="19">
        <v>0.89814799999999995</v>
      </c>
      <c r="K244" s="19">
        <v>10225</v>
      </c>
      <c r="L244" s="19">
        <v>9184</v>
      </c>
      <c r="M244" s="19">
        <v>24</v>
      </c>
      <c r="N244" s="19">
        <v>7163</v>
      </c>
      <c r="O244" s="19">
        <v>6433</v>
      </c>
      <c r="P244">
        <f t="shared" si="3"/>
        <v>0.89808739355018852</v>
      </c>
    </row>
    <row r="245" spans="1:16">
      <c r="A245" s="19" t="s">
        <v>660</v>
      </c>
      <c r="B245" s="19">
        <v>2027</v>
      </c>
      <c r="C245" s="19">
        <v>135</v>
      </c>
      <c r="D245" s="19" t="s">
        <v>231</v>
      </c>
      <c r="E245" s="19" t="s">
        <v>661</v>
      </c>
      <c r="F245" s="19">
        <v>52.336449999999999</v>
      </c>
      <c r="G245" s="19">
        <v>4.8792780000000002</v>
      </c>
      <c r="H245" s="19" t="s">
        <v>102</v>
      </c>
      <c r="I245" s="19">
        <v>216</v>
      </c>
      <c r="J245" s="19">
        <v>0.625</v>
      </c>
      <c r="K245" s="19">
        <v>10225</v>
      </c>
      <c r="L245" s="19">
        <v>6391</v>
      </c>
      <c r="M245" s="19">
        <v>24</v>
      </c>
      <c r="N245" s="19">
        <v>7163</v>
      </c>
      <c r="O245" s="19">
        <v>4477</v>
      </c>
      <c r="P245">
        <f t="shared" si="3"/>
        <v>0.62501745078877569</v>
      </c>
    </row>
    <row r="246" spans="1:16">
      <c r="A246" s="19" t="s">
        <v>662</v>
      </c>
      <c r="B246" s="19">
        <v>2027</v>
      </c>
      <c r="C246" s="19">
        <v>63</v>
      </c>
      <c r="D246" s="19" t="s">
        <v>231</v>
      </c>
      <c r="E246" s="19" t="s">
        <v>663</v>
      </c>
      <c r="F246" s="19">
        <v>52.337029999999999</v>
      </c>
      <c r="G246" s="19">
        <v>4.8661029999999998</v>
      </c>
      <c r="H246" s="19" t="s">
        <v>102</v>
      </c>
      <c r="I246" s="19">
        <v>216</v>
      </c>
      <c r="J246" s="19">
        <v>0.29166700000000001</v>
      </c>
      <c r="K246" s="19">
        <v>10225</v>
      </c>
      <c r="L246" s="19">
        <v>2982</v>
      </c>
      <c r="M246" s="19">
        <v>24</v>
      </c>
      <c r="N246" s="19">
        <v>7163</v>
      </c>
      <c r="O246" s="19">
        <v>2089</v>
      </c>
      <c r="P246">
        <f t="shared" si="3"/>
        <v>0.29163758201870726</v>
      </c>
    </row>
    <row r="247" spans="1:16">
      <c r="A247" s="19" t="s">
        <v>664</v>
      </c>
      <c r="B247" s="19">
        <v>2027</v>
      </c>
      <c r="C247" s="19">
        <v>100</v>
      </c>
      <c r="D247" s="19" t="s">
        <v>170</v>
      </c>
      <c r="E247" s="19" t="s">
        <v>665</v>
      </c>
      <c r="F247" s="19">
        <v>52.313929999999999</v>
      </c>
      <c r="G247" s="19">
        <v>4.9499069999999996</v>
      </c>
      <c r="H247" s="19" t="s">
        <v>102</v>
      </c>
      <c r="I247" s="19">
        <v>216</v>
      </c>
      <c r="J247" s="19">
        <v>0.46296300000000001</v>
      </c>
      <c r="K247" s="19">
        <v>10225</v>
      </c>
      <c r="L247" s="19">
        <v>4734</v>
      </c>
      <c r="M247" s="19">
        <v>24</v>
      </c>
      <c r="N247" s="19">
        <v>7163</v>
      </c>
      <c r="O247" s="19">
        <v>3316</v>
      </c>
      <c r="P247">
        <f t="shared" si="3"/>
        <v>0.46293452464051377</v>
      </c>
    </row>
    <row r="248" spans="1:16">
      <c r="A248" s="19" t="s">
        <v>666</v>
      </c>
      <c r="B248" s="19">
        <v>2027</v>
      </c>
      <c r="C248" s="19">
        <v>110</v>
      </c>
      <c r="D248" s="19" t="s">
        <v>170</v>
      </c>
      <c r="E248" s="19" t="s">
        <v>667</v>
      </c>
      <c r="F248" s="19">
        <v>52.297420000000002</v>
      </c>
      <c r="G248" s="19">
        <v>4.9636500000000003</v>
      </c>
      <c r="H248" s="19" t="s">
        <v>102</v>
      </c>
      <c r="I248" s="19">
        <v>216</v>
      </c>
      <c r="J248" s="19">
        <v>0.50925900000000002</v>
      </c>
      <c r="K248" s="19">
        <v>10225</v>
      </c>
      <c r="L248" s="19">
        <v>5207</v>
      </c>
      <c r="M248" s="19">
        <v>24</v>
      </c>
      <c r="N248" s="19">
        <v>7163</v>
      </c>
      <c r="O248" s="19">
        <v>3648</v>
      </c>
      <c r="P248">
        <f t="shared" si="3"/>
        <v>0.50928381962864722</v>
      </c>
    </row>
    <row r="249" spans="1:16">
      <c r="A249" s="19" t="s">
        <v>543</v>
      </c>
      <c r="B249" s="19">
        <v>2027</v>
      </c>
      <c r="C249" s="19">
        <v>149</v>
      </c>
      <c r="D249" s="19" t="s">
        <v>231</v>
      </c>
      <c r="E249" s="19" t="s">
        <v>668</v>
      </c>
      <c r="F249" s="19">
        <v>52.341949999999997</v>
      </c>
      <c r="G249" s="19">
        <v>4.8447760000000004</v>
      </c>
      <c r="H249" s="19" t="s">
        <v>102</v>
      </c>
      <c r="I249" s="19">
        <v>216</v>
      </c>
      <c r="J249" s="19">
        <v>0.68981499999999996</v>
      </c>
      <c r="K249" s="19">
        <v>10225</v>
      </c>
      <c r="L249" s="19">
        <v>7053</v>
      </c>
      <c r="M249" s="19">
        <v>24</v>
      </c>
      <c r="N249" s="19">
        <v>7163</v>
      </c>
      <c r="O249" s="19">
        <v>4941</v>
      </c>
      <c r="P249">
        <f t="shared" si="3"/>
        <v>0.6897947787239983</v>
      </c>
    </row>
    <row r="250" spans="1:16">
      <c r="A250" s="19" t="s">
        <v>669</v>
      </c>
      <c r="B250" s="19">
        <v>2027</v>
      </c>
      <c r="C250" s="19">
        <v>300</v>
      </c>
      <c r="D250" s="19" t="s">
        <v>196</v>
      </c>
      <c r="E250" s="19" t="s">
        <v>670</v>
      </c>
      <c r="F250" s="19">
        <v>52.382350000000002</v>
      </c>
      <c r="G250" s="19">
        <v>4.8210350000000002</v>
      </c>
      <c r="H250" s="19" t="s">
        <v>103</v>
      </c>
      <c r="I250" s="19">
        <v>350</v>
      </c>
      <c r="J250" s="19">
        <v>0.85714299999999999</v>
      </c>
      <c r="K250" s="19">
        <v>32297</v>
      </c>
      <c r="L250" s="19">
        <v>27683</v>
      </c>
      <c r="M250" s="19">
        <v>30</v>
      </c>
      <c r="N250" s="19">
        <v>26588</v>
      </c>
      <c r="O250" s="19">
        <v>22790</v>
      </c>
      <c r="P250">
        <f t="shared" si="3"/>
        <v>0.85715360312923128</v>
      </c>
    </row>
    <row r="251" spans="1:16">
      <c r="A251" s="19" t="s">
        <v>671</v>
      </c>
      <c r="B251" s="19">
        <v>2027</v>
      </c>
      <c r="C251" s="19">
        <v>82</v>
      </c>
      <c r="D251" s="19" t="s">
        <v>193</v>
      </c>
      <c r="E251" s="19" t="s">
        <v>672</v>
      </c>
      <c r="F251" s="19">
        <v>52.358849999999997</v>
      </c>
      <c r="G251" s="19">
        <v>5.0173209999999999</v>
      </c>
      <c r="H251" s="19" t="s">
        <v>102</v>
      </c>
      <c r="I251" s="19">
        <v>216</v>
      </c>
      <c r="J251" s="19">
        <v>0.37963000000000002</v>
      </c>
      <c r="K251" s="19">
        <v>10225</v>
      </c>
      <c r="L251" s="19">
        <v>3882</v>
      </c>
      <c r="M251" s="19">
        <v>24</v>
      </c>
      <c r="N251" s="19">
        <v>7163</v>
      </c>
      <c r="O251" s="19">
        <v>2719</v>
      </c>
      <c r="P251">
        <f t="shared" si="3"/>
        <v>0.37958955744799666</v>
      </c>
    </row>
    <row r="252" spans="1:16">
      <c r="A252" s="19" t="s">
        <v>673</v>
      </c>
      <c r="B252" s="19">
        <v>2027</v>
      </c>
      <c r="C252" s="19">
        <v>139</v>
      </c>
      <c r="D252" s="19" t="s">
        <v>193</v>
      </c>
      <c r="E252" s="19" t="s">
        <v>674</v>
      </c>
      <c r="F252" s="19">
        <v>52.358229999999999</v>
      </c>
      <c r="G252" s="19">
        <v>5.0194739999999998</v>
      </c>
      <c r="H252" s="19" t="s">
        <v>102</v>
      </c>
      <c r="I252" s="19">
        <v>216</v>
      </c>
      <c r="J252" s="19">
        <v>0.64351899999999995</v>
      </c>
      <c r="K252" s="19">
        <v>10225</v>
      </c>
      <c r="L252" s="19">
        <v>6580</v>
      </c>
      <c r="M252" s="19">
        <v>24</v>
      </c>
      <c r="N252" s="19">
        <v>7163</v>
      </c>
      <c r="O252" s="19">
        <v>4610</v>
      </c>
      <c r="P252">
        <f t="shared" si="3"/>
        <v>0.64358509004607012</v>
      </c>
    </row>
    <row r="253" spans="1:16">
      <c r="A253" s="19" t="s">
        <v>675</v>
      </c>
      <c r="B253" s="19">
        <v>2027</v>
      </c>
      <c r="C253" s="19">
        <v>114</v>
      </c>
      <c r="D253" s="19" t="s">
        <v>193</v>
      </c>
      <c r="E253" s="19" t="s">
        <v>676</v>
      </c>
      <c r="F253" s="19">
        <v>52.376660000000001</v>
      </c>
      <c r="G253" s="19">
        <v>4.9629770000000004</v>
      </c>
      <c r="H253" s="19" t="s">
        <v>102</v>
      </c>
      <c r="I253" s="19">
        <v>216</v>
      </c>
      <c r="J253" s="19">
        <v>0.52777799999999997</v>
      </c>
      <c r="K253" s="19">
        <v>10225</v>
      </c>
      <c r="L253" s="19">
        <v>5397</v>
      </c>
      <c r="M253" s="19">
        <v>24</v>
      </c>
      <c r="N253" s="19">
        <v>7163</v>
      </c>
      <c r="O253" s="19">
        <v>3780</v>
      </c>
      <c r="P253">
        <f t="shared" si="3"/>
        <v>0.52771185257573638</v>
      </c>
    </row>
    <row r="254" spans="1:16">
      <c r="A254" s="19" t="s">
        <v>677</v>
      </c>
      <c r="B254" s="19">
        <v>2027</v>
      </c>
      <c r="C254" s="19">
        <v>74</v>
      </c>
      <c r="D254" s="19" t="s">
        <v>188</v>
      </c>
      <c r="E254" s="19" t="s">
        <v>678</v>
      </c>
      <c r="F254" s="19">
        <v>52.370640000000002</v>
      </c>
      <c r="G254" s="19">
        <v>4.8457980000000003</v>
      </c>
      <c r="H254" s="19" t="s">
        <v>102</v>
      </c>
      <c r="I254" s="19">
        <v>216</v>
      </c>
      <c r="J254" s="19">
        <v>0.34259299999999998</v>
      </c>
      <c r="K254" s="19">
        <v>10225</v>
      </c>
      <c r="L254" s="19">
        <v>3503</v>
      </c>
      <c r="M254" s="19">
        <v>24</v>
      </c>
      <c r="N254" s="19">
        <v>7163</v>
      </c>
      <c r="O254" s="19">
        <v>2454</v>
      </c>
      <c r="P254">
        <f t="shared" si="3"/>
        <v>0.34259388524361301</v>
      </c>
    </row>
    <row r="255" spans="1:16">
      <c r="A255" s="19" t="s">
        <v>679</v>
      </c>
      <c r="B255" s="19">
        <v>2027</v>
      </c>
      <c r="C255" s="19">
        <v>199</v>
      </c>
      <c r="D255" s="19" t="s">
        <v>188</v>
      </c>
      <c r="E255" s="19" t="s">
        <v>680</v>
      </c>
      <c r="F255" s="19">
        <v>52.37144</v>
      </c>
      <c r="G255" s="19">
        <v>4.8448539999999998</v>
      </c>
      <c r="H255" s="19" t="s">
        <v>102</v>
      </c>
      <c r="I255" s="19">
        <v>216</v>
      </c>
      <c r="J255" s="19">
        <v>0.921296</v>
      </c>
      <c r="K255" s="19">
        <v>10225</v>
      </c>
      <c r="L255" s="19">
        <v>9420</v>
      </c>
      <c r="M255" s="19">
        <v>24</v>
      </c>
      <c r="N255" s="19">
        <v>7163</v>
      </c>
      <c r="O255" s="19">
        <v>6599</v>
      </c>
      <c r="P255">
        <f t="shared" si="3"/>
        <v>0.92126204104425524</v>
      </c>
    </row>
    <row r="256" spans="1:16">
      <c r="A256" s="19" t="s">
        <v>681</v>
      </c>
      <c r="B256" s="19">
        <v>2027</v>
      </c>
      <c r="C256" s="19">
        <v>164</v>
      </c>
      <c r="D256" s="19" t="s">
        <v>170</v>
      </c>
      <c r="E256" s="19" t="s">
        <v>682</v>
      </c>
      <c r="F256" s="19">
        <v>52.29374</v>
      </c>
      <c r="G256" s="19">
        <v>4.9759919999999997</v>
      </c>
      <c r="H256" s="19" t="s">
        <v>102</v>
      </c>
      <c r="I256" s="19">
        <v>216</v>
      </c>
      <c r="J256" s="19">
        <v>0.75925900000000002</v>
      </c>
      <c r="K256" s="19">
        <v>10225</v>
      </c>
      <c r="L256" s="19">
        <v>7763</v>
      </c>
      <c r="M256" s="19">
        <v>24</v>
      </c>
      <c r="N256" s="19">
        <v>7163</v>
      </c>
      <c r="O256" s="19">
        <v>5439</v>
      </c>
      <c r="P256">
        <f t="shared" si="3"/>
        <v>0.75931872120619848</v>
      </c>
    </row>
    <row r="257" spans="1:16">
      <c r="A257" s="19" t="s">
        <v>683</v>
      </c>
      <c r="B257" s="19">
        <v>2027</v>
      </c>
      <c r="C257" s="19">
        <v>115</v>
      </c>
      <c r="D257" s="19" t="s">
        <v>170</v>
      </c>
      <c r="E257" s="19" t="s">
        <v>684</v>
      </c>
      <c r="F257" s="19">
        <v>52.297469999999997</v>
      </c>
      <c r="G257" s="19">
        <v>4.9651009999999998</v>
      </c>
      <c r="H257" s="19" t="s">
        <v>102</v>
      </c>
      <c r="I257" s="19">
        <v>216</v>
      </c>
      <c r="J257" s="19">
        <v>0.53240699999999996</v>
      </c>
      <c r="K257" s="19">
        <v>10225</v>
      </c>
      <c r="L257" s="19">
        <v>5444</v>
      </c>
      <c r="M257" s="19">
        <v>24</v>
      </c>
      <c r="N257" s="19">
        <v>7163</v>
      </c>
      <c r="O257" s="19">
        <v>3814</v>
      </c>
      <c r="P257">
        <f t="shared" si="3"/>
        <v>0.53245846712271394</v>
      </c>
    </row>
    <row r="258" spans="1:16">
      <c r="A258" s="19" t="s">
        <v>685</v>
      </c>
      <c r="B258" s="19">
        <v>2027</v>
      </c>
      <c r="C258" s="19">
        <v>110</v>
      </c>
      <c r="D258" s="19" t="s">
        <v>300</v>
      </c>
      <c r="E258" s="19" t="s">
        <v>686</v>
      </c>
      <c r="F258" s="19">
        <v>52.325130000000001</v>
      </c>
      <c r="G258" s="19">
        <v>5.0352639999999997</v>
      </c>
      <c r="H258" s="19" t="s">
        <v>102</v>
      </c>
      <c r="I258" s="19">
        <v>216</v>
      </c>
      <c r="J258" s="19">
        <v>0.50925900000000002</v>
      </c>
      <c r="K258" s="19">
        <v>10225</v>
      </c>
      <c r="L258" s="19">
        <v>5207</v>
      </c>
      <c r="M258" s="19">
        <v>24</v>
      </c>
      <c r="N258" s="19">
        <v>7163</v>
      </c>
      <c r="O258" s="19">
        <v>3648</v>
      </c>
      <c r="P258">
        <f t="shared" si="3"/>
        <v>0.50928381962864722</v>
      </c>
    </row>
    <row r="259" spans="1:16">
      <c r="A259" s="19" t="s">
        <v>687</v>
      </c>
      <c r="B259" s="19">
        <v>2027</v>
      </c>
      <c r="C259" s="19">
        <v>250</v>
      </c>
      <c r="D259" s="19" t="s">
        <v>193</v>
      </c>
      <c r="E259" s="19" t="s">
        <v>688</v>
      </c>
      <c r="F259" s="19">
        <v>52.332639999999998</v>
      </c>
      <c r="G259" s="19">
        <v>4.917942</v>
      </c>
      <c r="H259" s="19" t="s">
        <v>102</v>
      </c>
      <c r="I259" s="19">
        <v>216</v>
      </c>
      <c r="J259" s="19">
        <v>1.1574070000000001</v>
      </c>
      <c r="K259" s="19">
        <v>10225</v>
      </c>
      <c r="L259" s="19">
        <v>11834</v>
      </c>
      <c r="M259" s="19">
        <v>24</v>
      </c>
      <c r="N259" s="19">
        <v>7163</v>
      </c>
      <c r="O259" s="19">
        <v>8291</v>
      </c>
      <c r="P259">
        <f t="shared" ref="P259:P322" si="4">O259/N259</f>
        <v>1.1574759179114895</v>
      </c>
    </row>
    <row r="260" spans="1:16">
      <c r="A260" s="19" t="s">
        <v>689</v>
      </c>
      <c r="B260" s="19">
        <v>2027</v>
      </c>
      <c r="C260" s="19">
        <v>248</v>
      </c>
      <c r="D260" s="19" t="s">
        <v>196</v>
      </c>
      <c r="E260" s="19" t="s">
        <v>690</v>
      </c>
      <c r="F260" s="19">
        <v>52.342640000000003</v>
      </c>
      <c r="G260" s="19">
        <v>4.8303079999999996</v>
      </c>
      <c r="H260" s="19" t="s">
        <v>102</v>
      </c>
      <c r="I260" s="19">
        <v>216</v>
      </c>
      <c r="J260" s="19">
        <v>1.1481479999999999</v>
      </c>
      <c r="K260" s="19">
        <v>10225</v>
      </c>
      <c r="L260" s="19">
        <v>11740</v>
      </c>
      <c r="M260" s="19">
        <v>24</v>
      </c>
      <c r="N260" s="19">
        <v>7163</v>
      </c>
      <c r="O260" s="19">
        <v>8224</v>
      </c>
      <c r="P260">
        <f t="shared" si="4"/>
        <v>1.1481222951277397</v>
      </c>
    </row>
    <row r="261" spans="1:16">
      <c r="A261" s="19" t="s">
        <v>691</v>
      </c>
      <c r="B261" s="19">
        <v>2027</v>
      </c>
      <c r="C261" s="19">
        <v>46</v>
      </c>
      <c r="D261" s="19" t="s">
        <v>196</v>
      </c>
      <c r="E261" s="19" t="s">
        <v>692</v>
      </c>
      <c r="F261" s="19">
        <v>52.359650000000002</v>
      </c>
      <c r="G261" s="19">
        <v>4.8318089999999998</v>
      </c>
      <c r="H261" s="19" t="s">
        <v>102</v>
      </c>
      <c r="I261" s="19">
        <v>216</v>
      </c>
      <c r="J261" s="19">
        <v>0.21296300000000001</v>
      </c>
      <c r="K261" s="19">
        <v>10225</v>
      </c>
      <c r="L261" s="19">
        <v>2178</v>
      </c>
      <c r="M261" s="19">
        <v>24</v>
      </c>
      <c r="N261" s="19">
        <v>7163</v>
      </c>
      <c r="O261" s="19">
        <v>1525</v>
      </c>
      <c r="P261">
        <f t="shared" si="4"/>
        <v>0.21289962306296245</v>
      </c>
    </row>
    <row r="262" spans="1:16">
      <c r="A262" s="19" t="s">
        <v>693</v>
      </c>
      <c r="B262" s="19">
        <v>2027</v>
      </c>
      <c r="C262" s="19">
        <v>131</v>
      </c>
      <c r="D262" s="19" t="s">
        <v>196</v>
      </c>
      <c r="E262" s="19" t="s">
        <v>694</v>
      </c>
      <c r="F262" s="19">
        <v>52.35886</v>
      </c>
      <c r="G262" s="19">
        <v>4.7998260000000004</v>
      </c>
      <c r="H262" s="19" t="s">
        <v>102</v>
      </c>
      <c r="I262" s="19">
        <v>216</v>
      </c>
      <c r="J262" s="19">
        <v>0.60648100000000005</v>
      </c>
      <c r="K262" s="19">
        <v>10225</v>
      </c>
      <c r="L262" s="19">
        <v>6201</v>
      </c>
      <c r="M262" s="19">
        <v>24</v>
      </c>
      <c r="N262" s="19">
        <v>7163</v>
      </c>
      <c r="O262" s="19">
        <v>4344</v>
      </c>
      <c r="P262">
        <f t="shared" si="4"/>
        <v>0.60644981153148125</v>
      </c>
    </row>
    <row r="263" spans="1:16">
      <c r="A263" s="19" t="s">
        <v>695</v>
      </c>
      <c r="B263" s="19">
        <v>2027</v>
      </c>
      <c r="C263" s="19">
        <v>275</v>
      </c>
      <c r="D263" s="19" t="s">
        <v>170</v>
      </c>
      <c r="E263" s="19" t="s">
        <v>696</v>
      </c>
      <c r="F263" s="19">
        <v>52.313879999999997</v>
      </c>
      <c r="G263" s="19">
        <v>4.9507000000000003</v>
      </c>
      <c r="H263" s="19" t="s">
        <v>102</v>
      </c>
      <c r="I263" s="19">
        <v>216</v>
      </c>
      <c r="J263" s="19">
        <v>1.2731479999999999</v>
      </c>
      <c r="K263" s="19">
        <v>10225</v>
      </c>
      <c r="L263" s="19">
        <v>13018</v>
      </c>
      <c r="M263" s="19">
        <v>24</v>
      </c>
      <c r="N263" s="19">
        <v>7163</v>
      </c>
      <c r="O263" s="19">
        <v>9120</v>
      </c>
      <c r="P263">
        <f t="shared" si="4"/>
        <v>1.273209549071618</v>
      </c>
    </row>
    <row r="264" spans="1:16">
      <c r="A264" s="19" t="s">
        <v>697</v>
      </c>
      <c r="B264" s="19">
        <v>2027</v>
      </c>
      <c r="C264" s="19">
        <v>682</v>
      </c>
      <c r="D264" s="19" t="s">
        <v>175</v>
      </c>
      <c r="E264" s="19" t="s">
        <v>698</v>
      </c>
      <c r="F264" s="19">
        <v>52.391019999999997</v>
      </c>
      <c r="G264" s="19">
        <v>4.9047489999999998</v>
      </c>
      <c r="H264" s="19" t="s">
        <v>104</v>
      </c>
      <c r="I264" s="19">
        <v>592</v>
      </c>
      <c r="J264" s="19">
        <v>1.1520269999999999</v>
      </c>
      <c r="K264" s="19">
        <v>75000</v>
      </c>
      <c r="L264" s="19">
        <v>86402</v>
      </c>
      <c r="M264" s="19">
        <v>36</v>
      </c>
      <c r="N264" s="19">
        <v>50000</v>
      </c>
      <c r="O264" s="19">
        <v>57601</v>
      </c>
      <c r="P264">
        <f t="shared" si="4"/>
        <v>1.15202</v>
      </c>
    </row>
    <row r="265" spans="1:16">
      <c r="A265" s="19" t="s">
        <v>699</v>
      </c>
      <c r="B265" s="19">
        <v>2027</v>
      </c>
      <c r="C265" s="19">
        <v>105</v>
      </c>
      <c r="D265" s="19" t="s">
        <v>193</v>
      </c>
      <c r="E265" s="19" t="s">
        <v>700</v>
      </c>
      <c r="F265" s="19">
        <v>52.335700000000003</v>
      </c>
      <c r="G265" s="19">
        <v>4.9165559999999999</v>
      </c>
      <c r="H265" s="19" t="s">
        <v>102</v>
      </c>
      <c r="I265" s="19">
        <v>216</v>
      </c>
      <c r="J265" s="19">
        <v>0.48611100000000002</v>
      </c>
      <c r="K265" s="19">
        <v>10225</v>
      </c>
      <c r="L265" s="19">
        <v>4970</v>
      </c>
      <c r="M265" s="19">
        <v>24</v>
      </c>
      <c r="N265" s="19">
        <v>7163</v>
      </c>
      <c r="O265" s="19">
        <v>3482</v>
      </c>
      <c r="P265">
        <f t="shared" si="4"/>
        <v>0.48610917213458049</v>
      </c>
    </row>
    <row r="266" spans="1:16">
      <c r="A266" s="19" t="s">
        <v>701</v>
      </c>
      <c r="B266" s="19">
        <v>2027</v>
      </c>
      <c r="C266" s="19">
        <v>322</v>
      </c>
      <c r="D266" s="19" t="s">
        <v>175</v>
      </c>
      <c r="E266" s="19" t="s">
        <v>702</v>
      </c>
      <c r="F266" s="19">
        <v>52.404260000000001</v>
      </c>
      <c r="G266" s="19">
        <v>4.8922679999999996</v>
      </c>
      <c r="H266" s="19" t="s">
        <v>103</v>
      </c>
      <c r="I266" s="19">
        <v>350</v>
      </c>
      <c r="J266" s="19">
        <v>0.92</v>
      </c>
      <c r="K266" s="19">
        <v>32297</v>
      </c>
      <c r="L266" s="19">
        <v>29713</v>
      </c>
      <c r="M266" s="19">
        <v>30</v>
      </c>
      <c r="N266" s="19">
        <v>26588</v>
      </c>
      <c r="O266" s="19">
        <v>24461</v>
      </c>
      <c r="P266">
        <f t="shared" si="4"/>
        <v>0.92000150443809237</v>
      </c>
    </row>
    <row r="267" spans="1:16">
      <c r="A267" s="19" t="s">
        <v>703</v>
      </c>
      <c r="B267" s="19">
        <v>2028</v>
      </c>
      <c r="C267" s="19">
        <v>300</v>
      </c>
      <c r="D267" s="19" t="s">
        <v>175</v>
      </c>
      <c r="E267" s="19" t="s">
        <v>704</v>
      </c>
      <c r="F267" s="19">
        <v>52.397030000000001</v>
      </c>
      <c r="G267" s="19">
        <v>4.9412180000000001</v>
      </c>
      <c r="H267" s="19" t="s">
        <v>103</v>
      </c>
      <c r="I267" s="19">
        <v>350</v>
      </c>
      <c r="J267" s="19">
        <v>0.85714299999999999</v>
      </c>
      <c r="K267" s="19">
        <v>32297</v>
      </c>
      <c r="L267" s="19">
        <v>27683</v>
      </c>
      <c r="M267" s="19">
        <v>30</v>
      </c>
      <c r="N267" s="19">
        <v>26588</v>
      </c>
      <c r="O267" s="19">
        <v>22790</v>
      </c>
      <c r="P267">
        <f t="shared" si="4"/>
        <v>0.85715360312923128</v>
      </c>
    </row>
    <row r="268" spans="1:16">
      <c r="A268" s="19" t="s">
        <v>705</v>
      </c>
      <c r="B268" s="19">
        <v>2028</v>
      </c>
      <c r="C268" s="19">
        <v>1000</v>
      </c>
      <c r="D268" s="19" t="s">
        <v>612</v>
      </c>
      <c r="E268" s="19" t="s">
        <v>706</v>
      </c>
      <c r="F268" s="19">
        <v>52.319429999999997</v>
      </c>
      <c r="G268" s="19">
        <v>4.925643</v>
      </c>
      <c r="H268" s="19" t="s">
        <v>104</v>
      </c>
      <c r="I268" s="19">
        <v>592</v>
      </c>
      <c r="J268" s="19">
        <v>1.6891890000000001</v>
      </c>
      <c r="K268" s="19">
        <v>75000</v>
      </c>
      <c r="L268" s="19">
        <v>126689</v>
      </c>
      <c r="M268" s="19">
        <v>36</v>
      </c>
      <c r="N268" s="19">
        <v>50000</v>
      </c>
      <c r="O268" s="19">
        <v>84459</v>
      </c>
      <c r="P268">
        <f t="shared" si="4"/>
        <v>1.6891799999999999</v>
      </c>
    </row>
    <row r="269" spans="1:16">
      <c r="A269" s="19" t="s">
        <v>707</v>
      </c>
      <c r="B269" s="19">
        <v>2028</v>
      </c>
      <c r="C269" s="19">
        <v>103</v>
      </c>
      <c r="D269" s="19" t="s">
        <v>193</v>
      </c>
      <c r="E269" s="19" t="s">
        <v>708</v>
      </c>
      <c r="F269" s="19">
        <v>52.360779999999998</v>
      </c>
      <c r="G269" s="19">
        <v>5.0147919999999999</v>
      </c>
      <c r="H269" s="19" t="s">
        <v>102</v>
      </c>
      <c r="I269" s="19">
        <v>216</v>
      </c>
      <c r="J269" s="19">
        <v>0.476852</v>
      </c>
      <c r="K269" s="19">
        <v>10225</v>
      </c>
      <c r="L269" s="19">
        <v>4876</v>
      </c>
      <c r="M269" s="19">
        <v>24</v>
      </c>
      <c r="N269" s="19">
        <v>7163</v>
      </c>
      <c r="O269" s="19">
        <v>3416</v>
      </c>
      <c r="P269">
        <f t="shared" si="4"/>
        <v>0.47689515566103585</v>
      </c>
    </row>
    <row r="270" spans="1:16">
      <c r="A270" s="19" t="s">
        <v>709</v>
      </c>
      <c r="B270" s="19">
        <v>2028</v>
      </c>
      <c r="C270" s="19">
        <v>100</v>
      </c>
      <c r="D270" s="19" t="s">
        <v>193</v>
      </c>
      <c r="E270" s="19" t="s">
        <v>710</v>
      </c>
      <c r="F270" s="19">
        <v>52.359439999999999</v>
      </c>
      <c r="G270" s="19">
        <v>5.015085</v>
      </c>
      <c r="H270" s="19" t="s">
        <v>102</v>
      </c>
      <c r="I270" s="19">
        <v>216</v>
      </c>
      <c r="J270" s="19">
        <v>0.46296300000000001</v>
      </c>
      <c r="K270" s="19">
        <v>10225</v>
      </c>
      <c r="L270" s="19">
        <v>4734</v>
      </c>
      <c r="M270" s="19">
        <v>24</v>
      </c>
      <c r="N270" s="19">
        <v>7163</v>
      </c>
      <c r="O270" s="19">
        <v>3316</v>
      </c>
      <c r="P270">
        <f t="shared" si="4"/>
        <v>0.46293452464051377</v>
      </c>
    </row>
    <row r="271" spans="1:16">
      <c r="A271" s="19" t="s">
        <v>711</v>
      </c>
      <c r="B271" s="19">
        <v>2028</v>
      </c>
      <c r="C271" s="19">
        <v>184</v>
      </c>
      <c r="D271" s="19" t="s">
        <v>170</v>
      </c>
      <c r="E271" s="19" t="s">
        <v>712</v>
      </c>
      <c r="F271" s="19">
        <v>52.297260000000001</v>
      </c>
      <c r="G271" s="19">
        <v>4.974227</v>
      </c>
      <c r="H271" s="19" t="s">
        <v>102</v>
      </c>
      <c r="I271" s="19">
        <v>216</v>
      </c>
      <c r="J271" s="19">
        <v>0.85185200000000005</v>
      </c>
      <c r="K271" s="19">
        <v>10225</v>
      </c>
      <c r="L271" s="19">
        <v>8710</v>
      </c>
      <c r="M271" s="19">
        <v>24</v>
      </c>
      <c r="N271" s="19">
        <v>7163</v>
      </c>
      <c r="O271" s="19">
        <v>6102</v>
      </c>
      <c r="P271">
        <f t="shared" si="4"/>
        <v>0.85187770487226022</v>
      </c>
    </row>
    <row r="272" spans="1:16">
      <c r="A272" s="19" t="s">
        <v>713</v>
      </c>
      <c r="B272" s="19">
        <v>2028</v>
      </c>
      <c r="C272" s="19">
        <v>187</v>
      </c>
      <c r="D272" s="19" t="s">
        <v>175</v>
      </c>
      <c r="E272" s="19" t="s">
        <v>714</v>
      </c>
      <c r="F272" s="19">
        <v>52.396479999999997</v>
      </c>
      <c r="G272" s="19">
        <v>4.8974070000000003</v>
      </c>
      <c r="H272" s="19" t="s">
        <v>102</v>
      </c>
      <c r="I272" s="19">
        <v>216</v>
      </c>
      <c r="J272" s="19">
        <v>0.86574099999999998</v>
      </c>
      <c r="K272" s="19">
        <v>10225</v>
      </c>
      <c r="L272" s="19">
        <v>8852</v>
      </c>
      <c r="M272" s="19">
        <v>24</v>
      </c>
      <c r="N272" s="19">
        <v>7163</v>
      </c>
      <c r="O272" s="19">
        <v>6201</v>
      </c>
      <c r="P272">
        <f t="shared" si="4"/>
        <v>0.8656987295825771</v>
      </c>
    </row>
    <row r="273" spans="1:16">
      <c r="A273" s="19" t="s">
        <v>715</v>
      </c>
      <c r="B273" s="19">
        <v>2028</v>
      </c>
      <c r="C273" s="19">
        <v>66</v>
      </c>
      <c r="D273" s="19" t="s">
        <v>196</v>
      </c>
      <c r="E273" s="19" t="s">
        <v>716</v>
      </c>
      <c r="F273" s="19">
        <v>52.387680000000003</v>
      </c>
      <c r="G273" s="19">
        <v>4.8319150000000004</v>
      </c>
      <c r="H273" s="19" t="s">
        <v>102</v>
      </c>
      <c r="I273" s="19">
        <v>216</v>
      </c>
      <c r="J273" s="19">
        <v>0.30555599999999999</v>
      </c>
      <c r="K273" s="19">
        <v>10225</v>
      </c>
      <c r="L273" s="19">
        <v>3124</v>
      </c>
      <c r="M273" s="19">
        <v>24</v>
      </c>
      <c r="N273" s="19">
        <v>7163</v>
      </c>
      <c r="O273" s="19">
        <v>2189</v>
      </c>
      <c r="P273">
        <f t="shared" si="4"/>
        <v>0.30559821303922935</v>
      </c>
    </row>
    <row r="274" spans="1:16">
      <c r="A274" s="19" t="s">
        <v>717</v>
      </c>
      <c r="B274" s="19">
        <v>2028</v>
      </c>
      <c r="C274" s="19">
        <v>70</v>
      </c>
      <c r="D274" s="19" t="s">
        <v>196</v>
      </c>
      <c r="E274" s="19" t="s">
        <v>718</v>
      </c>
      <c r="F274" s="19">
        <v>52.386760000000002</v>
      </c>
      <c r="G274" s="19">
        <v>4.8320489999999996</v>
      </c>
      <c r="H274" s="19" t="s">
        <v>102</v>
      </c>
      <c r="I274" s="19">
        <v>216</v>
      </c>
      <c r="J274" s="19">
        <v>0.32407399999999997</v>
      </c>
      <c r="K274" s="19">
        <v>10225</v>
      </c>
      <c r="L274" s="19">
        <v>3314</v>
      </c>
      <c r="M274" s="19">
        <v>24</v>
      </c>
      <c r="N274" s="19">
        <v>7163</v>
      </c>
      <c r="O274" s="19">
        <v>2321</v>
      </c>
      <c r="P274">
        <f t="shared" si="4"/>
        <v>0.32402624598631857</v>
      </c>
    </row>
    <row r="275" spans="1:16">
      <c r="A275" s="19" t="s">
        <v>719</v>
      </c>
      <c r="B275" s="19">
        <v>2028</v>
      </c>
      <c r="C275" s="19">
        <v>110</v>
      </c>
      <c r="D275" s="19" t="s">
        <v>196</v>
      </c>
      <c r="E275" s="19" t="s">
        <v>720</v>
      </c>
      <c r="F275" s="19">
        <v>52.386290000000002</v>
      </c>
      <c r="G275" s="19">
        <v>4.8323460000000003</v>
      </c>
      <c r="H275" s="19" t="s">
        <v>102</v>
      </c>
      <c r="I275" s="19">
        <v>216</v>
      </c>
      <c r="J275" s="19">
        <v>0.50925900000000002</v>
      </c>
      <c r="K275" s="19">
        <v>10225</v>
      </c>
      <c r="L275" s="19">
        <v>5207</v>
      </c>
      <c r="M275" s="19">
        <v>24</v>
      </c>
      <c r="N275" s="19">
        <v>7163</v>
      </c>
      <c r="O275" s="19">
        <v>3648</v>
      </c>
      <c r="P275">
        <f t="shared" si="4"/>
        <v>0.50928381962864722</v>
      </c>
    </row>
    <row r="276" spans="1:16">
      <c r="A276" s="19" t="s">
        <v>721</v>
      </c>
      <c r="B276" s="19">
        <v>2028</v>
      </c>
      <c r="C276" s="19">
        <v>214</v>
      </c>
      <c r="D276" s="19" t="s">
        <v>196</v>
      </c>
      <c r="E276" s="19" t="s">
        <v>722</v>
      </c>
      <c r="F276" s="19">
        <v>52.38823</v>
      </c>
      <c r="G276" s="19">
        <v>4.8368250000000002</v>
      </c>
      <c r="H276" s="19" t="s">
        <v>102</v>
      </c>
      <c r="I276" s="19">
        <v>216</v>
      </c>
      <c r="J276" s="19">
        <v>0.99074099999999998</v>
      </c>
      <c r="K276" s="19">
        <v>10225</v>
      </c>
      <c r="L276" s="19">
        <v>10130</v>
      </c>
      <c r="M276" s="19">
        <v>24</v>
      </c>
      <c r="N276" s="19">
        <v>7163</v>
      </c>
      <c r="O276" s="19">
        <v>7097</v>
      </c>
      <c r="P276">
        <f t="shared" si="4"/>
        <v>0.99078598352645542</v>
      </c>
    </row>
    <row r="277" spans="1:16">
      <c r="A277" s="19" t="s">
        <v>723</v>
      </c>
      <c r="B277" s="19">
        <v>2028</v>
      </c>
      <c r="C277" s="19">
        <v>150</v>
      </c>
      <c r="D277" s="19" t="s">
        <v>196</v>
      </c>
      <c r="E277" s="19" t="s">
        <v>724</v>
      </c>
      <c r="F277" s="19">
        <v>52.388129999999997</v>
      </c>
      <c r="G277" s="19">
        <v>4.8399409999999996</v>
      </c>
      <c r="H277" s="19" t="s">
        <v>102</v>
      </c>
      <c r="I277" s="19">
        <v>216</v>
      </c>
      <c r="J277" s="19">
        <v>0.69444399999999995</v>
      </c>
      <c r="K277" s="19">
        <v>10225</v>
      </c>
      <c r="L277" s="19">
        <v>7101</v>
      </c>
      <c r="M277" s="19">
        <v>24</v>
      </c>
      <c r="N277" s="19">
        <v>7163</v>
      </c>
      <c r="O277" s="19">
        <v>4974</v>
      </c>
      <c r="P277">
        <f t="shared" si="4"/>
        <v>0.6944017869607706</v>
      </c>
    </row>
    <row r="278" spans="1:16">
      <c r="A278" s="19" t="s">
        <v>725</v>
      </c>
      <c r="B278" s="19">
        <v>2028</v>
      </c>
      <c r="C278" s="19">
        <v>200</v>
      </c>
      <c r="D278" s="19" t="s">
        <v>175</v>
      </c>
      <c r="E278" s="19" t="s">
        <v>726</v>
      </c>
      <c r="F278" s="19">
        <v>52.404699999999998</v>
      </c>
      <c r="G278" s="19">
        <v>4.8946719999999999</v>
      </c>
      <c r="H278" s="19" t="s">
        <v>102</v>
      </c>
      <c r="I278" s="19">
        <v>216</v>
      </c>
      <c r="J278" s="19">
        <v>0.92592600000000003</v>
      </c>
      <c r="K278" s="19">
        <v>10225</v>
      </c>
      <c r="L278" s="19">
        <v>9468</v>
      </c>
      <c r="M278" s="19">
        <v>24</v>
      </c>
      <c r="N278" s="19">
        <v>7163</v>
      </c>
      <c r="O278" s="19">
        <v>6632</v>
      </c>
      <c r="P278">
        <f t="shared" si="4"/>
        <v>0.92586904928102753</v>
      </c>
    </row>
    <row r="279" spans="1:16">
      <c r="A279" s="19" t="s">
        <v>652</v>
      </c>
      <c r="B279" s="19">
        <v>2028</v>
      </c>
      <c r="C279" s="19">
        <v>588</v>
      </c>
      <c r="D279" s="19" t="s">
        <v>193</v>
      </c>
      <c r="E279" s="19" t="s">
        <v>727</v>
      </c>
      <c r="F279" s="19">
        <v>52.37726</v>
      </c>
      <c r="G279" s="19">
        <v>4.9610979999999998</v>
      </c>
      <c r="H279" s="19" t="s">
        <v>104</v>
      </c>
      <c r="I279" s="19">
        <v>592</v>
      </c>
      <c r="J279" s="19">
        <v>0.99324299999999999</v>
      </c>
      <c r="K279" s="19">
        <v>75000</v>
      </c>
      <c r="L279" s="19">
        <v>74493</v>
      </c>
      <c r="M279" s="19">
        <v>36</v>
      </c>
      <c r="N279" s="19">
        <v>50000</v>
      </c>
      <c r="O279" s="19">
        <v>49662</v>
      </c>
      <c r="P279">
        <f t="shared" si="4"/>
        <v>0.99324000000000001</v>
      </c>
    </row>
    <row r="280" spans="1:16">
      <c r="A280" s="19" t="s">
        <v>728</v>
      </c>
      <c r="B280" s="19">
        <v>2028</v>
      </c>
      <c r="C280" s="19">
        <v>101</v>
      </c>
      <c r="D280" s="19" t="s">
        <v>188</v>
      </c>
      <c r="E280" s="19" t="s">
        <v>729</v>
      </c>
      <c r="F280" s="19">
        <v>52.37903</v>
      </c>
      <c r="G280" s="19">
        <v>4.8641439999999996</v>
      </c>
      <c r="H280" s="19" t="s">
        <v>102</v>
      </c>
      <c r="I280" s="19">
        <v>216</v>
      </c>
      <c r="J280" s="19">
        <v>0.46759299999999998</v>
      </c>
      <c r="K280" s="19">
        <v>10225</v>
      </c>
      <c r="L280" s="19">
        <v>4781</v>
      </c>
      <c r="M280" s="19">
        <v>24</v>
      </c>
      <c r="N280" s="19">
        <v>7163</v>
      </c>
      <c r="O280" s="19">
        <v>3349</v>
      </c>
      <c r="P280">
        <f t="shared" si="4"/>
        <v>0.46754153287728606</v>
      </c>
    </row>
    <row r="281" spans="1:16">
      <c r="A281" s="19" t="s">
        <v>730</v>
      </c>
      <c r="B281" s="19">
        <v>2028</v>
      </c>
      <c r="C281" s="19">
        <v>300</v>
      </c>
      <c r="D281" s="19" t="s">
        <v>188</v>
      </c>
      <c r="E281" s="19" t="s">
        <v>731</v>
      </c>
      <c r="F281" s="19">
        <v>52.389980000000001</v>
      </c>
      <c r="G281" s="19">
        <v>4.8523490000000002</v>
      </c>
      <c r="H281" s="19" t="s">
        <v>103</v>
      </c>
      <c r="I281" s="19">
        <v>350</v>
      </c>
      <c r="J281" s="19">
        <v>0.85714299999999999</v>
      </c>
      <c r="K281" s="19">
        <v>32297</v>
      </c>
      <c r="L281" s="19">
        <v>27683</v>
      </c>
      <c r="M281" s="19">
        <v>30</v>
      </c>
      <c r="N281" s="19">
        <v>26588</v>
      </c>
      <c r="O281" s="19">
        <v>22790</v>
      </c>
      <c r="P281">
        <f t="shared" si="4"/>
        <v>0.85715360312923128</v>
      </c>
    </row>
    <row r="282" spans="1:16">
      <c r="A282" s="19" t="s">
        <v>732</v>
      </c>
      <c r="B282" s="19">
        <v>2028</v>
      </c>
      <c r="C282" s="19">
        <v>127</v>
      </c>
      <c r="D282" s="19" t="s">
        <v>170</v>
      </c>
      <c r="E282" s="19" t="s">
        <v>733</v>
      </c>
      <c r="F282" s="19">
        <v>52.317839999999997</v>
      </c>
      <c r="G282" s="19">
        <v>4.9463020000000002</v>
      </c>
      <c r="H282" s="19" t="s">
        <v>102</v>
      </c>
      <c r="I282" s="19">
        <v>216</v>
      </c>
      <c r="J282" s="19">
        <v>0.58796300000000001</v>
      </c>
      <c r="K282" s="19">
        <v>10225</v>
      </c>
      <c r="L282" s="19">
        <v>6012</v>
      </c>
      <c r="M282" s="19">
        <v>24</v>
      </c>
      <c r="N282" s="19">
        <v>7163</v>
      </c>
      <c r="O282" s="19">
        <v>4212</v>
      </c>
      <c r="P282">
        <f t="shared" si="4"/>
        <v>0.58802177858439197</v>
      </c>
    </row>
    <row r="283" spans="1:16">
      <c r="A283" s="19" t="s">
        <v>734</v>
      </c>
      <c r="B283" s="19">
        <v>2028</v>
      </c>
      <c r="C283" s="19">
        <v>125</v>
      </c>
      <c r="D283" s="19" t="s">
        <v>170</v>
      </c>
      <c r="E283" s="19" t="s">
        <v>735</v>
      </c>
      <c r="F283" s="19">
        <v>52.317279999999997</v>
      </c>
      <c r="G283" s="19">
        <v>4.94693</v>
      </c>
      <c r="H283" s="19" t="s">
        <v>102</v>
      </c>
      <c r="I283" s="19">
        <v>216</v>
      </c>
      <c r="J283" s="19">
        <v>0.578704</v>
      </c>
      <c r="K283" s="19">
        <v>10225</v>
      </c>
      <c r="L283" s="19">
        <v>5917</v>
      </c>
      <c r="M283" s="19">
        <v>24</v>
      </c>
      <c r="N283" s="19">
        <v>7163</v>
      </c>
      <c r="O283" s="19">
        <v>4145</v>
      </c>
      <c r="P283">
        <f t="shared" si="4"/>
        <v>0.57866815580064224</v>
      </c>
    </row>
    <row r="284" spans="1:16">
      <c r="A284" s="19" t="s">
        <v>736</v>
      </c>
      <c r="B284" s="19">
        <v>2028</v>
      </c>
      <c r="C284" s="19">
        <v>312</v>
      </c>
      <c r="D284" s="19" t="s">
        <v>170</v>
      </c>
      <c r="E284" s="19" t="s">
        <v>737</v>
      </c>
      <c r="F284" s="19">
        <v>52.317540000000001</v>
      </c>
      <c r="G284" s="19">
        <v>4.9476760000000004</v>
      </c>
      <c r="H284" s="19" t="s">
        <v>103</v>
      </c>
      <c r="I284" s="19">
        <v>350</v>
      </c>
      <c r="J284" s="19">
        <v>0.89142900000000003</v>
      </c>
      <c r="K284" s="19">
        <v>32297</v>
      </c>
      <c r="L284" s="19">
        <v>28790</v>
      </c>
      <c r="M284" s="19">
        <v>30</v>
      </c>
      <c r="N284" s="19">
        <v>26588</v>
      </c>
      <c r="O284" s="19">
        <v>23701</v>
      </c>
      <c r="P284">
        <f t="shared" si="4"/>
        <v>0.8914171806830149</v>
      </c>
    </row>
    <row r="285" spans="1:16">
      <c r="A285" s="19" t="s">
        <v>543</v>
      </c>
      <c r="B285" s="19">
        <v>2028</v>
      </c>
      <c r="C285" s="19">
        <v>149</v>
      </c>
      <c r="D285" s="19" t="s">
        <v>231</v>
      </c>
      <c r="E285" s="19" t="s">
        <v>738</v>
      </c>
      <c r="F285" s="19">
        <v>52.341949999999997</v>
      </c>
      <c r="G285" s="19">
        <v>4.8445640000000001</v>
      </c>
      <c r="H285" s="19" t="s">
        <v>102</v>
      </c>
      <c r="I285" s="19">
        <v>216</v>
      </c>
      <c r="J285" s="19">
        <v>0.68981499999999996</v>
      </c>
      <c r="K285" s="19">
        <v>10225</v>
      </c>
      <c r="L285" s="19">
        <v>7053</v>
      </c>
      <c r="M285" s="19">
        <v>24</v>
      </c>
      <c r="N285" s="19">
        <v>7163</v>
      </c>
      <c r="O285" s="19">
        <v>4941</v>
      </c>
      <c r="P285">
        <f t="shared" si="4"/>
        <v>0.6897947787239983</v>
      </c>
    </row>
    <row r="286" spans="1:16">
      <c r="A286" s="19" t="s">
        <v>739</v>
      </c>
      <c r="B286" s="19">
        <v>2028</v>
      </c>
      <c r="C286" s="19">
        <v>58</v>
      </c>
      <c r="D286" s="19" t="s">
        <v>196</v>
      </c>
      <c r="E286" s="19" t="s">
        <v>740</v>
      </c>
      <c r="F286" s="19">
        <v>52.346269999999997</v>
      </c>
      <c r="G286" s="19">
        <v>4.8330219999999997</v>
      </c>
      <c r="H286" s="19" t="s">
        <v>102</v>
      </c>
      <c r="I286" s="19">
        <v>216</v>
      </c>
      <c r="J286" s="19">
        <v>0.26851900000000001</v>
      </c>
      <c r="K286" s="19">
        <v>10225</v>
      </c>
      <c r="L286" s="19">
        <v>2746</v>
      </c>
      <c r="M286" s="19">
        <v>24</v>
      </c>
      <c r="N286" s="19">
        <v>7163</v>
      </c>
      <c r="O286" s="19">
        <v>1923</v>
      </c>
      <c r="P286">
        <f t="shared" si="4"/>
        <v>0.26846293452464054</v>
      </c>
    </row>
    <row r="287" spans="1:16">
      <c r="A287" s="19" t="s">
        <v>741</v>
      </c>
      <c r="B287" s="19">
        <v>2028</v>
      </c>
      <c r="C287" s="19">
        <v>88</v>
      </c>
      <c r="D287" s="19" t="s">
        <v>196</v>
      </c>
      <c r="E287" s="19" t="s">
        <v>742</v>
      </c>
      <c r="F287" s="19">
        <v>52.349150000000002</v>
      </c>
      <c r="G287" s="19">
        <v>4.8264500000000004</v>
      </c>
      <c r="H287" s="19" t="s">
        <v>102</v>
      </c>
      <c r="I287" s="19">
        <v>216</v>
      </c>
      <c r="J287" s="19">
        <v>0.40740700000000002</v>
      </c>
      <c r="K287" s="19">
        <v>10225</v>
      </c>
      <c r="L287" s="19">
        <v>4166</v>
      </c>
      <c r="M287" s="19">
        <v>24</v>
      </c>
      <c r="N287" s="19">
        <v>7163</v>
      </c>
      <c r="O287" s="19">
        <v>2918</v>
      </c>
      <c r="P287">
        <f t="shared" si="4"/>
        <v>0.40737121317883568</v>
      </c>
    </row>
    <row r="288" spans="1:16">
      <c r="A288" s="19" t="s">
        <v>743</v>
      </c>
      <c r="B288" s="19">
        <v>2028</v>
      </c>
      <c r="C288" s="19">
        <v>80</v>
      </c>
      <c r="D288" s="19" t="s">
        <v>196</v>
      </c>
      <c r="E288" s="19" t="s">
        <v>744</v>
      </c>
      <c r="F288" s="19">
        <v>52.376820000000002</v>
      </c>
      <c r="G288" s="19">
        <v>4.8050860000000002</v>
      </c>
      <c r="H288" s="19" t="s">
        <v>102</v>
      </c>
      <c r="I288" s="19">
        <v>216</v>
      </c>
      <c r="J288" s="19">
        <v>0.37036999999999998</v>
      </c>
      <c r="K288" s="19">
        <v>10225</v>
      </c>
      <c r="L288" s="19">
        <v>3787</v>
      </c>
      <c r="M288" s="19">
        <v>24</v>
      </c>
      <c r="N288" s="19">
        <v>7163</v>
      </c>
      <c r="O288" s="19">
        <v>2653</v>
      </c>
      <c r="P288">
        <f t="shared" si="4"/>
        <v>0.37037554097445202</v>
      </c>
    </row>
    <row r="289" spans="1:16">
      <c r="A289" s="19" t="s">
        <v>745</v>
      </c>
      <c r="B289" s="19">
        <v>2028</v>
      </c>
      <c r="C289" s="19">
        <v>90</v>
      </c>
      <c r="D289" s="19" t="s">
        <v>193</v>
      </c>
      <c r="E289" s="19" t="s">
        <v>746</v>
      </c>
      <c r="F289" s="19">
        <v>52.358049999999999</v>
      </c>
      <c r="G289" s="19">
        <v>5.0160330000000002</v>
      </c>
      <c r="H289" s="19" t="s">
        <v>102</v>
      </c>
      <c r="I289" s="19">
        <v>216</v>
      </c>
      <c r="J289" s="19">
        <v>0.41666700000000001</v>
      </c>
      <c r="K289" s="19">
        <v>10225</v>
      </c>
      <c r="L289" s="19">
        <v>4260</v>
      </c>
      <c r="M289" s="19">
        <v>24</v>
      </c>
      <c r="N289" s="19">
        <v>7163</v>
      </c>
      <c r="O289" s="19">
        <v>2985</v>
      </c>
      <c r="P289">
        <f t="shared" si="4"/>
        <v>0.41672483596258553</v>
      </c>
    </row>
    <row r="290" spans="1:16">
      <c r="A290" s="19" t="s">
        <v>747</v>
      </c>
      <c r="B290" s="19">
        <v>2028</v>
      </c>
      <c r="C290" s="19">
        <v>48</v>
      </c>
      <c r="D290" s="19" t="s">
        <v>193</v>
      </c>
      <c r="E290" s="19" t="s">
        <v>748</v>
      </c>
      <c r="F290" s="19">
        <v>52.360109999999999</v>
      </c>
      <c r="G290" s="19">
        <v>5.0147810000000002</v>
      </c>
      <c r="H290" s="19" t="s">
        <v>102</v>
      </c>
      <c r="I290" s="19">
        <v>216</v>
      </c>
      <c r="J290" s="19">
        <v>0.222222</v>
      </c>
      <c r="K290" s="19">
        <v>10225</v>
      </c>
      <c r="L290" s="19">
        <v>2272</v>
      </c>
      <c r="M290" s="19">
        <v>24</v>
      </c>
      <c r="N290" s="19">
        <v>7163</v>
      </c>
      <c r="O290" s="19">
        <v>1592</v>
      </c>
      <c r="P290">
        <f t="shared" si="4"/>
        <v>0.22225324584671227</v>
      </c>
    </row>
    <row r="291" spans="1:16">
      <c r="A291" s="19" t="s">
        <v>689</v>
      </c>
      <c r="B291" s="19">
        <v>2028</v>
      </c>
      <c r="C291" s="19">
        <v>120</v>
      </c>
      <c r="D291" s="19" t="s">
        <v>196</v>
      </c>
      <c r="E291" s="19" t="s">
        <v>749</v>
      </c>
      <c r="F291" s="19">
        <v>52.344169999999998</v>
      </c>
      <c r="G291" s="19">
        <v>4.8338479999999997</v>
      </c>
      <c r="H291" s="19" t="s">
        <v>102</v>
      </c>
      <c r="I291" s="19">
        <v>216</v>
      </c>
      <c r="J291" s="19">
        <v>0.55555600000000005</v>
      </c>
      <c r="K291" s="19">
        <v>10225</v>
      </c>
      <c r="L291" s="19">
        <v>5681</v>
      </c>
      <c r="M291" s="19">
        <v>24</v>
      </c>
      <c r="N291" s="19">
        <v>7163</v>
      </c>
      <c r="O291" s="19">
        <v>3979</v>
      </c>
      <c r="P291">
        <f t="shared" si="4"/>
        <v>0.55549350830657551</v>
      </c>
    </row>
    <row r="292" spans="1:16">
      <c r="A292" s="19" t="s">
        <v>750</v>
      </c>
      <c r="B292" s="19">
        <v>2028</v>
      </c>
      <c r="C292" s="19">
        <v>101</v>
      </c>
      <c r="D292" s="19" t="s">
        <v>193</v>
      </c>
      <c r="E292" s="19" t="s">
        <v>751</v>
      </c>
      <c r="F292" s="19">
        <v>52.373890000000003</v>
      </c>
      <c r="G292" s="19">
        <v>4.9593970000000001</v>
      </c>
      <c r="H292" s="19" t="s">
        <v>102</v>
      </c>
      <c r="I292" s="19">
        <v>216</v>
      </c>
      <c r="J292" s="19">
        <v>0.46759299999999998</v>
      </c>
      <c r="K292" s="19">
        <v>10225</v>
      </c>
      <c r="L292" s="19">
        <v>4781</v>
      </c>
      <c r="M292" s="19">
        <v>24</v>
      </c>
      <c r="N292" s="19">
        <v>7163</v>
      </c>
      <c r="O292" s="19">
        <v>3349</v>
      </c>
      <c r="P292">
        <f t="shared" si="4"/>
        <v>0.46754153287728606</v>
      </c>
    </row>
    <row r="293" spans="1:16">
      <c r="A293" s="19" t="s">
        <v>752</v>
      </c>
      <c r="B293" s="19">
        <v>2028</v>
      </c>
      <c r="C293" s="19">
        <v>281</v>
      </c>
      <c r="D293" s="19" t="s">
        <v>196</v>
      </c>
      <c r="E293" s="19" t="s">
        <v>753</v>
      </c>
      <c r="F293" s="19">
        <v>52.357390000000002</v>
      </c>
      <c r="G293" s="19">
        <v>4.8018539999999996</v>
      </c>
      <c r="H293" s="19" t="s">
        <v>102</v>
      </c>
      <c r="I293" s="19">
        <v>216</v>
      </c>
      <c r="J293" s="19">
        <v>1.300926</v>
      </c>
      <c r="K293" s="19">
        <v>10225</v>
      </c>
      <c r="L293" s="19">
        <v>13302</v>
      </c>
      <c r="M293" s="19">
        <v>24</v>
      </c>
      <c r="N293" s="19">
        <v>7163</v>
      </c>
      <c r="O293" s="19">
        <v>9319</v>
      </c>
      <c r="P293">
        <f t="shared" si="4"/>
        <v>1.300991204802457</v>
      </c>
    </row>
    <row r="294" spans="1:16">
      <c r="A294" s="19" t="s">
        <v>754</v>
      </c>
      <c r="B294" s="19">
        <v>2028</v>
      </c>
      <c r="C294" s="19">
        <v>82</v>
      </c>
      <c r="D294" s="19" t="s">
        <v>196</v>
      </c>
      <c r="E294" s="19" t="s">
        <v>755</v>
      </c>
      <c r="F294" s="19">
        <v>52.357900000000001</v>
      </c>
      <c r="G294" s="19">
        <v>4.8011840000000001</v>
      </c>
      <c r="H294" s="19" t="s">
        <v>102</v>
      </c>
      <c r="I294" s="19">
        <v>216</v>
      </c>
      <c r="J294" s="19">
        <v>0.37963000000000002</v>
      </c>
      <c r="K294" s="19">
        <v>10225</v>
      </c>
      <c r="L294" s="19">
        <v>3882</v>
      </c>
      <c r="M294" s="19">
        <v>24</v>
      </c>
      <c r="N294" s="19">
        <v>7163</v>
      </c>
      <c r="O294" s="19">
        <v>2719</v>
      </c>
      <c r="P294">
        <f t="shared" si="4"/>
        <v>0.37958955744799666</v>
      </c>
    </row>
    <row r="295" spans="1:16">
      <c r="A295" s="19" t="s">
        <v>756</v>
      </c>
      <c r="B295" s="19">
        <v>2028</v>
      </c>
      <c r="C295" s="19">
        <v>163</v>
      </c>
      <c r="D295" s="19" t="s">
        <v>175</v>
      </c>
      <c r="E295" s="19" t="s">
        <v>757</v>
      </c>
      <c r="F295" s="19">
        <v>52.3827</v>
      </c>
      <c r="G295" s="19">
        <v>4.9202409999999999</v>
      </c>
      <c r="H295" s="19" t="s">
        <v>102</v>
      </c>
      <c r="I295" s="19">
        <v>216</v>
      </c>
      <c r="J295" s="19">
        <v>0.75463000000000002</v>
      </c>
      <c r="K295" s="19">
        <v>10225</v>
      </c>
      <c r="L295" s="19">
        <v>7716</v>
      </c>
      <c r="M295" s="19">
        <v>24</v>
      </c>
      <c r="N295" s="19">
        <v>7163</v>
      </c>
      <c r="O295" s="19">
        <v>5405</v>
      </c>
      <c r="P295">
        <f t="shared" si="4"/>
        <v>0.75457210665922103</v>
      </c>
    </row>
    <row r="296" spans="1:16">
      <c r="A296" s="19" t="s">
        <v>758</v>
      </c>
      <c r="B296" s="19">
        <v>2028</v>
      </c>
      <c r="C296" s="19">
        <v>100</v>
      </c>
      <c r="D296" s="19" t="s">
        <v>170</v>
      </c>
      <c r="E296" s="19" t="s">
        <v>759</v>
      </c>
      <c r="F296" s="19">
        <v>52.309359999999998</v>
      </c>
      <c r="G296" s="19">
        <v>4.9841410000000002</v>
      </c>
      <c r="H296" s="19" t="s">
        <v>102</v>
      </c>
      <c r="I296" s="19">
        <v>216</v>
      </c>
      <c r="J296" s="19">
        <v>0.46296300000000001</v>
      </c>
      <c r="K296" s="19">
        <v>10225</v>
      </c>
      <c r="L296" s="19">
        <v>4734</v>
      </c>
      <c r="M296" s="19">
        <v>24</v>
      </c>
      <c r="N296" s="19">
        <v>7163</v>
      </c>
      <c r="O296" s="19">
        <v>3316</v>
      </c>
      <c r="P296">
        <f t="shared" si="4"/>
        <v>0.46293452464051377</v>
      </c>
    </row>
    <row r="297" spans="1:16">
      <c r="A297" s="19" t="s">
        <v>760</v>
      </c>
      <c r="B297" s="19">
        <v>2028</v>
      </c>
      <c r="C297" s="19">
        <v>122</v>
      </c>
      <c r="D297" s="19" t="s">
        <v>175</v>
      </c>
      <c r="E297" s="19" t="s">
        <v>761</v>
      </c>
      <c r="F297" s="19">
        <v>52.403709999999997</v>
      </c>
      <c r="G297" s="19">
        <v>4.8930129999999998</v>
      </c>
      <c r="H297" s="19" t="s">
        <v>102</v>
      </c>
      <c r="I297" s="19">
        <v>216</v>
      </c>
      <c r="J297" s="19">
        <v>0.56481499999999996</v>
      </c>
      <c r="K297" s="19">
        <v>10225</v>
      </c>
      <c r="L297" s="19">
        <v>5775</v>
      </c>
      <c r="M297" s="19">
        <v>24</v>
      </c>
      <c r="N297" s="19">
        <v>7163</v>
      </c>
      <c r="O297" s="19">
        <v>4046</v>
      </c>
      <c r="P297">
        <f t="shared" si="4"/>
        <v>0.56484713109032525</v>
      </c>
    </row>
    <row r="298" spans="1:16">
      <c r="A298" s="19" t="s">
        <v>762</v>
      </c>
      <c r="B298" s="19">
        <v>2029</v>
      </c>
      <c r="C298" s="19">
        <v>91</v>
      </c>
      <c r="D298" s="19" t="s">
        <v>175</v>
      </c>
      <c r="E298" s="19" t="s">
        <v>763</v>
      </c>
      <c r="F298" s="19">
        <v>52.391710000000003</v>
      </c>
      <c r="G298" s="19">
        <v>4.9059730000000004</v>
      </c>
      <c r="H298" s="19" t="s">
        <v>102</v>
      </c>
      <c r="I298" s="19">
        <v>216</v>
      </c>
      <c r="J298" s="19">
        <v>0.421296</v>
      </c>
      <c r="K298" s="19">
        <v>10225</v>
      </c>
      <c r="L298" s="19">
        <v>4308</v>
      </c>
      <c r="M298" s="19">
        <v>24</v>
      </c>
      <c r="N298" s="19">
        <v>7163</v>
      </c>
      <c r="O298" s="19">
        <v>3018</v>
      </c>
      <c r="P298">
        <f t="shared" si="4"/>
        <v>0.42133184419935782</v>
      </c>
    </row>
    <row r="299" spans="1:16">
      <c r="A299" s="19" t="s">
        <v>764</v>
      </c>
      <c r="B299" s="19">
        <v>2029</v>
      </c>
      <c r="C299" s="19">
        <v>209</v>
      </c>
      <c r="D299" s="19" t="s">
        <v>188</v>
      </c>
      <c r="E299" s="19" t="s">
        <v>765</v>
      </c>
      <c r="F299" s="19">
        <v>52.379629999999999</v>
      </c>
      <c r="G299" s="19">
        <v>4.8638789999999998</v>
      </c>
      <c r="H299" s="19" t="s">
        <v>102</v>
      </c>
      <c r="I299" s="19">
        <v>216</v>
      </c>
      <c r="J299" s="19">
        <v>0.96759300000000004</v>
      </c>
      <c r="K299" s="19">
        <v>10225</v>
      </c>
      <c r="L299" s="19">
        <v>9894</v>
      </c>
      <c r="M299" s="19">
        <v>24</v>
      </c>
      <c r="N299" s="19">
        <v>7163</v>
      </c>
      <c r="O299" s="19">
        <v>6931</v>
      </c>
      <c r="P299">
        <f t="shared" si="4"/>
        <v>0.96761133603238869</v>
      </c>
    </row>
    <row r="300" spans="1:16">
      <c r="A300" s="19" t="s">
        <v>766</v>
      </c>
      <c r="B300" s="19">
        <v>2029</v>
      </c>
      <c r="C300" s="19">
        <v>105</v>
      </c>
      <c r="D300" s="19" t="s">
        <v>193</v>
      </c>
      <c r="E300" s="19" t="s">
        <v>767</v>
      </c>
      <c r="F300" s="19">
        <v>52.360950000000003</v>
      </c>
      <c r="G300" s="19">
        <v>5.0184040000000003</v>
      </c>
      <c r="H300" s="19" t="s">
        <v>102</v>
      </c>
      <c r="I300" s="19">
        <v>216</v>
      </c>
      <c r="J300" s="19">
        <v>0.48611100000000002</v>
      </c>
      <c r="K300" s="19">
        <v>10225</v>
      </c>
      <c r="L300" s="19">
        <v>4970</v>
      </c>
      <c r="M300" s="19">
        <v>24</v>
      </c>
      <c r="N300" s="19">
        <v>7163</v>
      </c>
      <c r="O300" s="19">
        <v>3482</v>
      </c>
      <c r="P300">
        <f t="shared" si="4"/>
        <v>0.48610917213458049</v>
      </c>
    </row>
    <row r="301" spans="1:16">
      <c r="A301" s="19" t="s">
        <v>768</v>
      </c>
      <c r="B301" s="19">
        <v>2029</v>
      </c>
      <c r="C301" s="19">
        <v>100</v>
      </c>
      <c r="D301" s="19" t="s">
        <v>193</v>
      </c>
      <c r="E301" s="19" t="s">
        <v>769</v>
      </c>
      <c r="F301" s="19">
        <v>52.359020000000001</v>
      </c>
      <c r="G301" s="19">
        <v>4.9941250000000004</v>
      </c>
      <c r="H301" s="19" t="s">
        <v>102</v>
      </c>
      <c r="I301" s="19">
        <v>216</v>
      </c>
      <c r="J301" s="19">
        <v>0.46296300000000001</v>
      </c>
      <c r="K301" s="19">
        <v>10225</v>
      </c>
      <c r="L301" s="19">
        <v>4734</v>
      </c>
      <c r="M301" s="19">
        <v>24</v>
      </c>
      <c r="N301" s="19">
        <v>7163</v>
      </c>
      <c r="O301" s="19">
        <v>3316</v>
      </c>
      <c r="P301">
        <f t="shared" si="4"/>
        <v>0.46293452464051377</v>
      </c>
    </row>
    <row r="302" spans="1:16">
      <c r="A302" s="19" t="s">
        <v>770</v>
      </c>
      <c r="B302" s="19">
        <v>2029</v>
      </c>
      <c r="C302" s="19">
        <v>251</v>
      </c>
      <c r="D302" s="19" t="s">
        <v>175</v>
      </c>
      <c r="E302" s="19" t="s">
        <v>771</v>
      </c>
      <c r="F302" s="19">
        <v>52.403280000000002</v>
      </c>
      <c r="G302" s="19">
        <v>4.8913830000000003</v>
      </c>
      <c r="H302" s="19" t="s">
        <v>102</v>
      </c>
      <c r="I302" s="19">
        <v>216</v>
      </c>
      <c r="J302" s="19">
        <v>1.162037</v>
      </c>
      <c r="K302" s="19">
        <v>10225</v>
      </c>
      <c r="L302" s="19">
        <v>11882</v>
      </c>
      <c r="M302" s="19">
        <v>24</v>
      </c>
      <c r="N302" s="19">
        <v>7163</v>
      </c>
      <c r="O302" s="19">
        <v>8324</v>
      </c>
      <c r="P302">
        <f t="shared" si="4"/>
        <v>1.1620829261482619</v>
      </c>
    </row>
    <row r="303" spans="1:16">
      <c r="A303" s="19" t="s">
        <v>772</v>
      </c>
      <c r="B303" s="19">
        <v>2029</v>
      </c>
      <c r="C303" s="19">
        <v>113</v>
      </c>
      <c r="D303" s="19" t="s">
        <v>193</v>
      </c>
      <c r="E303" s="19" t="s">
        <v>773</v>
      </c>
      <c r="F303" s="19">
        <v>52.34</v>
      </c>
      <c r="G303" s="19">
        <v>4.9254129999999998</v>
      </c>
      <c r="H303" s="19" t="s">
        <v>102</v>
      </c>
      <c r="I303" s="19">
        <v>216</v>
      </c>
      <c r="J303" s="19">
        <v>0.52314799999999995</v>
      </c>
      <c r="K303" s="19">
        <v>10225</v>
      </c>
      <c r="L303" s="19">
        <v>5349</v>
      </c>
      <c r="M303" s="19">
        <v>24</v>
      </c>
      <c r="N303" s="19">
        <v>7163</v>
      </c>
      <c r="O303" s="19">
        <v>3747</v>
      </c>
      <c r="P303">
        <f t="shared" si="4"/>
        <v>0.52310484433896409</v>
      </c>
    </row>
    <row r="304" spans="1:16">
      <c r="A304" s="19" t="s">
        <v>774</v>
      </c>
      <c r="B304" s="19">
        <v>2029</v>
      </c>
      <c r="C304" s="19">
        <v>100</v>
      </c>
      <c r="D304" s="19" t="s">
        <v>196</v>
      </c>
      <c r="E304" s="19" t="s">
        <v>775</v>
      </c>
      <c r="F304" s="19">
        <v>52.385530000000003</v>
      </c>
      <c r="G304" s="19">
        <v>4.8381119999999997</v>
      </c>
      <c r="H304" s="19" t="s">
        <v>102</v>
      </c>
      <c r="I304" s="19">
        <v>216</v>
      </c>
      <c r="J304" s="19">
        <v>0.46296300000000001</v>
      </c>
      <c r="K304" s="19">
        <v>10225</v>
      </c>
      <c r="L304" s="19">
        <v>4734</v>
      </c>
      <c r="M304" s="19">
        <v>24</v>
      </c>
      <c r="N304" s="19">
        <v>7163</v>
      </c>
      <c r="O304" s="19">
        <v>3316</v>
      </c>
      <c r="P304">
        <f t="shared" si="4"/>
        <v>0.46293452464051377</v>
      </c>
    </row>
    <row r="305" spans="1:16">
      <c r="A305" s="19" t="s">
        <v>776</v>
      </c>
      <c r="B305" s="19">
        <v>2029</v>
      </c>
      <c r="C305" s="19">
        <v>200</v>
      </c>
      <c r="D305" s="19" t="s">
        <v>175</v>
      </c>
      <c r="E305" s="19" t="s">
        <v>777</v>
      </c>
      <c r="F305" s="19">
        <v>52.40399</v>
      </c>
      <c r="G305" s="19">
        <v>4.8962050000000001</v>
      </c>
      <c r="H305" s="19" t="s">
        <v>102</v>
      </c>
      <c r="I305" s="19">
        <v>216</v>
      </c>
      <c r="J305" s="19">
        <v>0.92592600000000003</v>
      </c>
      <c r="K305" s="19">
        <v>10225</v>
      </c>
      <c r="L305" s="19">
        <v>9468</v>
      </c>
      <c r="M305" s="19">
        <v>24</v>
      </c>
      <c r="N305" s="19">
        <v>7163</v>
      </c>
      <c r="O305" s="19">
        <v>6632</v>
      </c>
      <c r="P305">
        <f t="shared" si="4"/>
        <v>0.92586904928102753</v>
      </c>
    </row>
    <row r="306" spans="1:16">
      <c r="A306" s="19" t="s">
        <v>778</v>
      </c>
      <c r="B306" s="19">
        <v>2029</v>
      </c>
      <c r="C306" s="19">
        <v>110</v>
      </c>
      <c r="D306" s="19" t="s">
        <v>193</v>
      </c>
      <c r="E306" s="19" t="s">
        <v>779</v>
      </c>
      <c r="F306" s="19">
        <v>52.336289999999998</v>
      </c>
      <c r="G306" s="19">
        <v>4.9190430000000003</v>
      </c>
      <c r="H306" s="19" t="s">
        <v>102</v>
      </c>
      <c r="I306" s="19">
        <v>216</v>
      </c>
      <c r="J306" s="19">
        <v>0.50925900000000002</v>
      </c>
      <c r="K306" s="19">
        <v>10225</v>
      </c>
      <c r="L306" s="19">
        <v>5207</v>
      </c>
      <c r="M306" s="19">
        <v>24</v>
      </c>
      <c r="N306" s="19">
        <v>7163</v>
      </c>
      <c r="O306" s="19">
        <v>3648</v>
      </c>
      <c r="P306">
        <f t="shared" si="4"/>
        <v>0.50928381962864722</v>
      </c>
    </row>
    <row r="307" spans="1:16">
      <c r="A307" s="19" t="s">
        <v>780</v>
      </c>
      <c r="B307" s="19">
        <v>2029</v>
      </c>
      <c r="C307" s="19">
        <v>81</v>
      </c>
      <c r="D307" s="19" t="s">
        <v>193</v>
      </c>
      <c r="E307" s="19" t="s">
        <v>781</v>
      </c>
      <c r="F307" s="19">
        <v>52.37529</v>
      </c>
      <c r="G307" s="19">
        <v>4.957789</v>
      </c>
      <c r="H307" s="19" t="s">
        <v>102</v>
      </c>
      <c r="I307" s="19">
        <v>216</v>
      </c>
      <c r="J307" s="19">
        <v>0.375</v>
      </c>
      <c r="K307" s="19">
        <v>10225</v>
      </c>
      <c r="L307" s="19">
        <v>3834</v>
      </c>
      <c r="M307" s="19">
        <v>24</v>
      </c>
      <c r="N307" s="19">
        <v>7163</v>
      </c>
      <c r="O307" s="19">
        <v>2686</v>
      </c>
      <c r="P307">
        <f t="shared" si="4"/>
        <v>0.37498254921122437</v>
      </c>
    </row>
    <row r="308" spans="1:16">
      <c r="A308" s="19" t="s">
        <v>782</v>
      </c>
      <c r="B308" s="19">
        <v>2029</v>
      </c>
      <c r="C308" s="19">
        <v>56</v>
      </c>
      <c r="D308" s="19" t="s">
        <v>193</v>
      </c>
      <c r="E308" s="19" t="s">
        <v>783</v>
      </c>
      <c r="F308" s="19">
        <v>52.346910000000001</v>
      </c>
      <c r="G308" s="19">
        <v>4.9155139999999999</v>
      </c>
      <c r="H308" s="19" t="s">
        <v>102</v>
      </c>
      <c r="I308" s="19">
        <v>216</v>
      </c>
      <c r="J308" s="19">
        <v>0.25925900000000002</v>
      </c>
      <c r="K308" s="19">
        <v>10225</v>
      </c>
      <c r="L308" s="19">
        <v>2651</v>
      </c>
      <c r="M308" s="19">
        <v>24</v>
      </c>
      <c r="N308" s="19">
        <v>7163</v>
      </c>
      <c r="O308" s="19">
        <v>1857</v>
      </c>
      <c r="P308">
        <f t="shared" si="4"/>
        <v>0.2592489180510959</v>
      </c>
    </row>
    <row r="309" spans="1:16">
      <c r="A309" s="19" t="s">
        <v>784</v>
      </c>
      <c r="B309" s="19">
        <v>2029</v>
      </c>
      <c r="C309" s="19">
        <v>350</v>
      </c>
      <c r="D309" s="19" t="s">
        <v>188</v>
      </c>
      <c r="E309" s="19" t="s">
        <v>785</v>
      </c>
      <c r="F309" s="19">
        <v>52.391179999999999</v>
      </c>
      <c r="G309" s="19">
        <v>4.8545230000000004</v>
      </c>
      <c r="H309" s="19" t="s">
        <v>103</v>
      </c>
      <c r="I309" s="19">
        <v>350</v>
      </c>
      <c r="J309" s="19">
        <v>1</v>
      </c>
      <c r="K309" s="19">
        <v>32297</v>
      </c>
      <c r="L309" s="19">
        <v>32297</v>
      </c>
      <c r="M309" s="19">
        <v>30</v>
      </c>
      <c r="N309" s="19">
        <v>26588</v>
      </c>
      <c r="O309" s="19">
        <v>26588</v>
      </c>
      <c r="P309">
        <f t="shared" si="4"/>
        <v>1</v>
      </c>
    </row>
    <row r="310" spans="1:16">
      <c r="A310" s="19" t="s">
        <v>786</v>
      </c>
      <c r="B310" s="19">
        <v>2029</v>
      </c>
      <c r="C310" s="19">
        <v>357</v>
      </c>
      <c r="D310" s="19" t="s">
        <v>231</v>
      </c>
      <c r="E310" s="19" t="s">
        <v>787</v>
      </c>
      <c r="F310" s="19">
        <v>52.337049999999998</v>
      </c>
      <c r="G310" s="19">
        <v>4.8950189999999996</v>
      </c>
      <c r="H310" s="19" t="s">
        <v>103</v>
      </c>
      <c r="I310" s="19">
        <v>350</v>
      </c>
      <c r="J310" s="19">
        <v>1.02</v>
      </c>
      <c r="K310" s="19">
        <v>32297</v>
      </c>
      <c r="L310" s="19">
        <v>32943</v>
      </c>
      <c r="M310" s="19">
        <v>30</v>
      </c>
      <c r="N310" s="19">
        <v>26588</v>
      </c>
      <c r="O310" s="19">
        <v>27120</v>
      </c>
      <c r="P310">
        <f t="shared" si="4"/>
        <v>1.0200090266285542</v>
      </c>
    </row>
    <row r="311" spans="1:16">
      <c r="A311" s="19" t="s">
        <v>788</v>
      </c>
      <c r="B311" s="19">
        <v>2029</v>
      </c>
      <c r="C311" s="19">
        <v>225</v>
      </c>
      <c r="D311" s="19" t="s">
        <v>170</v>
      </c>
      <c r="E311" s="19" t="s">
        <v>684</v>
      </c>
      <c r="F311" s="19">
        <v>52.297469999999997</v>
      </c>
      <c r="G311" s="19">
        <v>4.9651009999999998</v>
      </c>
      <c r="H311" s="19" t="s">
        <v>102</v>
      </c>
      <c r="I311" s="19">
        <v>216</v>
      </c>
      <c r="J311" s="19">
        <v>1.0416669999999999</v>
      </c>
      <c r="K311" s="19">
        <v>10225</v>
      </c>
      <c r="L311" s="19">
        <v>10651</v>
      </c>
      <c r="M311" s="19">
        <v>24</v>
      </c>
      <c r="N311" s="19">
        <v>7163</v>
      </c>
      <c r="O311" s="19">
        <v>7461</v>
      </c>
      <c r="P311">
        <f t="shared" si="4"/>
        <v>1.041602680441156</v>
      </c>
    </row>
    <row r="312" spans="1:16">
      <c r="A312" s="19" t="s">
        <v>543</v>
      </c>
      <c r="B312" s="19">
        <v>2029</v>
      </c>
      <c r="C312" s="19">
        <v>150</v>
      </c>
      <c r="D312" s="19" t="s">
        <v>231</v>
      </c>
      <c r="E312" s="19" t="s">
        <v>789</v>
      </c>
      <c r="F312" s="19">
        <v>52.341949999999997</v>
      </c>
      <c r="G312" s="19">
        <v>4.8443509999999996</v>
      </c>
      <c r="H312" s="19" t="s">
        <v>102</v>
      </c>
      <c r="I312" s="19">
        <v>216</v>
      </c>
      <c r="J312" s="19">
        <v>0.69444399999999995</v>
      </c>
      <c r="K312" s="19">
        <v>10225</v>
      </c>
      <c r="L312" s="19">
        <v>7101</v>
      </c>
      <c r="M312" s="19">
        <v>24</v>
      </c>
      <c r="N312" s="19">
        <v>7163</v>
      </c>
      <c r="O312" s="19">
        <v>4974</v>
      </c>
      <c r="P312">
        <f t="shared" si="4"/>
        <v>0.6944017869607706</v>
      </c>
    </row>
    <row r="313" spans="1:16">
      <c r="A313" s="19" t="s">
        <v>739</v>
      </c>
      <c r="B313" s="19">
        <v>2029</v>
      </c>
      <c r="C313" s="19">
        <v>58</v>
      </c>
      <c r="D313" s="19" t="s">
        <v>196</v>
      </c>
      <c r="E313" s="19" t="s">
        <v>790</v>
      </c>
      <c r="F313" s="19">
        <v>52.346269999999997</v>
      </c>
      <c r="G313" s="19">
        <v>4.8339869999999996</v>
      </c>
      <c r="H313" s="19" t="s">
        <v>102</v>
      </c>
      <c r="I313" s="19">
        <v>216</v>
      </c>
      <c r="J313" s="19">
        <v>0.26851900000000001</v>
      </c>
      <c r="K313" s="19">
        <v>10225</v>
      </c>
      <c r="L313" s="19">
        <v>2746</v>
      </c>
      <c r="M313" s="19">
        <v>24</v>
      </c>
      <c r="N313" s="19">
        <v>7163</v>
      </c>
      <c r="O313" s="19">
        <v>1923</v>
      </c>
      <c r="P313">
        <f t="shared" si="4"/>
        <v>0.26846293452464054</v>
      </c>
    </row>
    <row r="314" spans="1:16">
      <c r="A314" s="19" t="s">
        <v>741</v>
      </c>
      <c r="B314" s="19">
        <v>2029</v>
      </c>
      <c r="C314" s="19">
        <v>88</v>
      </c>
      <c r="D314" s="19" t="s">
        <v>196</v>
      </c>
      <c r="E314" s="19" t="s">
        <v>791</v>
      </c>
      <c r="F314" s="19">
        <v>52.349139999999998</v>
      </c>
      <c r="G314" s="19">
        <v>4.8261830000000003</v>
      </c>
      <c r="H314" s="19" t="s">
        <v>102</v>
      </c>
      <c r="I314" s="19">
        <v>216</v>
      </c>
      <c r="J314" s="19">
        <v>0.40740700000000002</v>
      </c>
      <c r="K314" s="19">
        <v>10225</v>
      </c>
      <c r="L314" s="19">
        <v>4166</v>
      </c>
      <c r="M314" s="19">
        <v>24</v>
      </c>
      <c r="N314" s="19">
        <v>7163</v>
      </c>
      <c r="O314" s="19">
        <v>2918</v>
      </c>
      <c r="P314">
        <f t="shared" si="4"/>
        <v>0.40737121317883568</v>
      </c>
    </row>
    <row r="315" spans="1:16">
      <c r="A315" s="19" t="s">
        <v>792</v>
      </c>
      <c r="B315" s="19">
        <v>2029</v>
      </c>
      <c r="C315" s="19">
        <v>282</v>
      </c>
      <c r="D315" s="19" t="s">
        <v>196</v>
      </c>
      <c r="E315" s="19" t="s">
        <v>793</v>
      </c>
      <c r="F315" s="19">
        <v>52.377130000000001</v>
      </c>
      <c r="G315" s="19">
        <v>4.8223000000000003</v>
      </c>
      <c r="H315" s="19" t="s">
        <v>102</v>
      </c>
      <c r="I315" s="19">
        <v>216</v>
      </c>
      <c r="J315" s="19">
        <v>1.3055559999999999</v>
      </c>
      <c r="K315" s="19">
        <v>10225</v>
      </c>
      <c r="L315" s="19">
        <v>13349</v>
      </c>
      <c r="M315" s="19">
        <v>24</v>
      </c>
      <c r="N315" s="19">
        <v>7163</v>
      </c>
      <c r="O315" s="19">
        <v>9352</v>
      </c>
      <c r="P315">
        <f t="shared" si="4"/>
        <v>1.3055982130392294</v>
      </c>
    </row>
    <row r="316" spans="1:16">
      <c r="A316" s="19" t="s">
        <v>794</v>
      </c>
      <c r="B316" s="19">
        <v>2029</v>
      </c>
      <c r="C316" s="19">
        <v>403</v>
      </c>
      <c r="D316" s="19" t="s">
        <v>175</v>
      </c>
      <c r="E316" s="19" t="s">
        <v>795</v>
      </c>
      <c r="F316" s="19">
        <v>52.395020000000002</v>
      </c>
      <c r="G316" s="19">
        <v>4.9012460000000004</v>
      </c>
      <c r="H316" s="19" t="s">
        <v>103</v>
      </c>
      <c r="I316" s="19">
        <v>350</v>
      </c>
      <c r="J316" s="19">
        <v>1.151429</v>
      </c>
      <c r="K316" s="19">
        <v>32297</v>
      </c>
      <c r="L316" s="19">
        <v>37188</v>
      </c>
      <c r="M316" s="19">
        <v>30</v>
      </c>
      <c r="N316" s="19">
        <v>26588</v>
      </c>
      <c r="O316" s="19">
        <v>30614</v>
      </c>
      <c r="P316">
        <f t="shared" si="4"/>
        <v>1.1514216939972921</v>
      </c>
    </row>
    <row r="317" spans="1:16">
      <c r="A317" s="19" t="s">
        <v>796</v>
      </c>
      <c r="B317" s="19">
        <v>2029</v>
      </c>
      <c r="C317" s="19">
        <v>79</v>
      </c>
      <c r="D317" s="19" t="s">
        <v>193</v>
      </c>
      <c r="E317" s="19" t="s">
        <v>797</v>
      </c>
      <c r="F317" s="19">
        <v>52.360869999999998</v>
      </c>
      <c r="G317" s="19">
        <v>5.0168419999999996</v>
      </c>
      <c r="H317" s="19" t="s">
        <v>102</v>
      </c>
      <c r="I317" s="19">
        <v>216</v>
      </c>
      <c r="J317" s="19">
        <v>0.36574099999999998</v>
      </c>
      <c r="K317" s="19">
        <v>10225</v>
      </c>
      <c r="L317" s="19">
        <v>3740</v>
      </c>
      <c r="M317" s="19">
        <v>24</v>
      </c>
      <c r="N317" s="19">
        <v>7163</v>
      </c>
      <c r="O317" s="19">
        <v>2620</v>
      </c>
      <c r="P317">
        <f t="shared" si="4"/>
        <v>0.36576853273767973</v>
      </c>
    </row>
    <row r="318" spans="1:16">
      <c r="A318" s="19" t="s">
        <v>798</v>
      </c>
      <c r="B318" s="19">
        <v>2029</v>
      </c>
      <c r="C318" s="19">
        <v>56</v>
      </c>
      <c r="D318" s="19" t="s">
        <v>193</v>
      </c>
      <c r="E318" s="19" t="s">
        <v>799</v>
      </c>
      <c r="F318" s="19">
        <v>52.360289999999999</v>
      </c>
      <c r="G318" s="19">
        <v>5.0188519999999999</v>
      </c>
      <c r="H318" s="19" t="s">
        <v>102</v>
      </c>
      <c r="I318" s="19">
        <v>216</v>
      </c>
      <c r="J318" s="19">
        <v>0.25925900000000002</v>
      </c>
      <c r="K318" s="19">
        <v>10225</v>
      </c>
      <c r="L318" s="19">
        <v>2651</v>
      </c>
      <c r="M318" s="19">
        <v>24</v>
      </c>
      <c r="N318" s="19">
        <v>7163</v>
      </c>
      <c r="O318" s="19">
        <v>1857</v>
      </c>
      <c r="P318">
        <f t="shared" si="4"/>
        <v>0.2592489180510959</v>
      </c>
    </row>
    <row r="319" spans="1:16">
      <c r="A319" s="19" t="s">
        <v>800</v>
      </c>
      <c r="B319" s="19">
        <v>2029</v>
      </c>
      <c r="C319" s="19">
        <v>90</v>
      </c>
      <c r="D319" s="19" t="s">
        <v>188</v>
      </c>
      <c r="E319" s="19" t="s">
        <v>801</v>
      </c>
      <c r="F319" s="19">
        <v>52.37003</v>
      </c>
      <c r="G319" s="19">
        <v>4.8458350000000001</v>
      </c>
      <c r="H319" s="19" t="s">
        <v>102</v>
      </c>
      <c r="I319" s="19">
        <v>216</v>
      </c>
      <c r="J319" s="19">
        <v>0.41666700000000001</v>
      </c>
      <c r="K319" s="19">
        <v>10225</v>
      </c>
      <c r="L319" s="19">
        <v>4260</v>
      </c>
      <c r="M319" s="19">
        <v>24</v>
      </c>
      <c r="N319" s="19">
        <v>7163</v>
      </c>
      <c r="O319" s="19">
        <v>2985</v>
      </c>
      <c r="P319">
        <f t="shared" si="4"/>
        <v>0.41672483596258553</v>
      </c>
    </row>
    <row r="320" spans="1:16">
      <c r="A320" s="19" t="s">
        <v>802</v>
      </c>
      <c r="B320" s="19">
        <v>2029</v>
      </c>
      <c r="C320" s="19">
        <v>91</v>
      </c>
      <c r="D320" s="19" t="s">
        <v>188</v>
      </c>
      <c r="E320" s="19" t="s">
        <v>803</v>
      </c>
      <c r="F320" s="19">
        <v>52.37012</v>
      </c>
      <c r="G320" s="19">
        <v>4.846902</v>
      </c>
      <c r="H320" s="19" t="s">
        <v>102</v>
      </c>
      <c r="I320" s="19">
        <v>216</v>
      </c>
      <c r="J320" s="19">
        <v>0.421296</v>
      </c>
      <c r="K320" s="19">
        <v>10225</v>
      </c>
      <c r="L320" s="19">
        <v>4308</v>
      </c>
      <c r="M320" s="19">
        <v>24</v>
      </c>
      <c r="N320" s="19">
        <v>7163</v>
      </c>
      <c r="O320" s="19">
        <v>3018</v>
      </c>
      <c r="P320">
        <f t="shared" si="4"/>
        <v>0.42133184419935782</v>
      </c>
    </row>
    <row r="321" spans="1:16">
      <c r="A321" s="19" t="s">
        <v>804</v>
      </c>
      <c r="B321" s="19">
        <v>2029</v>
      </c>
      <c r="C321" s="19">
        <v>250</v>
      </c>
      <c r="D321" s="19" t="s">
        <v>193</v>
      </c>
      <c r="E321" s="19" t="s">
        <v>805</v>
      </c>
      <c r="F321" s="19">
        <v>52.33417</v>
      </c>
      <c r="G321" s="19">
        <v>4.9216199999999999</v>
      </c>
      <c r="H321" s="19" t="s">
        <v>102</v>
      </c>
      <c r="I321" s="19">
        <v>216</v>
      </c>
      <c r="J321" s="19">
        <v>1.1574070000000001</v>
      </c>
      <c r="K321" s="19">
        <v>10225</v>
      </c>
      <c r="L321" s="19">
        <v>11834</v>
      </c>
      <c r="M321" s="19">
        <v>24</v>
      </c>
      <c r="N321" s="19">
        <v>7163</v>
      </c>
      <c r="O321" s="19">
        <v>8291</v>
      </c>
      <c r="P321">
        <f t="shared" si="4"/>
        <v>1.1574759179114895</v>
      </c>
    </row>
    <row r="322" spans="1:16">
      <c r="A322" s="19" t="s">
        <v>689</v>
      </c>
      <c r="B322" s="19">
        <v>2029</v>
      </c>
      <c r="C322" s="19">
        <v>120</v>
      </c>
      <c r="D322" s="19" t="s">
        <v>196</v>
      </c>
      <c r="E322" s="19" t="s">
        <v>806</v>
      </c>
      <c r="F322" s="19">
        <v>52.34393</v>
      </c>
      <c r="G322" s="19">
        <v>4.833526</v>
      </c>
      <c r="H322" s="19" t="s">
        <v>102</v>
      </c>
      <c r="I322" s="19">
        <v>216</v>
      </c>
      <c r="J322" s="19">
        <v>0.55555600000000005</v>
      </c>
      <c r="K322" s="19">
        <v>10225</v>
      </c>
      <c r="L322" s="19">
        <v>5681</v>
      </c>
      <c r="M322" s="19">
        <v>24</v>
      </c>
      <c r="N322" s="19">
        <v>7163</v>
      </c>
      <c r="O322" s="19">
        <v>3979</v>
      </c>
      <c r="P322">
        <f t="shared" si="4"/>
        <v>0.55549350830657551</v>
      </c>
    </row>
    <row r="323" spans="1:16">
      <c r="A323" s="19" t="s">
        <v>807</v>
      </c>
      <c r="B323" s="19">
        <v>2029</v>
      </c>
      <c r="C323" s="19">
        <v>454</v>
      </c>
      <c r="D323" s="19" t="s">
        <v>193</v>
      </c>
      <c r="E323" s="19" t="s">
        <v>808</v>
      </c>
      <c r="F323" s="19">
        <v>52.370310000000003</v>
      </c>
      <c r="G323" s="19">
        <v>4.9581010000000001</v>
      </c>
      <c r="H323" s="19" t="s">
        <v>103</v>
      </c>
      <c r="I323" s="19">
        <v>350</v>
      </c>
      <c r="J323" s="19">
        <v>1.2971429999999999</v>
      </c>
      <c r="K323" s="19">
        <v>32297</v>
      </c>
      <c r="L323" s="19">
        <v>41894</v>
      </c>
      <c r="M323" s="19">
        <v>30</v>
      </c>
      <c r="N323" s="19">
        <v>26588</v>
      </c>
      <c r="O323" s="19">
        <v>34488</v>
      </c>
      <c r="P323">
        <f t="shared" ref="P323:P357" si="5">O323/N323</f>
        <v>1.2971265232435685</v>
      </c>
    </row>
    <row r="324" spans="1:16">
      <c r="A324" s="19" t="s">
        <v>807</v>
      </c>
      <c r="B324" s="19">
        <v>2029</v>
      </c>
      <c r="C324" s="19">
        <v>386</v>
      </c>
      <c r="D324" s="19" t="s">
        <v>193</v>
      </c>
      <c r="E324" s="19" t="s">
        <v>809</v>
      </c>
      <c r="F324" s="19">
        <v>52.370399999999997</v>
      </c>
      <c r="G324" s="19">
        <v>4.9588999999999999</v>
      </c>
      <c r="H324" s="19" t="s">
        <v>103</v>
      </c>
      <c r="I324" s="19">
        <v>350</v>
      </c>
      <c r="J324" s="19">
        <v>1.102857</v>
      </c>
      <c r="K324" s="19">
        <v>32297</v>
      </c>
      <c r="L324" s="19">
        <v>35619</v>
      </c>
      <c r="M324" s="19">
        <v>30</v>
      </c>
      <c r="N324" s="19">
        <v>26588</v>
      </c>
      <c r="O324" s="19">
        <v>29323</v>
      </c>
      <c r="P324">
        <f t="shared" si="5"/>
        <v>1.1028659545659696</v>
      </c>
    </row>
    <row r="325" spans="1:16">
      <c r="A325" s="19" t="s">
        <v>810</v>
      </c>
      <c r="B325" s="19">
        <v>2029</v>
      </c>
      <c r="C325" s="19">
        <v>133</v>
      </c>
      <c r="D325" s="19" t="s">
        <v>193</v>
      </c>
      <c r="E325" s="19" t="s">
        <v>811</v>
      </c>
      <c r="F325" s="19">
        <v>52.373959999999997</v>
      </c>
      <c r="G325" s="19">
        <v>4.9579769999999996</v>
      </c>
      <c r="H325" s="19" t="s">
        <v>102</v>
      </c>
      <c r="I325" s="19">
        <v>216</v>
      </c>
      <c r="J325" s="19">
        <v>0.61574099999999998</v>
      </c>
      <c r="K325" s="19">
        <v>10225</v>
      </c>
      <c r="L325" s="19">
        <v>6296</v>
      </c>
      <c r="M325" s="19">
        <v>24</v>
      </c>
      <c r="N325" s="19">
        <v>7163</v>
      </c>
      <c r="O325" s="19">
        <v>4411</v>
      </c>
      <c r="P325">
        <f t="shared" si="5"/>
        <v>0.6158034343152311</v>
      </c>
    </row>
    <row r="326" spans="1:16">
      <c r="A326" s="19" t="s">
        <v>812</v>
      </c>
      <c r="B326" s="19">
        <v>2029</v>
      </c>
      <c r="C326" s="19">
        <v>156</v>
      </c>
      <c r="D326" s="19" t="s">
        <v>188</v>
      </c>
      <c r="E326" s="19" t="s">
        <v>813</v>
      </c>
      <c r="F326" s="19">
        <v>52.37829</v>
      </c>
      <c r="G326" s="19">
        <v>4.867826</v>
      </c>
      <c r="H326" s="19" t="s">
        <v>102</v>
      </c>
      <c r="I326" s="19">
        <v>216</v>
      </c>
      <c r="J326" s="19">
        <v>0.72222200000000003</v>
      </c>
      <c r="K326" s="19">
        <v>10225</v>
      </c>
      <c r="L326" s="19">
        <v>7385</v>
      </c>
      <c r="M326" s="19">
        <v>24</v>
      </c>
      <c r="N326" s="19">
        <v>7163</v>
      </c>
      <c r="O326" s="19">
        <v>5173</v>
      </c>
      <c r="P326">
        <f t="shared" si="5"/>
        <v>0.72218344269160961</v>
      </c>
    </row>
    <row r="327" spans="1:16">
      <c r="A327" s="19" t="s">
        <v>814</v>
      </c>
      <c r="B327" s="19">
        <v>2029</v>
      </c>
      <c r="C327" s="19">
        <v>146</v>
      </c>
      <c r="D327" s="19" t="s">
        <v>196</v>
      </c>
      <c r="E327" s="19" t="s">
        <v>815</v>
      </c>
      <c r="F327" s="19">
        <v>52.375430000000001</v>
      </c>
      <c r="G327" s="19">
        <v>4.8254729999999997</v>
      </c>
      <c r="H327" s="19" t="s">
        <v>102</v>
      </c>
      <c r="I327" s="19">
        <v>216</v>
      </c>
      <c r="J327" s="19">
        <v>0.67592600000000003</v>
      </c>
      <c r="K327" s="19">
        <v>10225</v>
      </c>
      <c r="L327" s="19">
        <v>6911</v>
      </c>
      <c r="M327" s="19">
        <v>24</v>
      </c>
      <c r="N327" s="19">
        <v>7163</v>
      </c>
      <c r="O327" s="19">
        <v>4842</v>
      </c>
      <c r="P327">
        <f t="shared" si="5"/>
        <v>0.67597375401368143</v>
      </c>
    </row>
    <row r="328" spans="1:16">
      <c r="A328" s="19" t="s">
        <v>816</v>
      </c>
      <c r="B328" s="19">
        <v>2029</v>
      </c>
      <c r="C328" s="19">
        <v>176</v>
      </c>
      <c r="D328" s="19" t="s">
        <v>196</v>
      </c>
      <c r="E328" s="19" t="s">
        <v>817</v>
      </c>
      <c r="F328" s="19">
        <v>52.375230000000002</v>
      </c>
      <c r="G328" s="19">
        <v>4.826765</v>
      </c>
      <c r="H328" s="19" t="s">
        <v>102</v>
      </c>
      <c r="I328" s="19">
        <v>216</v>
      </c>
      <c r="J328" s="19">
        <v>0.81481499999999996</v>
      </c>
      <c r="K328" s="19">
        <v>10225</v>
      </c>
      <c r="L328" s="19">
        <v>8331</v>
      </c>
      <c r="M328" s="19">
        <v>24</v>
      </c>
      <c r="N328" s="19">
        <v>7163</v>
      </c>
      <c r="O328" s="19">
        <v>5837</v>
      </c>
      <c r="P328">
        <f t="shared" si="5"/>
        <v>0.81488203266787662</v>
      </c>
    </row>
    <row r="329" spans="1:16">
      <c r="A329" s="19" t="s">
        <v>818</v>
      </c>
      <c r="B329" s="19">
        <v>2030</v>
      </c>
      <c r="C329" s="19">
        <v>452</v>
      </c>
      <c r="D329" s="19" t="s">
        <v>175</v>
      </c>
      <c r="E329" s="19" t="s">
        <v>819</v>
      </c>
      <c r="F329" s="19">
        <v>52.398479999999999</v>
      </c>
      <c r="G329" s="19">
        <v>4.8989469999999997</v>
      </c>
      <c r="H329" s="19" t="s">
        <v>103</v>
      </c>
      <c r="I329" s="19">
        <v>350</v>
      </c>
      <c r="J329" s="19">
        <v>1.2914289999999999</v>
      </c>
      <c r="K329" s="19">
        <v>32297</v>
      </c>
      <c r="L329" s="19">
        <v>41709</v>
      </c>
      <c r="M329" s="19">
        <v>30</v>
      </c>
      <c r="N329" s="19">
        <v>26588</v>
      </c>
      <c r="O329" s="19">
        <v>34337</v>
      </c>
      <c r="P329">
        <f t="shared" si="5"/>
        <v>1.2914472694448624</v>
      </c>
    </row>
    <row r="330" spans="1:16">
      <c r="A330" s="19" t="s">
        <v>820</v>
      </c>
      <c r="B330" s="19">
        <v>2030</v>
      </c>
      <c r="C330" s="19">
        <v>102</v>
      </c>
      <c r="D330" s="19" t="s">
        <v>175</v>
      </c>
      <c r="E330" s="19" t="s">
        <v>821</v>
      </c>
      <c r="F330" s="19">
        <v>52.399149999999999</v>
      </c>
      <c r="G330" s="19">
        <v>4.900925</v>
      </c>
      <c r="H330" s="19" t="s">
        <v>102</v>
      </c>
      <c r="I330" s="19">
        <v>216</v>
      </c>
      <c r="J330" s="19">
        <v>0.47222199999999998</v>
      </c>
      <c r="K330" s="19">
        <v>10225</v>
      </c>
      <c r="L330" s="19">
        <v>4828</v>
      </c>
      <c r="M330" s="19">
        <v>24</v>
      </c>
      <c r="N330" s="19">
        <v>7163</v>
      </c>
      <c r="O330" s="19">
        <v>3383</v>
      </c>
      <c r="P330">
        <f t="shared" si="5"/>
        <v>0.47228814742426356</v>
      </c>
    </row>
    <row r="331" spans="1:16">
      <c r="A331" s="19" t="s">
        <v>822</v>
      </c>
      <c r="B331" s="19">
        <v>2030</v>
      </c>
      <c r="C331" s="19">
        <v>1000</v>
      </c>
      <c r="D331" s="19" t="s">
        <v>612</v>
      </c>
      <c r="E331" s="19" t="s">
        <v>823</v>
      </c>
      <c r="F331" s="19">
        <v>52.314259999999997</v>
      </c>
      <c r="G331" s="19">
        <v>4.9279710000000003</v>
      </c>
      <c r="H331" s="19" t="s">
        <v>104</v>
      </c>
      <c r="I331" s="19">
        <v>592</v>
      </c>
      <c r="J331" s="19">
        <v>1.6891890000000001</v>
      </c>
      <c r="K331" s="19">
        <v>75000</v>
      </c>
      <c r="L331" s="19">
        <v>126689</v>
      </c>
      <c r="M331" s="19">
        <v>36</v>
      </c>
      <c r="N331" s="19">
        <v>50000</v>
      </c>
      <c r="O331" s="19">
        <v>84459</v>
      </c>
      <c r="P331">
        <f t="shared" si="5"/>
        <v>1.6891799999999999</v>
      </c>
    </row>
    <row r="332" spans="1:16">
      <c r="A332" s="19" t="s">
        <v>824</v>
      </c>
      <c r="B332" s="19">
        <v>2030</v>
      </c>
      <c r="C332" s="19">
        <v>203</v>
      </c>
      <c r="D332" s="19" t="s">
        <v>193</v>
      </c>
      <c r="E332" s="19" t="s">
        <v>825</v>
      </c>
      <c r="F332" s="19">
        <v>52.355759999999997</v>
      </c>
      <c r="G332" s="19">
        <v>5.0344340000000001</v>
      </c>
      <c r="H332" s="19" t="s">
        <v>102</v>
      </c>
      <c r="I332" s="19">
        <v>216</v>
      </c>
      <c r="J332" s="19">
        <v>0.93981499999999996</v>
      </c>
      <c r="K332" s="19">
        <v>10225</v>
      </c>
      <c r="L332" s="19">
        <v>9610</v>
      </c>
      <c r="M332" s="19">
        <v>24</v>
      </c>
      <c r="N332" s="19">
        <v>7163</v>
      </c>
      <c r="O332" s="19">
        <v>6732</v>
      </c>
      <c r="P332">
        <f t="shared" si="5"/>
        <v>0.93982968030154967</v>
      </c>
    </row>
    <row r="333" spans="1:16">
      <c r="A333" s="19" t="s">
        <v>826</v>
      </c>
      <c r="B333" s="19">
        <v>2030</v>
      </c>
      <c r="C333" s="19">
        <v>151</v>
      </c>
      <c r="D333" s="19" t="s">
        <v>193</v>
      </c>
      <c r="E333" s="19" t="s">
        <v>827</v>
      </c>
      <c r="F333" s="19">
        <v>52.356059999999999</v>
      </c>
      <c r="G333" s="19">
        <v>5.0351470000000003</v>
      </c>
      <c r="H333" s="19" t="s">
        <v>102</v>
      </c>
      <c r="I333" s="19">
        <v>216</v>
      </c>
      <c r="J333" s="19">
        <v>0.69907399999999997</v>
      </c>
      <c r="K333" s="19">
        <v>10225</v>
      </c>
      <c r="L333" s="19">
        <v>7148</v>
      </c>
      <c r="M333" s="19">
        <v>24</v>
      </c>
      <c r="N333" s="19">
        <v>7163</v>
      </c>
      <c r="O333" s="19">
        <v>5007</v>
      </c>
      <c r="P333">
        <f t="shared" si="5"/>
        <v>0.69900879519754289</v>
      </c>
    </row>
    <row r="334" spans="1:16">
      <c r="A334" s="19" t="s">
        <v>828</v>
      </c>
      <c r="B334" s="19">
        <v>2030</v>
      </c>
      <c r="C334" s="19">
        <v>104</v>
      </c>
      <c r="D334" s="19" t="s">
        <v>193</v>
      </c>
      <c r="E334" s="19" t="s">
        <v>829</v>
      </c>
      <c r="F334" s="19">
        <v>52.359720000000003</v>
      </c>
      <c r="G334" s="19">
        <v>5.0216419999999999</v>
      </c>
      <c r="H334" s="19" t="s">
        <v>102</v>
      </c>
      <c r="I334" s="19">
        <v>216</v>
      </c>
      <c r="J334" s="19">
        <v>0.48148099999999999</v>
      </c>
      <c r="K334" s="19">
        <v>10225</v>
      </c>
      <c r="L334" s="19">
        <v>4923</v>
      </c>
      <c r="M334" s="19">
        <v>24</v>
      </c>
      <c r="N334" s="19">
        <v>7163</v>
      </c>
      <c r="O334" s="19">
        <v>3449</v>
      </c>
      <c r="P334">
        <f t="shared" si="5"/>
        <v>0.4815021638978082</v>
      </c>
    </row>
    <row r="335" spans="1:16">
      <c r="A335" s="19" t="s">
        <v>830</v>
      </c>
      <c r="B335" s="19">
        <v>2030</v>
      </c>
      <c r="C335" s="19">
        <v>79</v>
      </c>
      <c r="D335" s="19" t="s">
        <v>193</v>
      </c>
      <c r="E335" s="19" t="s">
        <v>831</v>
      </c>
      <c r="F335" s="19">
        <v>52.3598</v>
      </c>
      <c r="G335" s="19">
        <v>5.0233429999999997</v>
      </c>
      <c r="H335" s="19" t="s">
        <v>102</v>
      </c>
      <c r="I335" s="19">
        <v>216</v>
      </c>
      <c r="J335" s="19">
        <v>0.36574099999999998</v>
      </c>
      <c r="K335" s="19">
        <v>10225</v>
      </c>
      <c r="L335" s="19">
        <v>3740</v>
      </c>
      <c r="M335" s="19">
        <v>24</v>
      </c>
      <c r="N335" s="19">
        <v>7163</v>
      </c>
      <c r="O335" s="19">
        <v>2620</v>
      </c>
      <c r="P335">
        <f t="shared" si="5"/>
        <v>0.36576853273767973</v>
      </c>
    </row>
    <row r="336" spans="1:16">
      <c r="A336" s="19" t="s">
        <v>832</v>
      </c>
      <c r="B336" s="19">
        <v>2030</v>
      </c>
      <c r="C336" s="19">
        <v>113</v>
      </c>
      <c r="D336" s="19" t="s">
        <v>193</v>
      </c>
      <c r="E336" s="19" t="s">
        <v>833</v>
      </c>
      <c r="F336" s="19">
        <v>52.337899999999998</v>
      </c>
      <c r="G336" s="19">
        <v>4.928655</v>
      </c>
      <c r="H336" s="19" t="s">
        <v>102</v>
      </c>
      <c r="I336" s="19">
        <v>216</v>
      </c>
      <c r="J336" s="19">
        <v>0.52314799999999995</v>
      </c>
      <c r="K336" s="19">
        <v>10225</v>
      </c>
      <c r="L336" s="19">
        <v>5349</v>
      </c>
      <c r="M336" s="19">
        <v>24</v>
      </c>
      <c r="N336" s="19">
        <v>7163</v>
      </c>
      <c r="O336" s="19">
        <v>3747</v>
      </c>
      <c r="P336">
        <f t="shared" si="5"/>
        <v>0.52310484433896409</v>
      </c>
    </row>
    <row r="337" spans="1:16">
      <c r="A337" s="19" t="s">
        <v>834</v>
      </c>
      <c r="B337" s="19">
        <v>2030</v>
      </c>
      <c r="C337" s="19">
        <v>113</v>
      </c>
      <c r="D337" s="19" t="s">
        <v>193</v>
      </c>
      <c r="E337" s="19" t="s">
        <v>835</v>
      </c>
      <c r="F337" s="19">
        <v>52.338160000000002</v>
      </c>
      <c r="G337" s="19">
        <v>4.929163</v>
      </c>
      <c r="H337" s="19" t="s">
        <v>102</v>
      </c>
      <c r="I337" s="19">
        <v>216</v>
      </c>
      <c r="J337" s="19">
        <v>0.52314799999999995</v>
      </c>
      <c r="K337" s="19">
        <v>10225</v>
      </c>
      <c r="L337" s="19">
        <v>5349</v>
      </c>
      <c r="M337" s="19">
        <v>24</v>
      </c>
      <c r="N337" s="19">
        <v>7163</v>
      </c>
      <c r="O337" s="19">
        <v>3747</v>
      </c>
      <c r="P337">
        <f t="shared" si="5"/>
        <v>0.52310484433896409</v>
      </c>
    </row>
    <row r="338" spans="1:16">
      <c r="A338" s="19" t="s">
        <v>836</v>
      </c>
      <c r="B338" s="19">
        <v>2030</v>
      </c>
      <c r="C338" s="19">
        <v>275</v>
      </c>
      <c r="D338" s="19" t="s">
        <v>196</v>
      </c>
      <c r="E338" s="19" t="s">
        <v>837</v>
      </c>
      <c r="F338" s="19">
        <v>52.3855</v>
      </c>
      <c r="G338" s="19">
        <v>4.835445</v>
      </c>
      <c r="H338" s="19" t="s">
        <v>102</v>
      </c>
      <c r="I338" s="19">
        <v>216</v>
      </c>
      <c r="J338" s="19">
        <v>1.2731479999999999</v>
      </c>
      <c r="K338" s="19">
        <v>10225</v>
      </c>
      <c r="L338" s="19">
        <v>13018</v>
      </c>
      <c r="M338" s="19">
        <v>24</v>
      </c>
      <c r="N338" s="19">
        <v>7163</v>
      </c>
      <c r="O338" s="19">
        <v>9120</v>
      </c>
      <c r="P338">
        <f t="shared" si="5"/>
        <v>1.273209549071618</v>
      </c>
    </row>
    <row r="339" spans="1:16">
      <c r="A339" s="19" t="s">
        <v>838</v>
      </c>
      <c r="B339" s="19">
        <v>2030</v>
      </c>
      <c r="C339" s="19">
        <v>277</v>
      </c>
      <c r="D339" s="19" t="s">
        <v>196</v>
      </c>
      <c r="E339" s="19" t="s">
        <v>839</v>
      </c>
      <c r="F339" s="19">
        <v>52.385390000000001</v>
      </c>
      <c r="G339" s="19">
        <v>4.8334440000000001</v>
      </c>
      <c r="H339" s="19" t="s">
        <v>102</v>
      </c>
      <c r="I339" s="19">
        <v>216</v>
      </c>
      <c r="J339" s="19">
        <v>1.2824070000000001</v>
      </c>
      <c r="K339" s="19">
        <v>10225</v>
      </c>
      <c r="L339" s="19">
        <v>13113</v>
      </c>
      <c r="M339" s="19">
        <v>24</v>
      </c>
      <c r="N339" s="19">
        <v>7163</v>
      </c>
      <c r="O339" s="19">
        <v>9186</v>
      </c>
      <c r="P339">
        <f t="shared" si="5"/>
        <v>1.2824235655451626</v>
      </c>
    </row>
    <row r="340" spans="1:16">
      <c r="A340" s="19" t="s">
        <v>840</v>
      </c>
      <c r="B340" s="19">
        <v>2030</v>
      </c>
      <c r="C340" s="19">
        <v>200</v>
      </c>
      <c r="D340" s="19" t="s">
        <v>175</v>
      </c>
      <c r="E340" s="19" t="s">
        <v>841</v>
      </c>
      <c r="F340" s="19">
        <v>52.40334</v>
      </c>
      <c r="G340" s="19">
        <v>4.8975999999999997</v>
      </c>
      <c r="H340" s="19" t="s">
        <v>102</v>
      </c>
      <c r="I340" s="19">
        <v>216</v>
      </c>
      <c r="J340" s="19">
        <v>0.92592600000000003</v>
      </c>
      <c r="K340" s="19">
        <v>10225</v>
      </c>
      <c r="L340" s="19">
        <v>9468</v>
      </c>
      <c r="M340" s="19">
        <v>24</v>
      </c>
      <c r="N340" s="19">
        <v>7163</v>
      </c>
      <c r="O340" s="19">
        <v>6632</v>
      </c>
      <c r="P340">
        <f t="shared" si="5"/>
        <v>0.92586904928102753</v>
      </c>
    </row>
    <row r="341" spans="1:16">
      <c r="A341" s="19" t="s">
        <v>652</v>
      </c>
      <c r="B341" s="19">
        <v>2030</v>
      </c>
      <c r="C341" s="19">
        <v>457</v>
      </c>
      <c r="D341" s="19" t="s">
        <v>193</v>
      </c>
      <c r="E341" s="19" t="s">
        <v>842</v>
      </c>
      <c r="F341" s="19">
        <v>52.3782</v>
      </c>
      <c r="G341" s="19">
        <v>4.9599840000000004</v>
      </c>
      <c r="H341" s="19" t="s">
        <v>103</v>
      </c>
      <c r="I341" s="19">
        <v>350</v>
      </c>
      <c r="J341" s="19">
        <v>1.305714</v>
      </c>
      <c r="K341" s="19">
        <v>32297</v>
      </c>
      <c r="L341" s="19">
        <v>42171</v>
      </c>
      <c r="M341" s="19">
        <v>30</v>
      </c>
      <c r="N341" s="19">
        <v>26588</v>
      </c>
      <c r="O341" s="19">
        <v>34716</v>
      </c>
      <c r="P341">
        <f t="shared" si="5"/>
        <v>1.3057018203700919</v>
      </c>
    </row>
    <row r="342" spans="1:16">
      <c r="A342" s="19" t="s">
        <v>843</v>
      </c>
      <c r="B342" s="19">
        <v>2030</v>
      </c>
      <c r="C342" s="19">
        <v>350</v>
      </c>
      <c r="D342" s="19" t="s">
        <v>188</v>
      </c>
      <c r="E342" s="19" t="s">
        <v>844</v>
      </c>
      <c r="F342" s="19">
        <v>52.389989999999997</v>
      </c>
      <c r="G342" s="19">
        <v>4.8545350000000003</v>
      </c>
      <c r="H342" s="19" t="s">
        <v>103</v>
      </c>
      <c r="I342" s="19">
        <v>350</v>
      </c>
      <c r="J342" s="19">
        <v>1</v>
      </c>
      <c r="K342" s="19">
        <v>32297</v>
      </c>
      <c r="L342" s="19">
        <v>32297</v>
      </c>
      <c r="M342" s="19">
        <v>30</v>
      </c>
      <c r="N342" s="19">
        <v>26588</v>
      </c>
      <c r="O342" s="19">
        <v>26588</v>
      </c>
      <c r="P342">
        <f t="shared" si="5"/>
        <v>1</v>
      </c>
    </row>
    <row r="343" spans="1:16">
      <c r="A343" s="19" t="s">
        <v>845</v>
      </c>
      <c r="B343" s="19">
        <v>2030</v>
      </c>
      <c r="C343" s="19">
        <v>270</v>
      </c>
      <c r="D343" s="19" t="s">
        <v>231</v>
      </c>
      <c r="E343" s="19" t="s">
        <v>846</v>
      </c>
      <c r="F343" s="19">
        <v>52.336179999999999</v>
      </c>
      <c r="G343" s="19">
        <v>4.8832329999999997</v>
      </c>
      <c r="H343" s="19" t="s">
        <v>102</v>
      </c>
      <c r="I343" s="19">
        <v>216</v>
      </c>
      <c r="J343" s="19">
        <v>1.25</v>
      </c>
      <c r="K343" s="19">
        <v>10225</v>
      </c>
      <c r="L343" s="19">
        <v>12781</v>
      </c>
      <c r="M343" s="19">
        <v>24</v>
      </c>
      <c r="N343" s="19">
        <v>7163</v>
      </c>
      <c r="O343" s="19">
        <v>8954</v>
      </c>
      <c r="P343">
        <f t="shared" si="5"/>
        <v>1.2500349015775514</v>
      </c>
    </row>
    <row r="344" spans="1:16">
      <c r="A344" s="19" t="s">
        <v>537</v>
      </c>
      <c r="B344" s="19">
        <v>2030</v>
      </c>
      <c r="C344" s="19">
        <v>1464</v>
      </c>
      <c r="D344" s="19" t="s">
        <v>231</v>
      </c>
      <c r="E344" s="19" t="s">
        <v>847</v>
      </c>
      <c r="F344" s="19">
        <v>52.335990000000002</v>
      </c>
      <c r="G344" s="19">
        <v>4.8642469999999998</v>
      </c>
      <c r="H344" s="19" t="s">
        <v>104</v>
      </c>
      <c r="I344" s="19">
        <v>592</v>
      </c>
      <c r="J344" s="19">
        <v>2.4729730000000001</v>
      </c>
      <c r="K344" s="19">
        <v>75000</v>
      </c>
      <c r="L344" s="19">
        <v>185473</v>
      </c>
      <c r="M344" s="19">
        <v>36</v>
      </c>
      <c r="N344" s="19">
        <v>50000</v>
      </c>
      <c r="O344" s="19">
        <v>123649</v>
      </c>
      <c r="P344">
        <f t="shared" si="5"/>
        <v>2.4729800000000002</v>
      </c>
    </row>
    <row r="345" spans="1:16">
      <c r="A345" s="19" t="s">
        <v>848</v>
      </c>
      <c r="B345" s="19">
        <v>2030</v>
      </c>
      <c r="C345" s="19">
        <v>76</v>
      </c>
      <c r="D345" s="19" t="s">
        <v>231</v>
      </c>
      <c r="E345" s="19" t="s">
        <v>849</v>
      </c>
      <c r="F345" s="19">
        <v>52.341659999999997</v>
      </c>
      <c r="G345" s="19">
        <v>4.8561129999999997</v>
      </c>
      <c r="H345" s="19" t="s">
        <v>102</v>
      </c>
      <c r="I345" s="19">
        <v>216</v>
      </c>
      <c r="J345" s="19">
        <v>0.351852</v>
      </c>
      <c r="K345" s="19">
        <v>10225</v>
      </c>
      <c r="L345" s="19">
        <v>3598</v>
      </c>
      <c r="M345" s="19">
        <v>24</v>
      </c>
      <c r="N345" s="19">
        <v>7163</v>
      </c>
      <c r="O345" s="19">
        <v>2520</v>
      </c>
      <c r="P345">
        <f t="shared" si="5"/>
        <v>0.35180790171715759</v>
      </c>
    </row>
    <row r="346" spans="1:16">
      <c r="A346" s="19" t="s">
        <v>850</v>
      </c>
      <c r="B346" s="19">
        <v>2030</v>
      </c>
      <c r="C346" s="19">
        <v>220</v>
      </c>
      <c r="D346" s="19" t="s">
        <v>170</v>
      </c>
      <c r="E346" s="19" t="s">
        <v>851</v>
      </c>
      <c r="F346" s="19">
        <v>52.297440000000002</v>
      </c>
      <c r="G346" s="19">
        <v>4.9644019999999998</v>
      </c>
      <c r="H346" s="19" t="s">
        <v>102</v>
      </c>
      <c r="I346" s="19">
        <v>216</v>
      </c>
      <c r="J346" s="19">
        <v>1.018519</v>
      </c>
      <c r="K346" s="19">
        <v>10225</v>
      </c>
      <c r="L346" s="19">
        <v>10414</v>
      </c>
      <c r="M346" s="19">
        <v>24</v>
      </c>
      <c r="N346" s="19">
        <v>7163</v>
      </c>
      <c r="O346" s="19">
        <v>7296</v>
      </c>
      <c r="P346">
        <f t="shared" si="5"/>
        <v>1.0185676392572944</v>
      </c>
    </row>
    <row r="347" spans="1:16">
      <c r="A347" s="19" t="s">
        <v>852</v>
      </c>
      <c r="B347" s="19">
        <v>2030</v>
      </c>
      <c r="C347" s="19">
        <v>225</v>
      </c>
      <c r="D347" s="19" t="s">
        <v>170</v>
      </c>
      <c r="E347" s="19" t="s">
        <v>853</v>
      </c>
      <c r="F347" s="19">
        <v>52.297490000000003</v>
      </c>
      <c r="G347" s="19">
        <v>4.9657859999999996</v>
      </c>
      <c r="H347" s="19" t="s">
        <v>102</v>
      </c>
      <c r="I347" s="19">
        <v>216</v>
      </c>
      <c r="J347" s="19">
        <v>1.0416669999999999</v>
      </c>
      <c r="K347" s="19">
        <v>10225</v>
      </c>
      <c r="L347" s="19">
        <v>10651</v>
      </c>
      <c r="M347" s="19">
        <v>24</v>
      </c>
      <c r="N347" s="19">
        <v>7163</v>
      </c>
      <c r="O347" s="19">
        <v>7461</v>
      </c>
      <c r="P347">
        <f t="shared" si="5"/>
        <v>1.041602680441156</v>
      </c>
    </row>
    <row r="348" spans="1:16">
      <c r="A348" s="19" t="s">
        <v>854</v>
      </c>
      <c r="B348" s="19">
        <v>2030</v>
      </c>
      <c r="C348" s="19">
        <v>125</v>
      </c>
      <c r="D348" s="19" t="s">
        <v>196</v>
      </c>
      <c r="E348" s="19" t="s">
        <v>855</v>
      </c>
      <c r="F348" s="19">
        <v>52.343739999999997</v>
      </c>
      <c r="G348" s="19">
        <v>4.8331660000000003</v>
      </c>
      <c r="H348" s="19" t="s">
        <v>102</v>
      </c>
      <c r="I348" s="19">
        <v>216</v>
      </c>
      <c r="J348" s="19">
        <v>0.578704</v>
      </c>
      <c r="K348" s="19">
        <v>10225</v>
      </c>
      <c r="L348" s="19">
        <v>5917</v>
      </c>
      <c r="M348" s="19">
        <v>24</v>
      </c>
      <c r="N348" s="19">
        <v>7163</v>
      </c>
      <c r="O348" s="19">
        <v>4145</v>
      </c>
      <c r="P348">
        <f t="shared" si="5"/>
        <v>0.57866815580064224</v>
      </c>
    </row>
    <row r="349" spans="1:16">
      <c r="A349" s="19" t="s">
        <v>856</v>
      </c>
      <c r="B349" s="19">
        <v>2030</v>
      </c>
      <c r="C349" s="19">
        <v>58</v>
      </c>
      <c r="D349" s="19" t="s">
        <v>196</v>
      </c>
      <c r="E349" s="19" t="s">
        <v>857</v>
      </c>
      <c r="F349" s="19">
        <v>52.346269999999997</v>
      </c>
      <c r="G349" s="19">
        <v>4.8349529999999996</v>
      </c>
      <c r="H349" s="19" t="s">
        <v>102</v>
      </c>
      <c r="I349" s="19">
        <v>216</v>
      </c>
      <c r="J349" s="19">
        <v>0.26851900000000001</v>
      </c>
      <c r="K349" s="19">
        <v>10225</v>
      </c>
      <c r="L349" s="19">
        <v>2746</v>
      </c>
      <c r="M349" s="19">
        <v>24</v>
      </c>
      <c r="N349" s="19">
        <v>7163</v>
      </c>
      <c r="O349" s="19">
        <v>1923</v>
      </c>
      <c r="P349">
        <f t="shared" si="5"/>
        <v>0.26846293452464054</v>
      </c>
    </row>
    <row r="350" spans="1:16">
      <c r="A350" s="19" t="s">
        <v>741</v>
      </c>
      <c r="B350" s="19">
        <v>2030</v>
      </c>
      <c r="C350" s="19">
        <v>88</v>
      </c>
      <c r="D350" s="19" t="s">
        <v>196</v>
      </c>
      <c r="E350" s="19" t="s">
        <v>858</v>
      </c>
      <c r="F350" s="19">
        <v>52.349119999999999</v>
      </c>
      <c r="G350" s="19">
        <v>4.8259179999999997</v>
      </c>
      <c r="H350" s="19" t="s">
        <v>102</v>
      </c>
      <c r="I350" s="19">
        <v>216</v>
      </c>
      <c r="J350" s="19">
        <v>0.40740700000000002</v>
      </c>
      <c r="K350" s="19">
        <v>10225</v>
      </c>
      <c r="L350" s="19">
        <v>4166</v>
      </c>
      <c r="M350" s="19">
        <v>24</v>
      </c>
      <c r="N350" s="19">
        <v>7163</v>
      </c>
      <c r="O350" s="19">
        <v>2918</v>
      </c>
      <c r="P350">
        <f t="shared" si="5"/>
        <v>0.40737121317883568</v>
      </c>
    </row>
    <row r="351" spans="1:16">
      <c r="A351" s="19" t="s">
        <v>859</v>
      </c>
      <c r="B351" s="19">
        <v>2030</v>
      </c>
      <c r="C351" s="19">
        <v>298</v>
      </c>
      <c r="D351" s="19" t="s">
        <v>231</v>
      </c>
      <c r="E351" s="19" t="s">
        <v>860</v>
      </c>
      <c r="F351" s="19">
        <v>52.336219999999997</v>
      </c>
      <c r="G351" s="19">
        <v>4.8566459999999996</v>
      </c>
      <c r="H351" s="19" t="s">
        <v>102</v>
      </c>
      <c r="I351" s="19">
        <v>216</v>
      </c>
      <c r="J351" s="19">
        <v>1.3796299999999999</v>
      </c>
      <c r="K351" s="19">
        <v>10225</v>
      </c>
      <c r="L351" s="19">
        <v>14107</v>
      </c>
      <c r="M351" s="19">
        <v>24</v>
      </c>
      <c r="N351" s="19">
        <v>7163</v>
      </c>
      <c r="O351" s="19">
        <v>9882</v>
      </c>
      <c r="P351">
        <f t="shared" si="5"/>
        <v>1.3795895574479966</v>
      </c>
    </row>
    <row r="352" spans="1:16">
      <c r="A352" s="19" t="s">
        <v>861</v>
      </c>
      <c r="B352" s="19">
        <v>2030</v>
      </c>
      <c r="C352" s="19">
        <v>80</v>
      </c>
      <c r="D352" s="19" t="s">
        <v>196</v>
      </c>
      <c r="E352" s="19" t="s">
        <v>862</v>
      </c>
      <c r="F352" s="19">
        <v>52.376750000000001</v>
      </c>
      <c r="G352" s="19">
        <v>4.8057689999999997</v>
      </c>
      <c r="H352" s="19" t="s">
        <v>102</v>
      </c>
      <c r="I352" s="19">
        <v>216</v>
      </c>
      <c r="J352" s="19">
        <v>0.37036999999999998</v>
      </c>
      <c r="K352" s="19">
        <v>10225</v>
      </c>
      <c r="L352" s="19">
        <v>3787</v>
      </c>
      <c r="M352" s="19">
        <v>24</v>
      </c>
      <c r="N352" s="19">
        <v>7163</v>
      </c>
      <c r="O352" s="19">
        <v>2653</v>
      </c>
      <c r="P352">
        <f t="shared" si="5"/>
        <v>0.37037554097445202</v>
      </c>
    </row>
    <row r="353" spans="1:16">
      <c r="A353" s="19" t="s">
        <v>863</v>
      </c>
      <c r="B353" s="19">
        <v>2030</v>
      </c>
      <c r="C353" s="19">
        <v>89</v>
      </c>
      <c r="D353" s="19" t="s">
        <v>193</v>
      </c>
      <c r="E353" s="19" t="s">
        <v>864</v>
      </c>
      <c r="F353" s="19">
        <v>52.358499999999999</v>
      </c>
      <c r="G353" s="19">
        <v>5.0232840000000003</v>
      </c>
      <c r="H353" s="19" t="s">
        <v>102</v>
      </c>
      <c r="I353" s="19">
        <v>216</v>
      </c>
      <c r="J353" s="19">
        <v>0.41203699999999999</v>
      </c>
      <c r="K353" s="19">
        <v>10225</v>
      </c>
      <c r="L353" s="19">
        <v>4213</v>
      </c>
      <c r="M353" s="19">
        <v>24</v>
      </c>
      <c r="N353" s="19">
        <v>7163</v>
      </c>
      <c r="O353" s="19">
        <v>2951</v>
      </c>
      <c r="P353">
        <f t="shared" si="5"/>
        <v>0.41197822141560797</v>
      </c>
    </row>
    <row r="354" spans="1:16">
      <c r="A354" s="19" t="s">
        <v>865</v>
      </c>
      <c r="B354" s="19">
        <v>2030</v>
      </c>
      <c r="C354" s="19">
        <v>413</v>
      </c>
      <c r="D354" s="19" t="s">
        <v>188</v>
      </c>
      <c r="E354" s="19" t="s">
        <v>866</v>
      </c>
      <c r="F354" s="19">
        <v>52.370600000000003</v>
      </c>
      <c r="G354" s="19">
        <v>4.8444729999999998</v>
      </c>
      <c r="H354" s="19" t="s">
        <v>103</v>
      </c>
      <c r="I354" s="19">
        <v>350</v>
      </c>
      <c r="J354" s="19">
        <v>1.18</v>
      </c>
      <c r="K354" s="19">
        <v>32297</v>
      </c>
      <c r="L354" s="19">
        <v>38110</v>
      </c>
      <c r="M354" s="19">
        <v>30</v>
      </c>
      <c r="N354" s="19">
        <v>26588</v>
      </c>
      <c r="O354" s="19">
        <v>31374</v>
      </c>
      <c r="P354">
        <f t="shared" si="5"/>
        <v>1.1800060177523695</v>
      </c>
    </row>
    <row r="355" spans="1:16">
      <c r="A355" s="19" t="s">
        <v>867</v>
      </c>
      <c r="B355" s="19">
        <v>2030</v>
      </c>
      <c r="C355" s="19">
        <v>115</v>
      </c>
      <c r="D355" s="19" t="s">
        <v>170</v>
      </c>
      <c r="E355" s="19" t="s">
        <v>853</v>
      </c>
      <c r="F355" s="19">
        <v>52.297490000000003</v>
      </c>
      <c r="G355" s="19">
        <v>4.9657859999999996</v>
      </c>
      <c r="H355" s="19" t="s">
        <v>102</v>
      </c>
      <c r="I355" s="19">
        <v>216</v>
      </c>
      <c r="J355" s="19">
        <v>0.53240699999999996</v>
      </c>
      <c r="K355" s="19">
        <v>10225</v>
      </c>
      <c r="L355" s="19">
        <v>5444</v>
      </c>
      <c r="M355" s="19">
        <v>24</v>
      </c>
      <c r="N355" s="19">
        <v>7163</v>
      </c>
      <c r="O355" s="19">
        <v>3814</v>
      </c>
      <c r="P355">
        <f t="shared" si="5"/>
        <v>0.53245846712271394</v>
      </c>
    </row>
    <row r="356" spans="1:16">
      <c r="A356" s="19" t="s">
        <v>807</v>
      </c>
      <c r="B356" s="19">
        <v>2030</v>
      </c>
      <c r="C356" s="19">
        <v>320</v>
      </c>
      <c r="D356" s="19" t="s">
        <v>193</v>
      </c>
      <c r="E356" s="19" t="s">
        <v>868</v>
      </c>
      <c r="F356" s="19">
        <v>52.370489999999997</v>
      </c>
      <c r="G356" s="19">
        <v>4.9595770000000003</v>
      </c>
      <c r="H356" s="19" t="s">
        <v>103</v>
      </c>
      <c r="I356" s="19">
        <v>350</v>
      </c>
      <c r="J356" s="19">
        <v>0.91428600000000004</v>
      </c>
      <c r="K356" s="19">
        <v>32297</v>
      </c>
      <c r="L356" s="19">
        <v>29529</v>
      </c>
      <c r="M356" s="19">
        <v>30</v>
      </c>
      <c r="N356" s="19">
        <v>26588</v>
      </c>
      <c r="O356" s="19">
        <v>24309</v>
      </c>
      <c r="P356">
        <f t="shared" si="5"/>
        <v>0.91428463968707685</v>
      </c>
    </row>
    <row r="357" spans="1:16">
      <c r="A357" s="19" t="s">
        <v>869</v>
      </c>
      <c r="B357" s="19">
        <v>2030</v>
      </c>
      <c r="C357" s="19">
        <v>122</v>
      </c>
      <c r="D357" s="19" t="s">
        <v>175</v>
      </c>
      <c r="E357" s="19" t="s">
        <v>870</v>
      </c>
      <c r="F357" s="19">
        <v>52.403410000000001</v>
      </c>
      <c r="G357" s="19">
        <v>4.8926869999999996</v>
      </c>
      <c r="H357" s="19" t="s">
        <v>102</v>
      </c>
      <c r="I357" s="19">
        <v>216</v>
      </c>
      <c r="J357" s="19">
        <v>0.56481499999999996</v>
      </c>
      <c r="K357" s="19">
        <v>10225</v>
      </c>
      <c r="L357" s="19">
        <v>5775</v>
      </c>
      <c r="M357" s="19">
        <v>24</v>
      </c>
      <c r="N357" s="19">
        <v>7163</v>
      </c>
      <c r="O357" s="19">
        <v>4046</v>
      </c>
      <c r="P357">
        <f t="shared" si="5"/>
        <v>0.56484713109032525</v>
      </c>
    </row>
    <row r="358" spans="1:16">
      <c r="A358" s="19"/>
      <c r="B358" s="19"/>
      <c r="C358" s="19"/>
      <c r="D358" s="19"/>
      <c r="E358" s="19"/>
      <c r="F358" s="19"/>
      <c r="G358" s="19"/>
      <c r="H358" s="19"/>
      <c r="I358" s="19"/>
      <c r="J358" s="19"/>
      <c r="K358" s="19"/>
      <c r="L358" s="19"/>
      <c r="M358" s="19"/>
      <c r="N358" s="19"/>
      <c r="O358"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F487-C931-4C1D-9E19-D6DB0CC759C1}">
  <dimension ref="A1:O16"/>
  <sheetViews>
    <sheetView tabSelected="1" workbookViewId="0">
      <selection activeCell="G6" sqref="G6"/>
    </sheetView>
  </sheetViews>
  <sheetFormatPr defaultRowHeight="14.45"/>
  <cols>
    <col min="9" max="9" width="12.28515625" customWidth="1"/>
    <col min="13" max="13" width="9.42578125" customWidth="1"/>
    <col min="15" max="15" width="23.28515625" customWidth="1"/>
  </cols>
  <sheetData>
    <row r="1" spans="1:15">
      <c r="A1" s="55" t="s">
        <v>156</v>
      </c>
      <c r="B1" s="56" t="s">
        <v>157</v>
      </c>
      <c r="C1" s="56" t="s">
        <v>158</v>
      </c>
      <c r="D1" s="56" t="s">
        <v>159</v>
      </c>
      <c r="E1" s="56" t="s">
        <v>160</v>
      </c>
      <c r="F1" s="56" t="s">
        <v>145</v>
      </c>
      <c r="G1" s="56" t="s">
        <v>146</v>
      </c>
      <c r="H1" s="56" t="s">
        <v>123</v>
      </c>
      <c r="I1" s="56" t="s">
        <v>161</v>
      </c>
      <c r="J1" s="56" t="s">
        <v>162</v>
      </c>
      <c r="K1" s="56" t="s">
        <v>163</v>
      </c>
      <c r="L1" s="56" t="s">
        <v>164</v>
      </c>
      <c r="M1" s="56" t="s">
        <v>165</v>
      </c>
      <c r="N1" s="56" t="s">
        <v>166</v>
      </c>
      <c r="O1" s="56" t="s">
        <v>167</v>
      </c>
    </row>
    <row r="2" spans="1:15">
      <c r="A2" s="19" t="s">
        <v>169</v>
      </c>
      <c r="B2" s="19">
        <v>2024</v>
      </c>
      <c r="C2" s="19">
        <v>270</v>
      </c>
      <c r="D2" s="19" t="s">
        <v>170</v>
      </c>
      <c r="E2" s="19" t="s">
        <v>171</v>
      </c>
      <c r="F2" s="19">
        <v>52.31438</v>
      </c>
      <c r="G2" s="19">
        <v>4.9551309999999997</v>
      </c>
      <c r="H2" s="19" t="s">
        <v>102</v>
      </c>
      <c r="I2" s="19">
        <v>216</v>
      </c>
      <c r="J2" s="19">
        <v>1.25</v>
      </c>
      <c r="K2" s="19">
        <v>10225</v>
      </c>
      <c r="L2" s="19">
        <v>12781</v>
      </c>
      <c r="M2" s="19">
        <v>24</v>
      </c>
      <c r="N2" s="19">
        <v>7163</v>
      </c>
      <c r="O2" s="19">
        <v>8954</v>
      </c>
    </row>
    <row r="3" spans="1:15">
      <c r="A3" s="19" t="s">
        <v>172</v>
      </c>
      <c r="B3" s="19">
        <v>2024</v>
      </c>
      <c r="C3" s="19">
        <v>568</v>
      </c>
      <c r="D3" s="19" t="s">
        <v>170</v>
      </c>
      <c r="E3" s="19" t="s">
        <v>173</v>
      </c>
      <c r="F3" s="19">
        <v>52.312040000000003</v>
      </c>
      <c r="G3" s="19">
        <v>4.9424140000000003</v>
      </c>
      <c r="H3" s="19" t="s">
        <v>104</v>
      </c>
      <c r="I3" s="19">
        <v>592</v>
      </c>
      <c r="J3" s="19">
        <v>0.95945899999999995</v>
      </c>
      <c r="K3" s="19">
        <v>75000</v>
      </c>
      <c r="L3" s="19">
        <v>71959</v>
      </c>
      <c r="M3" s="19">
        <v>36</v>
      </c>
      <c r="N3" s="19">
        <v>50000</v>
      </c>
      <c r="O3" s="19">
        <v>47973</v>
      </c>
    </row>
    <row r="4" spans="1:15">
      <c r="A4" s="19" t="s">
        <v>332</v>
      </c>
      <c r="B4" s="19">
        <v>2025</v>
      </c>
      <c r="C4" s="19">
        <v>176</v>
      </c>
      <c r="D4" s="19" t="s">
        <v>175</v>
      </c>
      <c r="E4" s="19" t="s">
        <v>333</v>
      </c>
      <c r="F4" s="19">
        <v>52.404989999999998</v>
      </c>
      <c r="G4" s="19">
        <v>4.9397039999999999</v>
      </c>
      <c r="H4" s="19" t="s">
        <v>102</v>
      </c>
      <c r="I4" s="19">
        <v>216</v>
      </c>
      <c r="J4" s="19">
        <v>0.81481499999999996</v>
      </c>
      <c r="K4" s="19">
        <v>10225</v>
      </c>
      <c r="L4" s="19">
        <v>8331</v>
      </c>
      <c r="M4" s="19">
        <v>24</v>
      </c>
      <c r="N4" s="19">
        <v>7163</v>
      </c>
      <c r="O4" s="19">
        <v>5837</v>
      </c>
    </row>
    <row r="5" spans="1:15">
      <c r="A5" s="19" t="s">
        <v>334</v>
      </c>
      <c r="B5" s="19">
        <v>2025</v>
      </c>
      <c r="C5" s="19">
        <v>103</v>
      </c>
      <c r="D5" s="19" t="s">
        <v>175</v>
      </c>
      <c r="E5" s="19" t="s">
        <v>335</v>
      </c>
      <c r="F5" s="19">
        <v>52.414560000000002</v>
      </c>
      <c r="G5" s="19">
        <v>4.9223119999999998</v>
      </c>
      <c r="H5" s="19" t="s">
        <v>102</v>
      </c>
      <c r="I5" s="19">
        <v>216</v>
      </c>
      <c r="J5" s="19">
        <v>0.476852</v>
      </c>
      <c r="K5" s="19">
        <v>10225</v>
      </c>
      <c r="L5" s="19">
        <v>4876</v>
      </c>
      <c r="M5" s="19">
        <v>24</v>
      </c>
      <c r="N5" s="19">
        <v>7163</v>
      </c>
      <c r="O5" s="19">
        <v>3416</v>
      </c>
    </row>
    <row r="6" spans="1:15">
      <c r="A6" s="19" t="s">
        <v>489</v>
      </c>
      <c r="B6" s="19">
        <v>2026</v>
      </c>
      <c r="C6" s="19">
        <v>150</v>
      </c>
      <c r="D6" s="19" t="s">
        <v>175</v>
      </c>
      <c r="E6" s="19" t="s">
        <v>490</v>
      </c>
      <c r="F6" s="19">
        <v>52.414270000000002</v>
      </c>
      <c r="G6" s="19">
        <v>4.9230029999999996</v>
      </c>
      <c r="H6" s="19" t="s">
        <v>102</v>
      </c>
      <c r="I6" s="19">
        <v>216</v>
      </c>
      <c r="J6" s="19">
        <v>0.69444399999999995</v>
      </c>
      <c r="K6" s="19">
        <v>10225</v>
      </c>
      <c r="L6" s="19">
        <v>7101</v>
      </c>
      <c r="M6" s="19">
        <v>24</v>
      </c>
      <c r="N6" s="19">
        <v>7163</v>
      </c>
      <c r="O6" s="19">
        <v>4974</v>
      </c>
    </row>
    <row r="7" spans="1:15">
      <c r="A7" s="19" t="s">
        <v>491</v>
      </c>
      <c r="B7" s="19">
        <v>2026</v>
      </c>
      <c r="C7" s="19">
        <v>275</v>
      </c>
      <c r="D7" s="19" t="s">
        <v>175</v>
      </c>
      <c r="E7" s="19" t="s">
        <v>492</v>
      </c>
      <c r="F7" s="19">
        <v>52.395820000000001</v>
      </c>
      <c r="G7" s="19">
        <v>4.8991540000000002</v>
      </c>
      <c r="H7" s="19" t="s">
        <v>102</v>
      </c>
      <c r="I7" s="19">
        <v>216</v>
      </c>
      <c r="J7" s="19">
        <v>1.2731479999999999</v>
      </c>
      <c r="K7" s="19">
        <v>10225</v>
      </c>
      <c r="L7" s="19">
        <v>13018</v>
      </c>
      <c r="M7" s="19">
        <v>24</v>
      </c>
      <c r="N7" s="19">
        <v>7163</v>
      </c>
      <c r="O7" s="19">
        <v>9120</v>
      </c>
    </row>
    <row r="8" spans="1:15">
      <c r="A8" s="19" t="s">
        <v>601</v>
      </c>
      <c r="B8" s="19">
        <v>2027</v>
      </c>
      <c r="C8" s="19">
        <v>286</v>
      </c>
      <c r="D8" s="19" t="s">
        <v>175</v>
      </c>
      <c r="E8" s="19" t="s">
        <v>602</v>
      </c>
      <c r="F8" s="19">
        <v>52.411549999999998</v>
      </c>
      <c r="G8" s="19">
        <v>4.9215660000000003</v>
      </c>
      <c r="H8" s="19" t="s">
        <v>102</v>
      </c>
      <c r="I8" s="19">
        <v>216</v>
      </c>
      <c r="J8" s="19">
        <v>1.324074</v>
      </c>
      <c r="K8" s="19">
        <v>10225</v>
      </c>
      <c r="L8" s="19">
        <v>13539</v>
      </c>
      <c r="M8" s="19">
        <v>24</v>
      </c>
      <c r="N8" s="19">
        <v>7163</v>
      </c>
      <c r="O8" s="19">
        <v>9484</v>
      </c>
    </row>
    <row r="9" spans="1:15">
      <c r="A9" s="19" t="s">
        <v>603</v>
      </c>
      <c r="B9" s="19">
        <v>2027</v>
      </c>
      <c r="C9" s="19">
        <v>199</v>
      </c>
      <c r="D9" s="19" t="s">
        <v>175</v>
      </c>
      <c r="E9" s="19" t="s">
        <v>604</v>
      </c>
      <c r="F9" s="19">
        <v>52.395449999999997</v>
      </c>
      <c r="G9" s="19">
        <v>4.9068659999999999</v>
      </c>
      <c r="H9" s="19" t="s">
        <v>102</v>
      </c>
      <c r="I9" s="19">
        <v>216</v>
      </c>
      <c r="J9" s="19">
        <v>0.921296</v>
      </c>
      <c r="K9" s="19">
        <v>10225</v>
      </c>
      <c r="L9" s="19">
        <v>9420</v>
      </c>
      <c r="M9" s="19">
        <v>24</v>
      </c>
      <c r="N9" s="19">
        <v>7163</v>
      </c>
      <c r="O9" s="19">
        <v>6599</v>
      </c>
    </row>
    <row r="10" spans="1:15">
      <c r="A10" s="19" t="s">
        <v>703</v>
      </c>
      <c r="B10" s="19">
        <v>2028</v>
      </c>
      <c r="C10" s="19">
        <v>300</v>
      </c>
      <c r="D10" s="19" t="s">
        <v>175</v>
      </c>
      <c r="E10" s="19" t="s">
        <v>704</v>
      </c>
      <c r="F10" s="19">
        <v>52.397030000000001</v>
      </c>
      <c r="G10" s="19">
        <v>4.9412180000000001</v>
      </c>
      <c r="H10" s="19" t="s">
        <v>103</v>
      </c>
      <c r="I10" s="19">
        <v>350</v>
      </c>
      <c r="J10" s="19">
        <v>0.85714299999999999</v>
      </c>
      <c r="K10" s="19">
        <v>32297</v>
      </c>
      <c r="L10" s="19">
        <v>27683</v>
      </c>
      <c r="M10" s="19">
        <v>30</v>
      </c>
      <c r="N10" s="19">
        <v>26588</v>
      </c>
      <c r="O10" s="19">
        <v>22790</v>
      </c>
    </row>
    <row r="11" spans="1:15">
      <c r="A11" s="19" t="s">
        <v>705</v>
      </c>
      <c r="B11" s="19">
        <v>2028</v>
      </c>
      <c r="C11" s="19">
        <v>1000</v>
      </c>
      <c r="D11" s="19" t="s">
        <v>612</v>
      </c>
      <c r="E11" s="19" t="s">
        <v>706</v>
      </c>
      <c r="F11" s="19">
        <v>52.319429999999997</v>
      </c>
      <c r="G11" s="19">
        <v>4.925643</v>
      </c>
      <c r="H11" s="19" t="s">
        <v>104</v>
      </c>
      <c r="I11" s="19">
        <v>592</v>
      </c>
      <c r="J11" s="19">
        <v>1.6891890000000001</v>
      </c>
      <c r="K11" s="19">
        <v>75000</v>
      </c>
      <c r="L11" s="19">
        <v>126689</v>
      </c>
      <c r="M11" s="19">
        <v>36</v>
      </c>
      <c r="N11" s="19">
        <v>50000</v>
      </c>
      <c r="O11" s="19">
        <v>84459</v>
      </c>
    </row>
    <row r="12" spans="1:15">
      <c r="A12" s="19" t="s">
        <v>762</v>
      </c>
      <c r="B12" s="19">
        <v>2029</v>
      </c>
      <c r="C12" s="19">
        <v>91</v>
      </c>
      <c r="D12" s="19" t="s">
        <v>175</v>
      </c>
      <c r="E12" s="19" t="s">
        <v>763</v>
      </c>
      <c r="F12" s="19">
        <v>52.391710000000003</v>
      </c>
      <c r="G12" s="19">
        <v>4.9059730000000004</v>
      </c>
      <c r="H12" s="19" t="s">
        <v>102</v>
      </c>
      <c r="I12" s="19">
        <v>216</v>
      </c>
      <c r="J12" s="19">
        <v>0.421296</v>
      </c>
      <c r="K12" s="19">
        <v>10225</v>
      </c>
      <c r="L12" s="19">
        <v>4308</v>
      </c>
      <c r="M12" s="19">
        <v>24</v>
      </c>
      <c r="N12" s="19">
        <v>7163</v>
      </c>
      <c r="O12" s="19">
        <v>3018</v>
      </c>
    </row>
    <row r="13" spans="1:15">
      <c r="A13" s="19" t="s">
        <v>764</v>
      </c>
      <c r="B13" s="19">
        <v>2029</v>
      </c>
      <c r="C13" s="19">
        <v>209</v>
      </c>
      <c r="D13" s="19" t="s">
        <v>188</v>
      </c>
      <c r="E13" s="19" t="s">
        <v>765</v>
      </c>
      <c r="F13" s="19">
        <v>52.379629999999999</v>
      </c>
      <c r="G13" s="19">
        <v>4.8638789999999998</v>
      </c>
      <c r="H13" s="19" t="s">
        <v>102</v>
      </c>
      <c r="I13" s="19">
        <v>216</v>
      </c>
      <c r="J13" s="19">
        <v>0.96759300000000004</v>
      </c>
      <c r="K13" s="19">
        <v>10225</v>
      </c>
      <c r="L13" s="19">
        <v>9894</v>
      </c>
      <c r="M13" s="19">
        <v>24</v>
      </c>
      <c r="N13" s="19">
        <v>7163</v>
      </c>
      <c r="O13" s="19">
        <v>6931</v>
      </c>
    </row>
    <row r="14" spans="1:15">
      <c r="A14" s="19" t="s">
        <v>818</v>
      </c>
      <c r="B14" s="19">
        <v>2030</v>
      </c>
      <c r="C14" s="19">
        <v>452</v>
      </c>
      <c r="D14" s="19" t="s">
        <v>175</v>
      </c>
      <c r="E14" s="19" t="s">
        <v>819</v>
      </c>
      <c r="F14" s="19">
        <v>52.398479999999999</v>
      </c>
      <c r="G14" s="19">
        <v>4.8989469999999997</v>
      </c>
      <c r="H14" s="19" t="s">
        <v>103</v>
      </c>
      <c r="I14" s="19">
        <v>350</v>
      </c>
      <c r="J14" s="19">
        <v>1.2914289999999999</v>
      </c>
      <c r="K14" s="19">
        <v>32297</v>
      </c>
      <c r="L14" s="19">
        <v>41709</v>
      </c>
      <c r="M14" s="19">
        <v>30</v>
      </c>
      <c r="N14" s="19">
        <v>26588</v>
      </c>
      <c r="O14" s="19">
        <v>34337</v>
      </c>
    </row>
    <row r="15" spans="1:15">
      <c r="A15" s="19" t="s">
        <v>820</v>
      </c>
      <c r="B15" s="19">
        <v>2030</v>
      </c>
      <c r="C15" s="19">
        <v>102</v>
      </c>
      <c r="D15" s="19" t="s">
        <v>175</v>
      </c>
      <c r="E15" s="19" t="s">
        <v>821</v>
      </c>
      <c r="F15" s="19">
        <v>52.399149999999999</v>
      </c>
      <c r="G15" s="19">
        <v>4.900925</v>
      </c>
      <c r="H15" s="19" t="s">
        <v>102</v>
      </c>
      <c r="I15" s="19">
        <v>216</v>
      </c>
      <c r="J15" s="19">
        <v>0.47222199999999998</v>
      </c>
      <c r="K15" s="19">
        <v>10225</v>
      </c>
      <c r="L15" s="19">
        <v>4828</v>
      </c>
      <c r="M15" s="19">
        <v>24</v>
      </c>
      <c r="N15" s="19">
        <v>7163</v>
      </c>
      <c r="O15" s="19">
        <v>3383</v>
      </c>
    </row>
    <row r="16" spans="1:15">
      <c r="A16" s="19"/>
      <c r="B16" s="19"/>
      <c r="C16" s="19"/>
      <c r="D16" s="19"/>
      <c r="E16" s="19"/>
      <c r="F16" s="19"/>
      <c r="G16" s="19"/>
      <c r="H16" s="19"/>
      <c r="I16" s="19"/>
      <c r="J16" s="19"/>
      <c r="K16" s="19"/>
      <c r="L16" s="19"/>
      <c r="M16" s="19"/>
      <c r="N16" s="19"/>
      <c r="O16"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FAA38-8228-489C-90A0-408B20BEE48F}">
  <dimension ref="A1:B20"/>
  <sheetViews>
    <sheetView workbookViewId="0">
      <selection activeCell="I17" sqref="I17"/>
    </sheetView>
  </sheetViews>
  <sheetFormatPr defaultRowHeight="14.45"/>
  <cols>
    <col min="1" max="1" width="22.42578125" customWidth="1"/>
    <col min="2" max="2" width="23.5703125" customWidth="1"/>
  </cols>
  <sheetData>
    <row r="1" spans="1:2">
      <c r="A1" s="1" t="s">
        <v>24</v>
      </c>
      <c r="B1" s="1" t="s">
        <v>25</v>
      </c>
    </row>
    <row r="2" spans="1:2">
      <c r="A2" t="s">
        <v>26</v>
      </c>
      <c r="B2" t="s">
        <v>26</v>
      </c>
    </row>
    <row r="3" spans="1:2">
      <c r="A3" t="s">
        <v>27</v>
      </c>
      <c r="B3" t="s">
        <v>27</v>
      </c>
    </row>
    <row r="4" spans="1:2">
      <c r="A4" t="s">
        <v>28</v>
      </c>
      <c r="B4" t="s">
        <v>29</v>
      </c>
    </row>
    <row r="5" spans="1:2">
      <c r="A5" t="s">
        <v>30</v>
      </c>
      <c r="B5" t="s">
        <v>29</v>
      </c>
    </row>
    <row r="6" spans="1:2">
      <c r="A6" t="s">
        <v>31</v>
      </c>
      <c r="B6" t="s">
        <v>29</v>
      </c>
    </row>
    <row r="7" spans="1:2">
      <c r="A7" t="s">
        <v>32</v>
      </c>
      <c r="B7" t="s">
        <v>33</v>
      </c>
    </row>
    <row r="8" spans="1:2">
      <c r="A8" t="s">
        <v>34</v>
      </c>
      <c r="B8" t="s">
        <v>34</v>
      </c>
    </row>
    <row r="9" spans="1:2">
      <c r="A9" t="s">
        <v>35</v>
      </c>
      <c r="B9" t="s">
        <v>29</v>
      </c>
    </row>
    <row r="10" spans="1:2">
      <c r="A10" t="s">
        <v>36</v>
      </c>
      <c r="B10" t="s">
        <v>33</v>
      </c>
    </row>
    <row r="11" spans="1:2">
      <c r="A11" t="s">
        <v>37</v>
      </c>
      <c r="B11" t="s">
        <v>38</v>
      </c>
    </row>
    <row r="12" spans="1:2">
      <c r="A12" t="s">
        <v>39</v>
      </c>
      <c r="B12" t="s">
        <v>33</v>
      </c>
    </row>
    <row r="13" spans="1:2">
      <c r="A13" t="s">
        <v>40</v>
      </c>
      <c r="B13" t="s">
        <v>33</v>
      </c>
    </row>
    <row r="14" spans="1:2">
      <c r="A14" t="s">
        <v>41</v>
      </c>
      <c r="B14" t="s">
        <v>41</v>
      </c>
    </row>
    <row r="15" spans="1:2">
      <c r="A15" t="s">
        <v>42</v>
      </c>
      <c r="B15" t="s">
        <v>42</v>
      </c>
    </row>
    <row r="16" spans="1:2">
      <c r="A16" t="s">
        <v>43</v>
      </c>
      <c r="B16" t="s">
        <v>33</v>
      </c>
    </row>
    <row r="17" spans="1:2">
      <c r="A17" t="s">
        <v>44</v>
      </c>
      <c r="B17" t="s">
        <v>33</v>
      </c>
    </row>
    <row r="18" spans="1:2">
      <c r="A18" t="s">
        <v>45</v>
      </c>
      <c r="B18" t="s">
        <v>33</v>
      </c>
    </row>
    <row r="19" spans="1:2">
      <c r="A19" t="s">
        <v>40</v>
      </c>
      <c r="B19" t="s">
        <v>33</v>
      </c>
    </row>
    <row r="20" spans="1:2">
      <c r="A20" t="s">
        <v>46</v>
      </c>
      <c r="B20"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C88D6-EBE3-4BD6-9917-8098B440CAD4}">
  <dimension ref="A1:Q28"/>
  <sheetViews>
    <sheetView workbookViewId="0">
      <pane xSplit="1" topLeftCell="G1" activePane="topRight" state="frozen"/>
      <selection pane="topRight" activeCell="G13" sqref="G13"/>
    </sheetView>
  </sheetViews>
  <sheetFormatPr defaultRowHeight="15" customHeight="1"/>
  <cols>
    <col min="1" max="1" width="44.28515625" customWidth="1"/>
    <col min="2" max="2" width="21.28515625" customWidth="1"/>
    <col min="3" max="5" width="13.5703125" customWidth="1"/>
    <col min="6" max="6" width="11.5703125" customWidth="1"/>
    <col min="7" max="7" width="17.85546875" customWidth="1"/>
    <col min="8" max="8" width="22.85546875" customWidth="1"/>
    <col min="9" max="9" width="23.5703125" customWidth="1"/>
    <col min="10" max="10" width="24.28515625" customWidth="1"/>
    <col min="11" max="11" width="22.7109375" customWidth="1"/>
    <col min="12" max="12" width="14.140625" customWidth="1"/>
    <col min="13" max="13" width="25.7109375" customWidth="1"/>
    <col min="14" max="14" width="26.140625" customWidth="1"/>
    <col min="15" max="15" width="27.28515625" customWidth="1"/>
    <col min="16" max="16" width="26.140625" customWidth="1"/>
    <col min="17" max="17" width="10.85546875" customWidth="1"/>
  </cols>
  <sheetData>
    <row r="1" spans="1:17" ht="14.45">
      <c r="A1" s="40" t="s">
        <v>47</v>
      </c>
      <c r="B1" s="40" t="s">
        <v>48</v>
      </c>
      <c r="C1" s="40" t="s">
        <v>49</v>
      </c>
      <c r="D1" s="40" t="s">
        <v>50</v>
      </c>
      <c r="E1" s="40" t="s">
        <v>51</v>
      </c>
      <c r="F1" s="40" t="s">
        <v>52</v>
      </c>
      <c r="G1" s="40" t="s">
        <v>53</v>
      </c>
      <c r="H1" s="72" t="s">
        <v>54</v>
      </c>
      <c r="I1" s="50" t="s">
        <v>55</v>
      </c>
      <c r="J1" s="50" t="s">
        <v>56</v>
      </c>
      <c r="K1" s="62" t="s">
        <v>57</v>
      </c>
      <c r="L1" s="40" t="s">
        <v>58</v>
      </c>
      <c r="M1" s="73" t="s">
        <v>59</v>
      </c>
      <c r="N1" s="63" t="s">
        <v>60</v>
      </c>
      <c r="O1" s="63" t="s">
        <v>61</v>
      </c>
      <c r="P1" s="63" t="s">
        <v>62</v>
      </c>
      <c r="Q1" s="40" t="s">
        <v>63</v>
      </c>
    </row>
    <row r="2" spans="1:17" ht="14.45">
      <c r="A2" s="41" t="s">
        <v>64</v>
      </c>
      <c r="B2" t="s">
        <v>65</v>
      </c>
      <c r="C2" t="s">
        <v>66</v>
      </c>
      <c r="D2">
        <v>2</v>
      </c>
      <c r="E2">
        <f>F2-D2</f>
        <v>1</v>
      </c>
      <c r="F2">
        <v>3</v>
      </c>
      <c r="G2">
        <v>10</v>
      </c>
      <c r="H2" s="59">
        <f>231/1000000</f>
        <v>2.31E-4</v>
      </c>
      <c r="I2" s="60">
        <f>0.99</f>
        <v>0.99</v>
      </c>
      <c r="J2" s="58">
        <f>0.5*K2</f>
        <v>9.5999999999999992E-3</v>
      </c>
      <c r="K2" s="19">
        <v>1.9199999999999998E-2</v>
      </c>
      <c r="L2" s="19">
        <f>0.39</f>
        <v>0.39</v>
      </c>
      <c r="Q2">
        <v>2</v>
      </c>
    </row>
    <row r="3" spans="1:17" ht="14.45">
      <c r="A3" s="42" t="s">
        <v>64</v>
      </c>
      <c r="B3" t="s">
        <v>65</v>
      </c>
      <c r="C3" t="s">
        <v>67</v>
      </c>
      <c r="D3">
        <v>2</v>
      </c>
      <c r="E3">
        <f t="shared" ref="E3:E15" si="0">F3-D3</f>
        <v>1</v>
      </c>
      <c r="F3">
        <v>3</v>
      </c>
      <c r="G3">
        <v>10</v>
      </c>
      <c r="H3" s="61">
        <v>0</v>
      </c>
      <c r="I3" s="61">
        <v>0</v>
      </c>
      <c r="J3" s="58">
        <f t="shared" ref="J3:J15" si="1">0.5*K3</f>
        <v>9.5999999999999992E-3</v>
      </c>
      <c r="K3" s="19">
        <v>1.9199999999999998E-2</v>
      </c>
      <c r="L3" s="19">
        <f>0.39</f>
        <v>0.39</v>
      </c>
      <c r="Q3">
        <v>2</v>
      </c>
    </row>
    <row r="4" spans="1:17" ht="14.45">
      <c r="A4" s="41" t="s">
        <v>68</v>
      </c>
      <c r="B4" t="s">
        <v>65</v>
      </c>
      <c r="C4" t="s">
        <v>66</v>
      </c>
      <c r="D4">
        <v>26</v>
      </c>
      <c r="E4">
        <f t="shared" si="0"/>
        <v>24</v>
      </c>
      <c r="F4">
        <v>50</v>
      </c>
      <c r="G4">
        <v>40</v>
      </c>
      <c r="H4">
        <f>775/1000000</f>
        <v>7.7499999999999997E-4</v>
      </c>
      <c r="I4">
        <f>4.98</f>
        <v>4.9800000000000004</v>
      </c>
      <c r="J4" s="58">
        <f t="shared" si="1"/>
        <v>1.8700000000000001E-2</v>
      </c>
      <c r="K4">
        <v>3.7400000000000003E-2</v>
      </c>
      <c r="L4">
        <f>0.73</f>
        <v>0.73</v>
      </c>
      <c r="Q4">
        <v>2</v>
      </c>
    </row>
    <row r="5" spans="1:17" ht="14.45">
      <c r="A5" s="42" t="s">
        <v>68</v>
      </c>
      <c r="B5" t="s">
        <v>65</v>
      </c>
      <c r="C5" t="s">
        <v>67</v>
      </c>
      <c r="D5">
        <v>24</v>
      </c>
      <c r="E5">
        <f t="shared" si="0"/>
        <v>26</v>
      </c>
      <c r="F5">
        <v>50</v>
      </c>
      <c r="G5">
        <v>40</v>
      </c>
      <c r="H5">
        <v>0</v>
      </c>
      <c r="I5">
        <v>0</v>
      </c>
      <c r="J5" s="58">
        <f t="shared" si="1"/>
        <v>1.8700000000000001E-2</v>
      </c>
      <c r="K5">
        <v>3.7400000000000003E-2</v>
      </c>
      <c r="L5">
        <f t="shared" ref="L5:L15" si="2">0.73</f>
        <v>0.73</v>
      </c>
      <c r="Q5">
        <v>2</v>
      </c>
    </row>
    <row r="6" spans="1:17" ht="14.45">
      <c r="A6" s="43" t="s">
        <v>69</v>
      </c>
      <c r="B6" t="s">
        <v>65</v>
      </c>
      <c r="C6" t="s">
        <v>66</v>
      </c>
      <c r="D6">
        <v>26</v>
      </c>
      <c r="E6">
        <f t="shared" si="0"/>
        <v>24</v>
      </c>
      <c r="F6">
        <v>50</v>
      </c>
      <c r="G6">
        <v>60</v>
      </c>
      <c r="H6">
        <f>1539/1000000</f>
        <v>1.539E-3</v>
      </c>
      <c r="I6">
        <f>5.71</f>
        <v>5.71</v>
      </c>
      <c r="J6" s="58">
        <f t="shared" si="1"/>
        <v>1.805E-2</v>
      </c>
      <c r="K6">
        <v>3.61E-2</v>
      </c>
      <c r="L6">
        <f t="shared" si="2"/>
        <v>0.73</v>
      </c>
      <c r="Q6">
        <v>3</v>
      </c>
    </row>
    <row r="7" spans="1:17" ht="14.45">
      <c r="A7" s="44" t="s">
        <v>69</v>
      </c>
      <c r="B7" t="s">
        <v>65</v>
      </c>
      <c r="C7" t="s">
        <v>67</v>
      </c>
      <c r="D7">
        <v>24</v>
      </c>
      <c r="E7">
        <f t="shared" si="0"/>
        <v>26</v>
      </c>
      <c r="F7">
        <v>50</v>
      </c>
      <c r="G7">
        <v>60</v>
      </c>
      <c r="H7">
        <v>0</v>
      </c>
      <c r="I7">
        <v>0</v>
      </c>
      <c r="J7" s="58">
        <f t="shared" si="1"/>
        <v>1.805E-2</v>
      </c>
      <c r="K7">
        <v>3.61E-2</v>
      </c>
      <c r="L7">
        <f t="shared" si="2"/>
        <v>0.73</v>
      </c>
      <c r="Q7">
        <v>2</v>
      </c>
    </row>
    <row r="8" spans="1:17" ht="14.45">
      <c r="A8" s="44" t="s">
        <v>70</v>
      </c>
      <c r="B8" t="s">
        <v>65</v>
      </c>
      <c r="C8" t="s">
        <v>66</v>
      </c>
      <c r="D8">
        <v>26</v>
      </c>
      <c r="E8">
        <f t="shared" si="0"/>
        <v>24</v>
      </c>
      <c r="F8">
        <v>50</v>
      </c>
      <c r="G8">
        <v>90</v>
      </c>
      <c r="H8">
        <f>1539/1000000</f>
        <v>1.539E-3</v>
      </c>
      <c r="I8">
        <f>5.71</f>
        <v>5.71</v>
      </c>
      <c r="J8" s="58">
        <f t="shared" si="1"/>
        <v>1.805E-2</v>
      </c>
      <c r="K8">
        <v>3.61E-2</v>
      </c>
      <c r="L8">
        <f t="shared" si="2"/>
        <v>0.73</v>
      </c>
      <c r="Q8">
        <v>4</v>
      </c>
    </row>
    <row r="9" spans="1:17" ht="14.45">
      <c r="A9" s="44" t="s">
        <v>70</v>
      </c>
      <c r="B9" t="s">
        <v>65</v>
      </c>
      <c r="C9" t="s">
        <v>67</v>
      </c>
      <c r="D9">
        <v>24</v>
      </c>
      <c r="E9">
        <f t="shared" si="0"/>
        <v>26</v>
      </c>
      <c r="F9">
        <v>50</v>
      </c>
      <c r="G9">
        <v>90</v>
      </c>
      <c r="H9">
        <v>0</v>
      </c>
      <c r="I9">
        <v>0</v>
      </c>
      <c r="J9" s="58">
        <f t="shared" si="1"/>
        <v>1.805E-2</v>
      </c>
      <c r="K9">
        <v>3.61E-2</v>
      </c>
      <c r="L9">
        <f t="shared" si="2"/>
        <v>0.73</v>
      </c>
      <c r="Q9">
        <v>4</v>
      </c>
    </row>
    <row r="10" spans="1:17" ht="14.45">
      <c r="A10" s="41" t="s">
        <v>71</v>
      </c>
      <c r="B10" t="s">
        <v>65</v>
      </c>
      <c r="C10" t="s">
        <v>66</v>
      </c>
      <c r="D10">
        <v>26</v>
      </c>
      <c r="E10">
        <f t="shared" si="0"/>
        <v>24</v>
      </c>
      <c r="F10">
        <v>50</v>
      </c>
      <c r="G10">
        <v>120</v>
      </c>
      <c r="H10">
        <f>1539/1000000</f>
        <v>1.539E-3</v>
      </c>
      <c r="I10">
        <f>5.71</f>
        <v>5.71</v>
      </c>
      <c r="J10" s="58">
        <f t="shared" si="1"/>
        <v>1.805E-2</v>
      </c>
      <c r="K10">
        <v>3.61E-2</v>
      </c>
      <c r="L10">
        <f t="shared" si="2"/>
        <v>0.73</v>
      </c>
      <c r="Q10">
        <v>6</v>
      </c>
    </row>
    <row r="11" spans="1:17" ht="14.45">
      <c r="A11" s="42" t="s">
        <v>71</v>
      </c>
      <c r="B11" t="s">
        <v>65</v>
      </c>
      <c r="C11" t="s">
        <v>67</v>
      </c>
      <c r="D11">
        <v>24</v>
      </c>
      <c r="E11">
        <f t="shared" si="0"/>
        <v>26</v>
      </c>
      <c r="F11">
        <v>50</v>
      </c>
      <c r="G11">
        <v>120</v>
      </c>
      <c r="H11">
        <v>0</v>
      </c>
      <c r="I11">
        <v>0</v>
      </c>
      <c r="J11" s="58">
        <f t="shared" si="1"/>
        <v>1.805E-2</v>
      </c>
      <c r="K11">
        <v>3.61E-2</v>
      </c>
      <c r="L11">
        <f t="shared" si="2"/>
        <v>0.73</v>
      </c>
      <c r="Q11">
        <v>6</v>
      </c>
    </row>
    <row r="12" spans="1:17" ht="14.45">
      <c r="A12" s="39" t="s">
        <v>72</v>
      </c>
      <c r="B12" s="57" t="s">
        <v>65</v>
      </c>
      <c r="C12" t="s">
        <v>66</v>
      </c>
      <c r="D12">
        <v>26</v>
      </c>
      <c r="E12">
        <f t="shared" si="0"/>
        <v>24</v>
      </c>
      <c r="F12">
        <v>50</v>
      </c>
      <c r="G12">
        <v>15</v>
      </c>
      <c r="H12">
        <f>1539/1000000</f>
        <v>1.539E-3</v>
      </c>
      <c r="I12">
        <f>5.71</f>
        <v>5.71</v>
      </c>
      <c r="J12" s="58">
        <f t="shared" si="1"/>
        <v>1.805E-2</v>
      </c>
      <c r="K12">
        <v>3.61E-2</v>
      </c>
      <c r="L12">
        <f t="shared" si="2"/>
        <v>0.73</v>
      </c>
      <c r="Q12">
        <v>4</v>
      </c>
    </row>
    <row r="13" spans="1:17" ht="14.45">
      <c r="A13" s="39" t="s">
        <v>72</v>
      </c>
      <c r="B13" s="57" t="s">
        <v>65</v>
      </c>
      <c r="C13" t="s">
        <v>67</v>
      </c>
      <c r="D13">
        <v>24</v>
      </c>
      <c r="E13">
        <f t="shared" si="0"/>
        <v>26</v>
      </c>
      <c r="F13">
        <v>50</v>
      </c>
      <c r="G13">
        <v>15</v>
      </c>
      <c r="H13">
        <v>0</v>
      </c>
      <c r="I13">
        <v>0</v>
      </c>
      <c r="J13" s="58">
        <f t="shared" si="1"/>
        <v>1.805E-2</v>
      </c>
      <c r="K13">
        <v>3.61E-2</v>
      </c>
      <c r="L13">
        <f t="shared" si="2"/>
        <v>0.73</v>
      </c>
      <c r="Q13">
        <v>4</v>
      </c>
    </row>
    <row r="14" spans="1:17" ht="14.45">
      <c r="A14" s="39" t="s">
        <v>73</v>
      </c>
      <c r="B14" s="57" t="s">
        <v>65</v>
      </c>
      <c r="C14" t="s">
        <v>66</v>
      </c>
      <c r="D14">
        <v>26</v>
      </c>
      <c r="E14">
        <f t="shared" si="0"/>
        <v>24</v>
      </c>
      <c r="F14">
        <v>50</v>
      </c>
      <c r="G14">
        <v>20</v>
      </c>
      <c r="H14">
        <f>1539/1000000</f>
        <v>1.539E-3</v>
      </c>
      <c r="I14">
        <f>5.71</f>
        <v>5.71</v>
      </c>
      <c r="J14" s="58">
        <f t="shared" si="1"/>
        <v>1.805E-2</v>
      </c>
      <c r="K14">
        <v>3.61E-2</v>
      </c>
      <c r="L14">
        <f t="shared" si="2"/>
        <v>0.73</v>
      </c>
      <c r="Q14">
        <v>3</v>
      </c>
    </row>
    <row r="15" spans="1:17" ht="14.45">
      <c r="A15" s="39" t="s">
        <v>74</v>
      </c>
      <c r="B15" s="57" t="s">
        <v>65</v>
      </c>
      <c r="C15" t="s">
        <v>75</v>
      </c>
      <c r="D15">
        <v>24</v>
      </c>
      <c r="E15">
        <f t="shared" si="0"/>
        <v>26</v>
      </c>
      <c r="F15">
        <v>50</v>
      </c>
      <c r="G15">
        <v>20</v>
      </c>
      <c r="H15">
        <v>0</v>
      </c>
      <c r="I15">
        <v>0</v>
      </c>
      <c r="J15" s="58">
        <f t="shared" si="1"/>
        <v>1.805E-2</v>
      </c>
      <c r="K15">
        <v>3.61E-2</v>
      </c>
      <c r="L15">
        <f t="shared" si="2"/>
        <v>0.73</v>
      </c>
      <c r="Q15">
        <v>3</v>
      </c>
    </row>
    <row r="16" spans="1:17" ht="15" customHeight="1">
      <c r="A16" s="39" t="s">
        <v>76</v>
      </c>
      <c r="B16" s="57" t="s">
        <v>77</v>
      </c>
      <c r="C16" t="s">
        <v>77</v>
      </c>
      <c r="D16" s="39">
        <v>350</v>
      </c>
      <c r="G16" s="39">
        <v>350</v>
      </c>
      <c r="H16">
        <f>M16*D16</f>
        <v>1.3435039370078724E-2</v>
      </c>
      <c r="I16">
        <f>N16*D16</f>
        <v>175</v>
      </c>
      <c r="J16" s="51">
        <f>P16*D16</f>
        <v>4.1580000000000004</v>
      </c>
      <c r="K16">
        <f>O16*D16</f>
        <v>8.3160000000000007</v>
      </c>
      <c r="M16">
        <v>3.8385826771653499E-5</v>
      </c>
      <c r="N16">
        <f>0.0005*1000</f>
        <v>0.5</v>
      </c>
      <c r="O16">
        <f xml:space="preserve"> 0.000036*1000*0.66</f>
        <v>2.3760000000000003E-2</v>
      </c>
      <c r="P16" s="53">
        <v>1.188E-2</v>
      </c>
    </row>
    <row r="17" spans="1:16" ht="15" customHeight="1">
      <c r="A17" t="s">
        <v>78</v>
      </c>
      <c r="B17" s="57" t="s">
        <v>77</v>
      </c>
      <c r="C17" t="s">
        <v>77</v>
      </c>
      <c r="D17" s="39">
        <v>4000</v>
      </c>
      <c r="G17" s="39">
        <v>5197.5</v>
      </c>
      <c r="H17">
        <f>M17*D17</f>
        <v>0.15354330708661418</v>
      </c>
      <c r="I17">
        <f t="shared" ref="I17:I18" si="3">N17*D17</f>
        <v>2000</v>
      </c>
      <c r="J17" s="51">
        <f t="shared" ref="J17:J18" si="4">P17*D17</f>
        <v>47.52</v>
      </c>
      <c r="K17">
        <f t="shared" ref="K17:K18" si="5">O17*D17</f>
        <v>95.04000000000002</v>
      </c>
      <c r="M17">
        <v>3.8385826771653546E-5</v>
      </c>
      <c r="N17">
        <f>1000*0.0005</f>
        <v>0.5</v>
      </c>
      <c r="O17">
        <f xml:space="preserve"> 0.000036*1000*0.66</f>
        <v>2.3760000000000003E-2</v>
      </c>
      <c r="P17" s="53">
        <v>1.188E-2</v>
      </c>
    </row>
    <row r="18" spans="1:16" ht="15" customHeight="1">
      <c r="A18" t="s">
        <v>79</v>
      </c>
      <c r="B18" s="57" t="s">
        <v>80</v>
      </c>
      <c r="C18" t="s">
        <v>80</v>
      </c>
      <c r="D18" s="39">
        <v>1200</v>
      </c>
      <c r="G18" s="39">
        <v>2600</v>
      </c>
      <c r="H18">
        <f t="shared" ref="H18" si="6">M18*D18</f>
        <v>9.4488188976377951E-3</v>
      </c>
      <c r="I18">
        <f t="shared" si="3"/>
        <v>156</v>
      </c>
      <c r="J18" s="51">
        <f t="shared" si="4"/>
        <v>1.9800000000000004E-3</v>
      </c>
      <c r="K18">
        <f t="shared" si="5"/>
        <v>3.9600000000000008E-3</v>
      </c>
      <c r="M18">
        <v>7.8740157480314964E-6</v>
      </c>
      <c r="N18">
        <f>0.13</f>
        <v>0.13</v>
      </c>
      <c r="O18" s="33">
        <f xml:space="preserve"> 0.000005*0.66</f>
        <v>3.3000000000000006E-6</v>
      </c>
      <c r="P18">
        <f>0.000005*0.33</f>
        <v>1.6500000000000003E-6</v>
      </c>
    </row>
    <row r="22" spans="1:16" ht="15" customHeight="1">
      <c r="H22" s="1"/>
      <c r="I22" s="52"/>
      <c r="J22" s="1"/>
      <c r="K22" s="1"/>
      <c r="L22" s="1"/>
    </row>
    <row r="23" spans="1:16" ht="15" customHeight="1">
      <c r="H23" s="1"/>
      <c r="I23" s="52"/>
    </row>
    <row r="24" spans="1:16" ht="15" customHeight="1">
      <c r="H24" s="1"/>
      <c r="I24" s="52"/>
    </row>
    <row r="25" spans="1:16" ht="15" customHeight="1">
      <c r="H25" s="1"/>
      <c r="I25" s="52"/>
    </row>
    <row r="26" spans="1:16" ht="15" customHeight="1">
      <c r="H26" s="1"/>
      <c r="I26" s="52"/>
    </row>
    <row r="27" spans="1:16" ht="15" customHeight="1">
      <c r="H27" s="1"/>
      <c r="I27" s="52"/>
    </row>
    <row r="28" spans="1:16" ht="15" customHeight="1">
      <c r="H28" s="1"/>
      <c r="I28"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317-EA4A-4349-8291-694C61C1EC72}">
  <dimension ref="A1:S35"/>
  <sheetViews>
    <sheetView workbookViewId="0">
      <pane ySplit="1" topLeftCell="A2" activePane="bottomLeft" state="frozen"/>
      <selection pane="bottomLeft" activeCell="H23" sqref="H23"/>
    </sheetView>
  </sheetViews>
  <sheetFormatPr defaultRowHeight="15" customHeight="1"/>
  <cols>
    <col min="1" max="1" width="20.85546875" customWidth="1"/>
    <col min="3" max="3" width="11" customWidth="1"/>
    <col min="4" max="4" width="19.5703125" customWidth="1"/>
    <col min="5" max="7" width="20.42578125" customWidth="1"/>
    <col min="8" max="9" width="20.85546875" customWidth="1"/>
    <col min="10" max="10" width="13" customWidth="1"/>
    <col min="11" max="11" width="14.28515625" customWidth="1"/>
    <col min="12" max="12" width="12.5703125" customWidth="1"/>
  </cols>
  <sheetData>
    <row r="1" spans="1:19" ht="14.45">
      <c r="A1" s="1" t="s">
        <v>81</v>
      </c>
      <c r="B1" s="1" t="s">
        <v>82</v>
      </c>
      <c r="C1" s="1" t="s">
        <v>83</v>
      </c>
      <c r="D1" s="1" t="s">
        <v>84</v>
      </c>
      <c r="E1" s="1" t="s">
        <v>85</v>
      </c>
      <c r="F1" s="1" t="s">
        <v>86</v>
      </c>
      <c r="G1" s="1" t="s">
        <v>87</v>
      </c>
      <c r="H1" s="1" t="s">
        <v>47</v>
      </c>
      <c r="I1" s="1" t="s">
        <v>88</v>
      </c>
      <c r="J1" s="1" t="s">
        <v>89</v>
      </c>
      <c r="K1" s="1" t="s">
        <v>90</v>
      </c>
      <c r="L1" s="1" t="s">
        <v>91</v>
      </c>
    </row>
    <row r="2" spans="1:19" ht="14.45">
      <c r="A2" t="s">
        <v>92</v>
      </c>
      <c r="B2">
        <v>2.7</v>
      </c>
      <c r="C2" t="s">
        <v>93</v>
      </c>
      <c r="D2">
        <v>1.25</v>
      </c>
      <c r="E2">
        <v>0.5</v>
      </c>
      <c r="F2" s="45">
        <v>0.8</v>
      </c>
      <c r="G2">
        <f>E2*F2</f>
        <v>0.4</v>
      </c>
      <c r="H2" t="s">
        <v>68</v>
      </c>
      <c r="I2" s="54" t="s">
        <v>94</v>
      </c>
      <c r="J2" t="s">
        <v>94</v>
      </c>
      <c r="K2" t="s">
        <v>95</v>
      </c>
      <c r="L2" t="s">
        <v>95</v>
      </c>
      <c r="Q2" s="4"/>
    </row>
    <row r="3" spans="1:19" ht="14.45">
      <c r="A3" t="s">
        <v>27</v>
      </c>
      <c r="B3">
        <v>2</v>
      </c>
      <c r="C3" t="s">
        <v>93</v>
      </c>
      <c r="D3">
        <v>1.25</v>
      </c>
      <c r="E3">
        <v>1</v>
      </c>
      <c r="F3" s="45">
        <v>1</v>
      </c>
      <c r="G3">
        <f t="shared" ref="G3:G15" si="0">E3*F3</f>
        <v>1</v>
      </c>
      <c r="H3" s="45" t="s">
        <v>68</v>
      </c>
      <c r="I3" s="54" t="s">
        <v>94</v>
      </c>
      <c r="J3" t="s">
        <v>94</v>
      </c>
      <c r="K3" t="s">
        <v>95</v>
      </c>
      <c r="L3" t="s">
        <v>94</v>
      </c>
      <c r="Q3" s="4"/>
    </row>
    <row r="4" spans="1:19" ht="14.45">
      <c r="A4" t="s">
        <v>28</v>
      </c>
      <c r="B4">
        <v>2.2000000000000002</v>
      </c>
      <c r="C4" t="s">
        <v>96</v>
      </c>
      <c r="D4">
        <v>1.1000000000000001</v>
      </c>
      <c r="E4">
        <v>1</v>
      </c>
      <c r="F4" s="45">
        <v>1</v>
      </c>
      <c r="G4">
        <f t="shared" si="0"/>
        <v>1</v>
      </c>
      <c r="H4" t="s">
        <v>72</v>
      </c>
      <c r="I4" s="54" t="s">
        <v>95</v>
      </c>
      <c r="J4" t="s">
        <v>94</v>
      </c>
      <c r="K4" t="s">
        <v>95</v>
      </c>
      <c r="L4" t="s">
        <v>95</v>
      </c>
      <c r="Q4" s="4"/>
      <c r="R4" s="33"/>
      <c r="S4" s="33"/>
    </row>
    <row r="5" spans="1:19" ht="14.45">
      <c r="A5" t="s">
        <v>30</v>
      </c>
      <c r="B5">
        <v>2.4</v>
      </c>
      <c r="C5" t="s">
        <v>96</v>
      </c>
      <c r="D5">
        <v>1</v>
      </c>
      <c r="E5">
        <f t="shared" ref="E5:E10" si="1">1/D5</f>
        <v>1</v>
      </c>
      <c r="F5" s="45">
        <v>1</v>
      </c>
      <c r="G5">
        <f t="shared" si="0"/>
        <v>1</v>
      </c>
      <c r="H5" t="s">
        <v>72</v>
      </c>
      <c r="I5" s="54" t="s">
        <v>95</v>
      </c>
      <c r="J5" t="s">
        <v>94</v>
      </c>
      <c r="K5" t="s">
        <v>95</v>
      </c>
      <c r="L5" t="s">
        <v>95</v>
      </c>
      <c r="Q5" s="4"/>
    </row>
    <row r="6" spans="1:19" ht="14.45">
      <c r="A6" t="s">
        <v>31</v>
      </c>
      <c r="B6">
        <v>2.2000000000000002</v>
      </c>
      <c r="C6" t="s">
        <v>93</v>
      </c>
      <c r="D6">
        <v>1.25</v>
      </c>
      <c r="E6">
        <f t="shared" si="1"/>
        <v>0.8</v>
      </c>
      <c r="F6" s="45">
        <v>0.8</v>
      </c>
      <c r="G6">
        <f t="shared" si="0"/>
        <v>0.64000000000000012</v>
      </c>
      <c r="H6" t="s">
        <v>69</v>
      </c>
      <c r="I6" s="54" t="s">
        <v>95</v>
      </c>
      <c r="J6" t="s">
        <v>94</v>
      </c>
      <c r="K6" t="s">
        <v>95</v>
      </c>
      <c r="L6" t="s">
        <v>94</v>
      </c>
      <c r="Q6" s="4"/>
    </row>
    <row r="7" spans="1:19" ht="14.45">
      <c r="A7" t="s">
        <v>32</v>
      </c>
      <c r="B7">
        <v>3</v>
      </c>
      <c r="C7" t="s">
        <v>93</v>
      </c>
      <c r="D7">
        <v>1.2</v>
      </c>
      <c r="E7">
        <v>0.8</v>
      </c>
      <c r="F7" s="45">
        <v>0.6</v>
      </c>
      <c r="G7">
        <f t="shared" si="0"/>
        <v>0.48</v>
      </c>
      <c r="H7" t="s">
        <v>68</v>
      </c>
      <c r="I7" s="54" t="s">
        <v>94</v>
      </c>
      <c r="J7" t="s">
        <v>94</v>
      </c>
      <c r="K7" t="s">
        <v>94</v>
      </c>
      <c r="L7" t="s">
        <v>95</v>
      </c>
      <c r="Q7" s="4"/>
    </row>
    <row r="8" spans="1:19" ht="14.45">
      <c r="A8" t="s">
        <v>34</v>
      </c>
      <c r="B8">
        <v>2.5</v>
      </c>
      <c r="C8" t="s">
        <v>93</v>
      </c>
      <c r="D8">
        <v>1.25</v>
      </c>
      <c r="E8">
        <v>0.5</v>
      </c>
      <c r="F8" s="45">
        <v>0.8</v>
      </c>
      <c r="G8">
        <f t="shared" si="0"/>
        <v>0.4</v>
      </c>
      <c r="H8" t="s">
        <v>69</v>
      </c>
      <c r="I8" s="54" t="s">
        <v>94</v>
      </c>
      <c r="J8" t="s">
        <v>94</v>
      </c>
      <c r="K8" t="s">
        <v>95</v>
      </c>
      <c r="L8" t="s">
        <v>95</v>
      </c>
      <c r="Q8" s="4"/>
    </row>
    <row r="9" spans="1:19" ht="14.45">
      <c r="A9" t="s">
        <v>35</v>
      </c>
      <c r="B9">
        <v>1.6</v>
      </c>
      <c r="C9" t="s">
        <v>93</v>
      </c>
      <c r="D9">
        <v>1</v>
      </c>
      <c r="E9">
        <f t="shared" si="1"/>
        <v>1</v>
      </c>
      <c r="F9" s="45">
        <v>1</v>
      </c>
      <c r="G9">
        <f t="shared" si="0"/>
        <v>1</v>
      </c>
      <c r="H9" t="s">
        <v>74</v>
      </c>
      <c r="I9" s="54" t="s">
        <v>95</v>
      </c>
      <c r="J9" t="s">
        <v>94</v>
      </c>
      <c r="K9" t="s">
        <v>95</v>
      </c>
      <c r="L9" t="s">
        <v>94</v>
      </c>
      <c r="Q9" s="4"/>
    </row>
    <row r="10" spans="1:19" ht="14.45">
      <c r="A10" t="s">
        <v>36</v>
      </c>
      <c r="B10">
        <v>2.2999999999999998</v>
      </c>
      <c r="C10" t="s">
        <v>93</v>
      </c>
      <c r="D10">
        <v>1.25</v>
      </c>
      <c r="E10">
        <f t="shared" si="1"/>
        <v>0.8</v>
      </c>
      <c r="F10" s="45">
        <v>0.8</v>
      </c>
      <c r="G10">
        <f t="shared" si="0"/>
        <v>0.64000000000000012</v>
      </c>
      <c r="H10" t="s">
        <v>69</v>
      </c>
      <c r="I10" s="54" t="s">
        <v>94</v>
      </c>
      <c r="J10" t="s">
        <v>94</v>
      </c>
      <c r="K10" t="s">
        <v>95</v>
      </c>
      <c r="L10" t="s">
        <v>94</v>
      </c>
      <c r="Q10" s="4"/>
      <c r="R10" s="33"/>
      <c r="S10" s="33"/>
    </row>
    <row r="11" spans="1:19" ht="14.45">
      <c r="A11" t="s">
        <v>37</v>
      </c>
      <c r="B11">
        <v>0.05</v>
      </c>
      <c r="C11" t="s">
        <v>96</v>
      </c>
      <c r="D11">
        <v>1.1000000000000001</v>
      </c>
      <c r="E11">
        <v>1</v>
      </c>
      <c r="F11" s="45">
        <v>1</v>
      </c>
      <c r="G11">
        <f t="shared" si="0"/>
        <v>1</v>
      </c>
      <c r="H11" t="s">
        <v>69</v>
      </c>
      <c r="I11" s="54" t="s">
        <v>94</v>
      </c>
      <c r="J11" t="s">
        <v>94</v>
      </c>
      <c r="K11" t="s">
        <v>95</v>
      </c>
      <c r="L11" t="s">
        <v>94</v>
      </c>
      <c r="Q11" s="4"/>
    </row>
    <row r="12" spans="1:19" ht="14.45">
      <c r="A12" t="s">
        <v>39</v>
      </c>
      <c r="B12">
        <v>0.9</v>
      </c>
      <c r="C12" t="s">
        <v>93</v>
      </c>
      <c r="D12">
        <v>1.3</v>
      </c>
      <c r="E12">
        <v>0.8</v>
      </c>
      <c r="F12" s="45">
        <v>0.8</v>
      </c>
      <c r="G12">
        <f t="shared" si="0"/>
        <v>0.64000000000000012</v>
      </c>
      <c r="H12" t="s">
        <v>68</v>
      </c>
      <c r="I12" s="54" t="s">
        <v>94</v>
      </c>
      <c r="J12" t="s">
        <v>94</v>
      </c>
      <c r="K12" t="s">
        <v>95</v>
      </c>
      <c r="L12" t="s">
        <v>94</v>
      </c>
      <c r="Q12" s="4"/>
    </row>
    <row r="13" spans="1:19" ht="14.45">
      <c r="A13" t="s">
        <v>97</v>
      </c>
      <c r="B13">
        <v>1</v>
      </c>
      <c r="C13" t="s">
        <v>93</v>
      </c>
      <c r="D13">
        <v>1.1000000000000001</v>
      </c>
      <c r="E13">
        <v>1</v>
      </c>
      <c r="F13" s="45">
        <v>0.6</v>
      </c>
      <c r="G13">
        <f t="shared" si="0"/>
        <v>0.6</v>
      </c>
      <c r="H13" t="s">
        <v>68</v>
      </c>
      <c r="I13" s="54" t="s">
        <v>94</v>
      </c>
      <c r="J13" t="s">
        <v>94</v>
      </c>
      <c r="K13" t="s">
        <v>95</v>
      </c>
      <c r="L13" t="s">
        <v>94</v>
      </c>
      <c r="Q13" s="4"/>
    </row>
    <row r="14" spans="1:19" ht="14.45">
      <c r="A14" t="s">
        <v>41</v>
      </c>
      <c r="B14">
        <v>7.8</v>
      </c>
      <c r="C14" t="s">
        <v>93</v>
      </c>
      <c r="D14">
        <v>1.5</v>
      </c>
      <c r="E14">
        <v>0.6</v>
      </c>
      <c r="F14" s="45">
        <v>1</v>
      </c>
      <c r="G14">
        <f t="shared" si="0"/>
        <v>0.6</v>
      </c>
      <c r="H14" t="s">
        <v>69</v>
      </c>
      <c r="I14" s="54" t="s">
        <v>94</v>
      </c>
      <c r="J14" t="s">
        <v>94</v>
      </c>
      <c r="K14" t="s">
        <v>95</v>
      </c>
      <c r="L14" t="s">
        <v>94</v>
      </c>
      <c r="Q14" s="4"/>
    </row>
    <row r="15" spans="1:19" ht="14.45">
      <c r="A15" t="s">
        <v>98</v>
      </c>
      <c r="B15">
        <v>0.6</v>
      </c>
      <c r="C15" t="s">
        <v>93</v>
      </c>
      <c r="D15">
        <v>1.3</v>
      </c>
      <c r="E15">
        <v>1</v>
      </c>
      <c r="F15" s="45">
        <v>0.8</v>
      </c>
      <c r="G15">
        <f t="shared" si="0"/>
        <v>0.8</v>
      </c>
      <c r="H15" t="s">
        <v>69</v>
      </c>
      <c r="I15" s="54" t="s">
        <v>94</v>
      </c>
      <c r="J15" t="s">
        <v>94</v>
      </c>
      <c r="K15" t="s">
        <v>94</v>
      </c>
      <c r="L15" t="s">
        <v>94</v>
      </c>
      <c r="Q15" s="4"/>
    </row>
    <row r="16" spans="1:19">
      <c r="A16" t="s">
        <v>46</v>
      </c>
      <c r="B16">
        <v>0.6</v>
      </c>
      <c r="C16" t="s">
        <v>93</v>
      </c>
      <c r="D16">
        <v>1.3</v>
      </c>
      <c r="E16">
        <v>1</v>
      </c>
      <c r="F16" s="45">
        <v>0.8</v>
      </c>
      <c r="G16">
        <f t="shared" ref="G16" si="2">E16*F16</f>
        <v>0.8</v>
      </c>
      <c r="H16" t="s">
        <v>69</v>
      </c>
      <c r="I16" s="54" t="s">
        <v>94</v>
      </c>
      <c r="J16" t="s">
        <v>94</v>
      </c>
      <c r="K16" t="s">
        <v>94</v>
      </c>
      <c r="L16" t="s">
        <v>94</v>
      </c>
      <c r="Q16" s="4"/>
    </row>
    <row r="17" spans="1:19" ht="14.45">
      <c r="A17" s="66" t="s">
        <v>44</v>
      </c>
      <c r="C17" t="s">
        <v>93</v>
      </c>
      <c r="E17" s="66"/>
      <c r="F17" s="66"/>
      <c r="G17" s="66">
        <v>1</v>
      </c>
      <c r="H17" t="s">
        <v>69</v>
      </c>
      <c r="I17" s="54" t="s">
        <v>94</v>
      </c>
      <c r="J17" t="s">
        <v>94</v>
      </c>
      <c r="K17" t="s">
        <v>94</v>
      </c>
      <c r="L17" t="s">
        <v>94</v>
      </c>
      <c r="Q17" s="4"/>
    </row>
    <row r="18" spans="1:19" ht="15" customHeight="1">
      <c r="A18" s="66" t="s">
        <v>45</v>
      </c>
      <c r="C18" t="s">
        <v>93</v>
      </c>
      <c r="E18" s="66"/>
      <c r="F18" s="66"/>
      <c r="G18" s="76">
        <f>module_info!C3/vehicles_info!D6</f>
        <v>0.35280769230769232</v>
      </c>
      <c r="H18" t="s">
        <v>69</v>
      </c>
      <c r="I18" s="54" t="s">
        <v>94</v>
      </c>
      <c r="J18" t="s">
        <v>94</v>
      </c>
      <c r="K18" t="s">
        <v>94</v>
      </c>
      <c r="L18" t="s">
        <v>94</v>
      </c>
      <c r="Q18" s="4"/>
    </row>
    <row r="19" spans="1:19" ht="15" customHeight="1">
      <c r="Q19" s="4"/>
      <c r="R19" s="33"/>
      <c r="S19" s="33"/>
    </row>
    <row r="20" spans="1:19" ht="14.45">
      <c r="A20" s="3"/>
      <c r="H20" s="3"/>
      <c r="I20" s="3"/>
      <c r="Q20" s="4"/>
    </row>
    <row r="21" spans="1:19" ht="14.45">
      <c r="A21" s="3"/>
      <c r="H21" s="3"/>
      <c r="I21" s="3"/>
      <c r="Q21" s="4"/>
    </row>
    <row r="22" spans="1:19" ht="14.45">
      <c r="A22" s="3"/>
      <c r="H22" s="3"/>
      <c r="I22" s="3"/>
      <c r="Q22" s="4"/>
    </row>
    <row r="23" spans="1:19" ht="14.45">
      <c r="A23" s="3"/>
      <c r="H23" s="3"/>
      <c r="I23" s="3"/>
      <c r="Q23" s="4"/>
    </row>
    <row r="24" spans="1:19" ht="14.45">
      <c r="A24" s="3"/>
      <c r="H24" s="3"/>
      <c r="I24" s="3"/>
    </row>
    <row r="25" spans="1:19" ht="14.45">
      <c r="A25" s="3"/>
      <c r="H25" s="3"/>
      <c r="I25" s="3"/>
    </row>
    <row r="26" spans="1:19" ht="14.45">
      <c r="A26" s="3"/>
      <c r="H26" s="3"/>
      <c r="I26" s="3"/>
    </row>
    <row r="27" spans="1:19" ht="14.45">
      <c r="A27" s="3"/>
      <c r="H27" s="3"/>
      <c r="I27" s="3"/>
    </row>
    <row r="28" spans="1:19" ht="14.45">
      <c r="A28" s="3"/>
      <c r="H28" s="3"/>
      <c r="I28" s="3"/>
    </row>
    <row r="29" spans="1:19" ht="14.45">
      <c r="A29" s="3"/>
      <c r="H29" s="3"/>
      <c r="I29" s="3"/>
    </row>
    <row r="30" spans="1:19" ht="14.45">
      <c r="A30" s="3"/>
      <c r="H30" s="3"/>
      <c r="I30" s="3"/>
    </row>
    <row r="31" spans="1:19" ht="14.45">
      <c r="A31" s="3"/>
      <c r="H31" s="3"/>
      <c r="I31" s="3"/>
    </row>
    <row r="32" spans="1:19" ht="14.45">
      <c r="A32" s="3"/>
      <c r="H32" s="3"/>
      <c r="I32" s="3"/>
    </row>
    <row r="33" spans="1:9" ht="14.45">
      <c r="A33" s="3"/>
      <c r="H33" s="3"/>
      <c r="I33" s="3"/>
    </row>
    <row r="34" spans="1:9" ht="14.45">
      <c r="A34" s="3"/>
      <c r="H34" s="3"/>
      <c r="I34" s="3"/>
    </row>
    <row r="35" spans="1:9" ht="14.45"/>
  </sheetData>
  <sortState xmlns:xlrd2="http://schemas.microsoft.com/office/spreadsheetml/2017/richdata2" ref="A2:E20">
    <sortCondition ref="A1:A20"/>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25D5F-AA98-48CA-B0FE-EE8B244AD904}">
  <dimension ref="A1:I87"/>
  <sheetViews>
    <sheetView zoomScale="80" zoomScaleNormal="80" workbookViewId="0">
      <pane ySplit="1" topLeftCell="A57" activePane="bottomLeft" state="frozen"/>
      <selection pane="bottomLeft" activeCell="G91" sqref="G91"/>
    </sheetView>
  </sheetViews>
  <sheetFormatPr defaultRowHeight="15" customHeight="1"/>
  <cols>
    <col min="1" max="1" width="19.85546875" customWidth="1"/>
    <col min="2" max="2" width="12.7109375" customWidth="1"/>
    <col min="3" max="3" width="15.28515625" customWidth="1"/>
    <col min="4" max="4" width="16.28515625" customWidth="1"/>
    <col min="5" max="6" width="24.140625" customWidth="1"/>
    <col min="7" max="7" width="26" customWidth="1"/>
  </cols>
  <sheetData>
    <row r="1" spans="1:7">
      <c r="A1" s="1" t="s">
        <v>81</v>
      </c>
      <c r="B1" s="1" t="s">
        <v>99</v>
      </c>
      <c r="C1" s="1" t="s">
        <v>100</v>
      </c>
      <c r="D1" s="1" t="s">
        <v>101</v>
      </c>
      <c r="E1" s="1" t="s">
        <v>102</v>
      </c>
      <c r="F1" s="1" t="s">
        <v>103</v>
      </c>
      <c r="G1" s="1" t="s">
        <v>104</v>
      </c>
    </row>
    <row r="2" spans="1:7">
      <c r="A2" s="6" t="s">
        <v>92</v>
      </c>
      <c r="B2" s="6" t="s">
        <v>93</v>
      </c>
      <c r="C2" s="6" t="s">
        <v>105</v>
      </c>
      <c r="D2" s="6" t="s">
        <v>106</v>
      </c>
      <c r="E2" s="6"/>
      <c r="F2" s="11"/>
      <c r="G2" s="12"/>
    </row>
    <row r="3" spans="1:7">
      <c r="A3" s="8" t="s">
        <v>27</v>
      </c>
      <c r="B3" s="8" t="s">
        <v>93</v>
      </c>
      <c r="C3" s="8" t="s">
        <v>105</v>
      </c>
      <c r="D3" s="8" t="s">
        <v>106</v>
      </c>
      <c r="E3" s="8"/>
      <c r="F3" s="11"/>
      <c r="G3" s="13"/>
    </row>
    <row r="4" spans="1:7">
      <c r="A4" s="6" t="s">
        <v>28</v>
      </c>
      <c r="B4" s="6" t="s">
        <v>96</v>
      </c>
      <c r="C4" s="6" t="s">
        <v>105</v>
      </c>
      <c r="D4" s="6" t="s">
        <v>106</v>
      </c>
      <c r="E4" s="6"/>
      <c r="F4" s="11"/>
      <c r="G4" s="12"/>
    </row>
    <row r="5" spans="1:7">
      <c r="A5" s="6" t="s">
        <v>30</v>
      </c>
      <c r="B5" s="6" t="s">
        <v>96</v>
      </c>
      <c r="C5" s="6" t="s">
        <v>105</v>
      </c>
      <c r="D5" s="6" t="s">
        <v>106</v>
      </c>
      <c r="E5" s="6">
        <v>1105</v>
      </c>
      <c r="F5" s="11">
        <v>4080</v>
      </c>
      <c r="G5" s="12">
        <v>11075</v>
      </c>
    </row>
    <row r="6" spans="1:7">
      <c r="A6" s="6" t="s">
        <v>31</v>
      </c>
      <c r="B6" s="6" t="s">
        <v>93</v>
      </c>
      <c r="C6" s="6" t="s">
        <v>105</v>
      </c>
      <c r="D6" s="6" t="s">
        <v>106</v>
      </c>
      <c r="E6" s="6"/>
      <c r="F6" s="11"/>
      <c r="G6" s="12"/>
    </row>
    <row r="7" spans="1:7">
      <c r="A7" s="6" t="s">
        <v>32</v>
      </c>
      <c r="B7" s="6" t="s">
        <v>93</v>
      </c>
      <c r="C7" s="6" t="s">
        <v>105</v>
      </c>
      <c r="D7" s="6" t="s">
        <v>106</v>
      </c>
      <c r="E7" s="6"/>
      <c r="F7" s="11"/>
      <c r="G7" s="12"/>
    </row>
    <row r="8" spans="1:7">
      <c r="A8" s="6" t="s">
        <v>34</v>
      </c>
      <c r="B8" s="6" t="s">
        <v>93</v>
      </c>
      <c r="C8" s="6" t="s">
        <v>105</v>
      </c>
      <c r="D8" s="6" t="s">
        <v>106</v>
      </c>
      <c r="E8" s="6"/>
      <c r="F8" s="11"/>
      <c r="G8" s="12"/>
    </row>
    <row r="9" spans="1:7">
      <c r="A9" s="6" t="s">
        <v>35</v>
      </c>
      <c r="B9" s="6" t="s">
        <v>93</v>
      </c>
      <c r="C9" s="6" t="s">
        <v>105</v>
      </c>
      <c r="D9" s="6" t="s">
        <v>106</v>
      </c>
      <c r="E9" s="6">
        <v>200</v>
      </c>
      <c r="F9" s="11">
        <v>250</v>
      </c>
      <c r="G9" s="12">
        <v>300</v>
      </c>
    </row>
    <row r="10" spans="1:7">
      <c r="A10" s="6" t="s">
        <v>36</v>
      </c>
      <c r="B10" s="6" t="s">
        <v>93</v>
      </c>
      <c r="C10" s="6" t="s">
        <v>105</v>
      </c>
      <c r="D10" s="6" t="s">
        <v>106</v>
      </c>
      <c r="E10" s="6"/>
      <c r="F10" s="11"/>
      <c r="G10" s="12"/>
    </row>
    <row r="11" spans="1:7">
      <c r="A11" s="6" t="s">
        <v>37</v>
      </c>
      <c r="B11" s="6" t="s">
        <v>96</v>
      </c>
      <c r="C11" s="6" t="s">
        <v>105</v>
      </c>
      <c r="D11" s="6" t="s">
        <v>106</v>
      </c>
      <c r="E11" s="6"/>
      <c r="F11" s="11"/>
      <c r="G11" s="12"/>
    </row>
    <row r="12" spans="1:7">
      <c r="A12" s="6" t="s">
        <v>39</v>
      </c>
      <c r="B12" s="6" t="s">
        <v>93</v>
      </c>
      <c r="C12" s="6" t="s">
        <v>105</v>
      </c>
      <c r="D12" s="6" t="s">
        <v>106</v>
      </c>
      <c r="E12" s="6"/>
      <c r="F12" s="11"/>
      <c r="G12" s="12"/>
    </row>
    <row r="13" spans="1:7">
      <c r="A13" s="6" t="s">
        <v>40</v>
      </c>
      <c r="B13" s="6" t="s">
        <v>93</v>
      </c>
      <c r="C13" s="6" t="s">
        <v>105</v>
      </c>
      <c r="D13" s="6" t="s">
        <v>106</v>
      </c>
      <c r="E13" s="6"/>
      <c r="F13" s="11"/>
      <c r="G13" s="12"/>
    </row>
    <row r="14" spans="1:7">
      <c r="A14" s="9" t="s">
        <v>41</v>
      </c>
      <c r="B14" s="9" t="s">
        <v>93</v>
      </c>
      <c r="C14" s="9" t="s">
        <v>105</v>
      </c>
      <c r="D14" s="9" t="s">
        <v>106</v>
      </c>
      <c r="E14" s="9">
        <f>E5*200/1000</f>
        <v>221</v>
      </c>
      <c r="F14" s="16">
        <f>4080*200/1000</f>
        <v>816</v>
      </c>
      <c r="G14" s="14">
        <f>G5*200/1000</f>
        <v>2215</v>
      </c>
    </row>
    <row r="15" spans="1:7" ht="15" customHeight="1" thickBot="1">
      <c r="A15" s="10" t="s">
        <v>98</v>
      </c>
      <c r="B15" s="10" t="s">
        <v>93</v>
      </c>
      <c r="C15" s="10" t="s">
        <v>105</v>
      </c>
      <c r="D15" s="10" t="s">
        <v>106</v>
      </c>
      <c r="E15" s="10"/>
      <c r="F15" s="21"/>
      <c r="G15" s="15"/>
    </row>
    <row r="16" spans="1:7">
      <c r="A16" s="8" t="s">
        <v>26</v>
      </c>
      <c r="B16" s="8" t="s">
        <v>93</v>
      </c>
      <c r="C16" s="8" t="s">
        <v>105</v>
      </c>
      <c r="D16" s="8" t="s">
        <v>107</v>
      </c>
      <c r="E16" s="8"/>
      <c r="F16" s="22"/>
      <c r="G16" s="13"/>
    </row>
    <row r="17" spans="1:9">
      <c r="A17" s="6" t="s">
        <v>27</v>
      </c>
      <c r="B17" s="6" t="s">
        <v>93</v>
      </c>
      <c r="C17" s="6" t="s">
        <v>105</v>
      </c>
      <c r="D17" s="6" t="s">
        <v>107</v>
      </c>
      <c r="E17" s="6"/>
      <c r="F17" s="12"/>
      <c r="G17" s="5"/>
    </row>
    <row r="18" spans="1:9">
      <c r="A18" s="6" t="s">
        <v>28</v>
      </c>
      <c r="B18" s="6" t="s">
        <v>96</v>
      </c>
      <c r="C18" s="6" t="s">
        <v>105</v>
      </c>
      <c r="D18" s="6" t="s">
        <v>107</v>
      </c>
      <c r="E18" s="6"/>
      <c r="F18" s="11"/>
      <c r="G18" s="12"/>
    </row>
    <row r="19" spans="1:9">
      <c r="A19" s="6" t="s">
        <v>30</v>
      </c>
      <c r="B19" s="6" t="s">
        <v>96</v>
      </c>
      <c r="C19" s="6" t="s">
        <v>105</v>
      </c>
      <c r="D19" s="6" t="s">
        <v>107</v>
      </c>
      <c r="E19" s="67">
        <f>228</f>
        <v>228</v>
      </c>
      <c r="F19" s="68">
        <f>9020</f>
        <v>9020</v>
      </c>
      <c r="G19" s="70">
        <f>3900</f>
        <v>3900</v>
      </c>
      <c r="I19" s="1"/>
    </row>
    <row r="20" spans="1:9">
      <c r="A20" s="6" t="s">
        <v>31</v>
      </c>
      <c r="B20" s="6" t="s">
        <v>93</v>
      </c>
      <c r="C20" s="6" t="s">
        <v>105</v>
      </c>
      <c r="D20" s="6" t="s">
        <v>107</v>
      </c>
      <c r="E20" s="67">
        <f>7816</f>
        <v>7816</v>
      </c>
      <c r="F20" s="69">
        <f>11066</f>
        <v>11066</v>
      </c>
      <c r="G20" s="71">
        <f>38020</f>
        <v>38020</v>
      </c>
    </row>
    <row r="21" spans="1:9">
      <c r="A21" s="6" t="s">
        <v>32</v>
      </c>
      <c r="B21" s="6" t="s">
        <v>93</v>
      </c>
      <c r="C21" s="6" t="s">
        <v>105</v>
      </c>
      <c r="D21" s="6" t="s">
        <v>107</v>
      </c>
      <c r="E21" s="6"/>
      <c r="F21" s="16"/>
      <c r="G21" s="12"/>
    </row>
    <row r="22" spans="1:9">
      <c r="A22" s="6" t="s">
        <v>34</v>
      </c>
      <c r="B22" s="6" t="s">
        <v>93</v>
      </c>
      <c r="C22" s="6" t="s">
        <v>105</v>
      </c>
      <c r="D22" s="6" t="s">
        <v>107</v>
      </c>
      <c r="E22" s="6"/>
      <c r="F22" s="12"/>
      <c r="G22" s="12"/>
    </row>
    <row r="23" spans="1:9">
      <c r="A23" s="6" t="s">
        <v>35</v>
      </c>
      <c r="B23" s="6" t="s">
        <v>93</v>
      </c>
      <c r="C23" s="6" t="s">
        <v>105</v>
      </c>
      <c r="D23" s="6" t="s">
        <v>107</v>
      </c>
      <c r="E23" s="7"/>
      <c r="F23" s="11"/>
      <c r="G23" s="12"/>
    </row>
    <row r="24" spans="1:9">
      <c r="A24" s="6" t="s">
        <v>36</v>
      </c>
      <c r="B24" s="6" t="s">
        <v>93</v>
      </c>
      <c r="C24" s="6" t="s">
        <v>105</v>
      </c>
      <c r="D24" s="6" t="s">
        <v>107</v>
      </c>
      <c r="E24" s="6"/>
      <c r="F24" s="11"/>
      <c r="G24" s="12"/>
    </row>
    <row r="25" spans="1:9">
      <c r="A25" s="6" t="s">
        <v>37</v>
      </c>
      <c r="B25" s="6" t="s">
        <v>96</v>
      </c>
      <c r="C25" s="6" t="s">
        <v>105</v>
      </c>
      <c r="D25" s="6" t="s">
        <v>107</v>
      </c>
      <c r="E25" s="6"/>
      <c r="F25" s="11"/>
      <c r="G25" s="12"/>
    </row>
    <row r="26" spans="1:9">
      <c r="A26" s="6" t="s">
        <v>39</v>
      </c>
      <c r="B26" s="6" t="s">
        <v>93</v>
      </c>
      <c r="C26" s="6" t="s">
        <v>105</v>
      </c>
      <c r="D26" s="6" t="s">
        <v>107</v>
      </c>
      <c r="E26" s="6"/>
      <c r="F26" s="11"/>
      <c r="G26" s="12"/>
    </row>
    <row r="27" spans="1:9">
      <c r="A27" s="6" t="s">
        <v>40</v>
      </c>
      <c r="B27" s="6" t="s">
        <v>93</v>
      </c>
      <c r="C27" s="6" t="s">
        <v>105</v>
      </c>
      <c r="D27" s="6" t="s">
        <v>107</v>
      </c>
      <c r="E27" s="6"/>
      <c r="F27" s="11"/>
      <c r="G27" s="12"/>
    </row>
    <row r="28" spans="1:9">
      <c r="A28" s="9" t="s">
        <v>41</v>
      </c>
      <c r="B28" s="9" t="s">
        <v>93</v>
      </c>
      <c r="C28" s="9" t="s">
        <v>105</v>
      </c>
      <c r="D28" s="9" t="s">
        <v>107</v>
      </c>
      <c r="E28" s="9">
        <f>0.15*G28</f>
        <v>199.2825</v>
      </c>
      <c r="F28" s="16">
        <f>G28*0.45</f>
        <v>597.84749999999997</v>
      </c>
      <c r="G28" s="14">
        <f>0.85*1563</f>
        <v>1328.55</v>
      </c>
    </row>
    <row r="29" spans="1:9" ht="15" customHeight="1" thickBot="1">
      <c r="A29" s="23" t="s">
        <v>42</v>
      </c>
      <c r="B29" s="23" t="s">
        <v>93</v>
      </c>
      <c r="C29" s="23" t="s">
        <v>105</v>
      </c>
      <c r="D29" s="23" t="s">
        <v>107</v>
      </c>
      <c r="E29" s="23"/>
      <c r="F29" s="21"/>
      <c r="G29" s="24"/>
    </row>
    <row r="30" spans="1:9">
      <c r="A30" s="8" t="s">
        <v>26</v>
      </c>
      <c r="B30" s="8" t="s">
        <v>93</v>
      </c>
      <c r="C30" s="8" t="s">
        <v>105</v>
      </c>
      <c r="D30" s="8" t="s">
        <v>108</v>
      </c>
      <c r="E30" s="8">
        <f>321</f>
        <v>321</v>
      </c>
      <c r="F30" s="22">
        <f>186.7+7.6</f>
        <v>194.29999999999998</v>
      </c>
      <c r="G30" s="13">
        <f>359+2.7</f>
        <v>361.7</v>
      </c>
    </row>
    <row r="31" spans="1:9">
      <c r="A31" s="6" t="s">
        <v>27</v>
      </c>
      <c r="B31" s="6" t="s">
        <v>93</v>
      </c>
      <c r="C31" s="6" t="s">
        <v>105</v>
      </c>
      <c r="D31" s="6" t="s">
        <v>108</v>
      </c>
      <c r="E31" s="6">
        <f>322</f>
        <v>322</v>
      </c>
      <c r="F31" s="11">
        <f>1922</f>
        <v>1922</v>
      </c>
      <c r="G31" s="12">
        <f>538</f>
        <v>538</v>
      </c>
    </row>
    <row r="32" spans="1:9">
      <c r="A32" s="6" t="s">
        <v>28</v>
      </c>
      <c r="B32" s="6" t="s">
        <v>96</v>
      </c>
      <c r="C32" s="6" t="s">
        <v>105</v>
      </c>
      <c r="D32" s="6" t="s">
        <v>108</v>
      </c>
      <c r="E32" s="6"/>
      <c r="F32" s="16">
        <f>478</f>
        <v>478</v>
      </c>
      <c r="G32" s="12">
        <f>115</f>
        <v>115</v>
      </c>
    </row>
    <row r="33" spans="1:7">
      <c r="A33" s="6" t="s">
        <v>30</v>
      </c>
      <c r="B33" s="6" t="s">
        <v>96</v>
      </c>
      <c r="C33" s="6" t="s">
        <v>105</v>
      </c>
      <c r="D33" s="6" t="s">
        <v>108</v>
      </c>
      <c r="E33" s="6"/>
      <c r="F33" s="11"/>
      <c r="G33" s="12"/>
    </row>
    <row r="34" spans="1:7">
      <c r="A34" s="6" t="s">
        <v>31</v>
      </c>
      <c r="B34" s="6" t="s">
        <v>93</v>
      </c>
      <c r="C34" s="6" t="s">
        <v>105</v>
      </c>
      <c r="D34" s="6" t="s">
        <v>108</v>
      </c>
      <c r="E34" s="6">
        <f>329*2.2</f>
        <v>723.80000000000007</v>
      </c>
      <c r="F34" s="11">
        <f>422*2.2</f>
        <v>928.40000000000009</v>
      </c>
      <c r="G34" s="12">
        <f>(235+1187)*2.2</f>
        <v>3128.4</v>
      </c>
    </row>
    <row r="35" spans="1:7">
      <c r="A35" s="6" t="s">
        <v>32</v>
      </c>
      <c r="B35" s="6" t="s">
        <v>93</v>
      </c>
      <c r="C35" s="6" t="s">
        <v>105</v>
      </c>
      <c r="D35" s="6" t="s">
        <v>108</v>
      </c>
      <c r="E35" s="6">
        <v>216</v>
      </c>
      <c r="F35" s="11">
        <f>522</f>
        <v>522</v>
      </c>
      <c r="G35" s="12">
        <f>144+1450</f>
        <v>1594</v>
      </c>
    </row>
    <row r="36" spans="1:7">
      <c r="A36" s="6" t="s">
        <v>34</v>
      </c>
      <c r="B36" s="6" t="s">
        <v>93</v>
      </c>
      <c r="C36" s="6" t="s">
        <v>105</v>
      </c>
      <c r="D36" s="6" t="s">
        <v>108</v>
      </c>
      <c r="E36" s="6">
        <f>2100</f>
        <v>2100</v>
      </c>
      <c r="F36" s="11">
        <f>(6069+367)*0.22*2.5</f>
        <v>3539.8</v>
      </c>
      <c r="G36" s="12">
        <f>8922</f>
        <v>8922</v>
      </c>
    </row>
    <row r="37" spans="1:7">
      <c r="A37" s="6" t="s">
        <v>35</v>
      </c>
      <c r="B37" s="6" t="s">
        <v>93</v>
      </c>
      <c r="C37" s="6" t="s">
        <v>105</v>
      </c>
      <c r="D37" s="6" t="s">
        <v>108</v>
      </c>
      <c r="E37" s="6">
        <v>6.2</v>
      </c>
      <c r="F37" s="11"/>
      <c r="G37" s="12"/>
    </row>
    <row r="38" spans="1:7">
      <c r="A38" s="6" t="s">
        <v>36</v>
      </c>
      <c r="B38" s="6" t="s">
        <v>93</v>
      </c>
      <c r="C38" s="6" t="s">
        <v>105</v>
      </c>
      <c r="D38" s="6" t="s">
        <v>108</v>
      </c>
      <c r="E38" s="6">
        <v>2200</v>
      </c>
      <c r="F38" s="11">
        <f>1200*2.3</f>
        <v>2760</v>
      </c>
      <c r="G38" s="12">
        <f>5975</f>
        <v>5975</v>
      </c>
    </row>
    <row r="39" spans="1:7">
      <c r="A39" s="6" t="s">
        <v>37</v>
      </c>
      <c r="B39" s="6" t="s">
        <v>96</v>
      </c>
      <c r="C39" s="6" t="s">
        <v>105</v>
      </c>
      <c r="D39" s="6" t="s">
        <v>108</v>
      </c>
      <c r="E39" s="6">
        <f>522</f>
        <v>522</v>
      </c>
      <c r="F39" s="11">
        <f>1380</f>
        <v>1380</v>
      </c>
      <c r="G39" s="12">
        <f>925+569+775</f>
        <v>2269</v>
      </c>
    </row>
    <row r="40" spans="1:7">
      <c r="A40" s="6" t="s">
        <v>39</v>
      </c>
      <c r="B40" s="6" t="s">
        <v>93</v>
      </c>
      <c r="C40" s="6" t="s">
        <v>105</v>
      </c>
      <c r="D40" s="6" t="s">
        <v>108</v>
      </c>
      <c r="E40" s="6"/>
      <c r="F40" s="11">
        <v>8.8000000000000007</v>
      </c>
      <c r="G40" s="12"/>
    </row>
    <row r="41" spans="1:7">
      <c r="A41" s="6" t="s">
        <v>40</v>
      </c>
      <c r="B41" s="6" t="s">
        <v>93</v>
      </c>
      <c r="C41" s="6" t="s">
        <v>105</v>
      </c>
      <c r="D41" s="6" t="s">
        <v>108</v>
      </c>
      <c r="E41" s="6">
        <v>13.3</v>
      </c>
      <c r="F41" s="11">
        <f>26</f>
        <v>26</v>
      </c>
      <c r="G41" s="12">
        <f>19</f>
        <v>19</v>
      </c>
    </row>
    <row r="42" spans="1:7">
      <c r="A42" s="6" t="s">
        <v>41</v>
      </c>
      <c r="B42" s="6" t="s">
        <v>93</v>
      </c>
      <c r="C42" s="6" t="s">
        <v>105</v>
      </c>
      <c r="D42" s="6" t="s">
        <v>108</v>
      </c>
      <c r="E42" s="6">
        <v>60</v>
      </c>
      <c r="F42" s="11">
        <f>26.7+64</f>
        <v>90.7</v>
      </c>
      <c r="G42" s="12">
        <f>323+5</f>
        <v>328</v>
      </c>
    </row>
    <row r="43" spans="1:7">
      <c r="A43" s="9" t="s">
        <v>42</v>
      </c>
      <c r="B43" s="9" t="s">
        <v>93</v>
      </c>
      <c r="C43" s="9" t="s">
        <v>105</v>
      </c>
      <c r="D43" s="9" t="s">
        <v>108</v>
      </c>
      <c r="E43" s="9"/>
      <c r="F43" s="16"/>
      <c r="G43" s="14"/>
    </row>
    <row r="44" spans="1:7">
      <c r="A44" s="87" t="s">
        <v>43</v>
      </c>
      <c r="B44" s="87" t="s">
        <v>93</v>
      </c>
      <c r="C44" s="87" t="s">
        <v>105</v>
      </c>
      <c r="D44" s="87" t="s">
        <v>108</v>
      </c>
      <c r="E44" s="87">
        <f>ROUNDUP(building_types!I2/module_info!$C$2*module_info!$C$3,0)</f>
        <v>1391</v>
      </c>
      <c r="F44" s="87">
        <f>ROUNDUP(building_types!I3/module_info!$C$2*module_info!$C$3,0)</f>
        <v>5162</v>
      </c>
      <c r="G44" s="87">
        <f>ROUNDUP(building_types!I4/module_info!$C$2*module_info!$C$3,0)</f>
        <v>9707</v>
      </c>
    </row>
    <row r="45" spans="1:7">
      <c r="A45" s="31" t="s">
        <v>92</v>
      </c>
      <c r="B45" s="32" t="s">
        <v>93</v>
      </c>
      <c r="C45" s="31" t="s">
        <v>109</v>
      </c>
      <c r="D45" s="31" t="s">
        <v>106</v>
      </c>
      <c r="E45" s="31"/>
      <c r="F45" s="31"/>
      <c r="G45" s="46"/>
    </row>
    <row r="46" spans="1:7">
      <c r="A46" s="25" t="s">
        <v>27</v>
      </c>
      <c r="B46" s="26" t="s">
        <v>93</v>
      </c>
      <c r="C46" s="25" t="s">
        <v>109</v>
      </c>
      <c r="D46" s="25" t="s">
        <v>106</v>
      </c>
      <c r="E46" s="25"/>
      <c r="F46" s="25"/>
      <c r="G46" s="27"/>
    </row>
    <row r="47" spans="1:7">
      <c r="A47" s="25" t="s">
        <v>28</v>
      </c>
      <c r="B47" s="26" t="s">
        <v>96</v>
      </c>
      <c r="C47" s="25" t="s">
        <v>109</v>
      </c>
      <c r="D47" s="25" t="s">
        <v>106</v>
      </c>
      <c r="E47" s="25"/>
      <c r="F47" s="25"/>
      <c r="G47" s="27"/>
    </row>
    <row r="48" spans="1:7">
      <c r="A48" s="25" t="s">
        <v>30</v>
      </c>
      <c r="B48" s="26" t="s">
        <v>96</v>
      </c>
      <c r="C48" s="25" t="s">
        <v>109</v>
      </c>
      <c r="D48" s="25" t="s">
        <v>106</v>
      </c>
      <c r="E48" s="82">
        <f>1105*0.75</f>
        <v>828.75</v>
      </c>
      <c r="F48" s="82">
        <f>4080*0.75</f>
        <v>3060</v>
      </c>
      <c r="G48" s="83">
        <f>11075*0.75</f>
        <v>8306.25</v>
      </c>
    </row>
    <row r="49" spans="1:7">
      <c r="A49" s="25" t="s">
        <v>31</v>
      </c>
      <c r="B49" s="26" t="s">
        <v>93</v>
      </c>
      <c r="C49" s="25" t="s">
        <v>109</v>
      </c>
      <c r="D49" s="25" t="s">
        <v>106</v>
      </c>
      <c r="E49" s="25"/>
      <c r="F49" s="25"/>
      <c r="G49" s="27"/>
    </row>
    <row r="50" spans="1:7">
      <c r="A50" s="25" t="s">
        <v>32</v>
      </c>
      <c r="B50" s="26" t="s">
        <v>93</v>
      </c>
      <c r="C50" s="25" t="s">
        <v>109</v>
      </c>
      <c r="D50" s="25" t="s">
        <v>106</v>
      </c>
      <c r="E50" s="25"/>
      <c r="F50" s="25"/>
      <c r="G50" s="27"/>
    </row>
    <row r="51" spans="1:7">
      <c r="A51" s="25" t="s">
        <v>34</v>
      </c>
      <c r="B51" s="26" t="s">
        <v>93</v>
      </c>
      <c r="C51" s="25" t="s">
        <v>109</v>
      </c>
      <c r="D51" s="25" t="s">
        <v>106</v>
      </c>
      <c r="E51" s="25"/>
      <c r="F51" s="25"/>
      <c r="G51" s="27"/>
    </row>
    <row r="52" spans="1:7">
      <c r="A52" s="25" t="s">
        <v>35</v>
      </c>
      <c r="B52" s="26" t="s">
        <v>93</v>
      </c>
      <c r="C52" s="25" t="s">
        <v>109</v>
      </c>
      <c r="D52" s="25" t="s">
        <v>106</v>
      </c>
      <c r="E52" s="82">
        <v>200</v>
      </c>
      <c r="F52" s="82">
        <v>250</v>
      </c>
      <c r="G52" s="83">
        <v>300</v>
      </c>
    </row>
    <row r="53" spans="1:7">
      <c r="A53" s="25" t="s">
        <v>36</v>
      </c>
      <c r="B53" s="26" t="s">
        <v>93</v>
      </c>
      <c r="C53" s="25" t="s">
        <v>109</v>
      </c>
      <c r="D53" s="25" t="s">
        <v>106</v>
      </c>
      <c r="E53" s="25"/>
      <c r="F53" s="25"/>
      <c r="G53" s="27"/>
    </row>
    <row r="54" spans="1:7">
      <c r="A54" s="25" t="s">
        <v>37</v>
      </c>
      <c r="B54" s="26" t="s">
        <v>96</v>
      </c>
      <c r="C54" s="25" t="s">
        <v>109</v>
      </c>
      <c r="D54" s="25" t="s">
        <v>106</v>
      </c>
      <c r="E54" s="25"/>
      <c r="F54" s="25"/>
      <c r="G54" s="27"/>
    </row>
    <row r="55" spans="1:7">
      <c r="A55" s="25" t="s">
        <v>110</v>
      </c>
      <c r="B55" s="26" t="s">
        <v>93</v>
      </c>
      <c r="C55" s="25" t="s">
        <v>109</v>
      </c>
      <c r="D55" s="25" t="s">
        <v>106</v>
      </c>
      <c r="E55" s="25"/>
      <c r="F55" s="25"/>
      <c r="G55" s="27"/>
    </row>
    <row r="56" spans="1:7">
      <c r="A56" s="25" t="s">
        <v>40</v>
      </c>
      <c r="B56" s="26" t="s">
        <v>93</v>
      </c>
      <c r="C56" s="25" t="s">
        <v>109</v>
      </c>
      <c r="D56" s="25" t="s">
        <v>106</v>
      </c>
      <c r="E56" s="25"/>
      <c r="F56" s="25"/>
      <c r="G56" s="27"/>
    </row>
    <row r="57" spans="1:7">
      <c r="A57" s="29" t="s">
        <v>41</v>
      </c>
      <c r="B57" s="28" t="s">
        <v>93</v>
      </c>
      <c r="C57" s="29" t="s">
        <v>109</v>
      </c>
      <c r="D57" s="29" t="s">
        <v>106</v>
      </c>
      <c r="E57" s="78">
        <v>221</v>
      </c>
      <c r="F57" s="78">
        <v>816</v>
      </c>
      <c r="G57" s="79">
        <v>2215</v>
      </c>
    </row>
    <row r="58" spans="1:7">
      <c r="A58" s="47" t="s">
        <v>98</v>
      </c>
      <c r="B58" s="48" t="s">
        <v>93</v>
      </c>
      <c r="C58" s="48" t="s">
        <v>109</v>
      </c>
      <c r="D58" s="48" t="s">
        <v>106</v>
      </c>
      <c r="E58" s="48"/>
      <c r="F58" s="48"/>
      <c r="G58" s="47"/>
    </row>
    <row r="59" spans="1:7">
      <c r="A59" s="46" t="s">
        <v>92</v>
      </c>
      <c r="B59" s="31" t="s">
        <v>93</v>
      </c>
      <c r="C59" s="31" t="s">
        <v>109</v>
      </c>
      <c r="D59" s="31" t="s">
        <v>111</v>
      </c>
      <c r="E59" s="31"/>
      <c r="F59" s="31"/>
      <c r="G59" s="46"/>
    </row>
    <row r="60" spans="1:7">
      <c r="A60" s="27" t="s">
        <v>27</v>
      </c>
      <c r="B60" s="25" t="s">
        <v>93</v>
      </c>
      <c r="C60" s="25" t="s">
        <v>109</v>
      </c>
      <c r="D60" s="25" t="s">
        <v>111</v>
      </c>
      <c r="E60" s="25"/>
      <c r="F60" s="25"/>
      <c r="G60" s="27"/>
    </row>
    <row r="61" spans="1:7">
      <c r="A61" s="27" t="s">
        <v>28</v>
      </c>
      <c r="B61" s="25" t="s">
        <v>96</v>
      </c>
      <c r="C61" s="25" t="s">
        <v>109</v>
      </c>
      <c r="D61" s="25" t="s">
        <v>111</v>
      </c>
      <c r="E61" s="25"/>
      <c r="F61" s="25"/>
      <c r="G61" s="27"/>
    </row>
    <row r="62" spans="1:7">
      <c r="A62" s="27" t="s">
        <v>30</v>
      </c>
      <c r="B62" s="25" t="s">
        <v>96</v>
      </c>
      <c r="C62" s="25" t="s">
        <v>109</v>
      </c>
      <c r="D62" s="25" t="s">
        <v>111</v>
      </c>
      <c r="E62" s="82"/>
      <c r="F62" s="82"/>
      <c r="G62" s="83"/>
    </row>
    <row r="63" spans="1:7">
      <c r="A63" s="27" t="s">
        <v>31</v>
      </c>
      <c r="B63" s="25" t="s">
        <v>93</v>
      </c>
      <c r="C63" s="25" t="s">
        <v>109</v>
      </c>
      <c r="D63" s="25" t="s">
        <v>111</v>
      </c>
      <c r="E63" s="25"/>
      <c r="F63" s="25"/>
      <c r="G63" s="27"/>
    </row>
    <row r="64" spans="1:7">
      <c r="A64" s="27" t="s">
        <v>32</v>
      </c>
      <c r="B64" s="25" t="s">
        <v>93</v>
      </c>
      <c r="C64" s="25" t="s">
        <v>109</v>
      </c>
      <c r="D64" s="25" t="s">
        <v>111</v>
      </c>
      <c r="E64" s="25"/>
      <c r="F64" s="25"/>
      <c r="G64" s="27"/>
    </row>
    <row r="65" spans="1:7">
      <c r="A65" s="27" t="s">
        <v>34</v>
      </c>
      <c r="B65" s="25" t="s">
        <v>93</v>
      </c>
      <c r="C65" s="25" t="s">
        <v>109</v>
      </c>
      <c r="D65" s="25" t="s">
        <v>111</v>
      </c>
      <c r="E65" s="25"/>
      <c r="F65" s="25"/>
      <c r="G65" s="27"/>
    </row>
    <row r="66" spans="1:7">
      <c r="A66" s="27" t="s">
        <v>35</v>
      </c>
      <c r="B66" s="25" t="s">
        <v>93</v>
      </c>
      <c r="C66" s="25" t="s">
        <v>109</v>
      </c>
      <c r="D66" s="25" t="s">
        <v>111</v>
      </c>
      <c r="E66" s="25"/>
      <c r="F66" s="25"/>
      <c r="G66" s="27"/>
    </row>
    <row r="67" spans="1:7">
      <c r="A67" s="27" t="s">
        <v>36</v>
      </c>
      <c r="B67" s="25" t="s">
        <v>93</v>
      </c>
      <c r="C67" s="25" t="s">
        <v>109</v>
      </c>
      <c r="D67" s="25" t="s">
        <v>111</v>
      </c>
      <c r="E67" s="25"/>
      <c r="F67" s="25"/>
      <c r="G67" s="27"/>
    </row>
    <row r="68" spans="1:7">
      <c r="A68" s="30" t="s">
        <v>37</v>
      </c>
      <c r="B68" s="25" t="s">
        <v>96</v>
      </c>
      <c r="C68" s="25" t="s">
        <v>109</v>
      </c>
      <c r="D68" s="25" t="s">
        <v>111</v>
      </c>
      <c r="E68" s="25"/>
      <c r="F68" s="25"/>
      <c r="G68" s="27"/>
    </row>
    <row r="69" spans="1:7">
      <c r="A69" s="25" t="s">
        <v>39</v>
      </c>
      <c r="B69" s="26" t="s">
        <v>93</v>
      </c>
      <c r="C69" s="25" t="s">
        <v>109</v>
      </c>
      <c r="D69" s="25" t="s">
        <v>111</v>
      </c>
      <c r="E69" s="25"/>
      <c r="F69" s="25"/>
      <c r="G69" s="27"/>
    </row>
    <row r="70" spans="1:7">
      <c r="A70" s="25" t="s">
        <v>40</v>
      </c>
      <c r="B70" s="26" t="s">
        <v>93</v>
      </c>
      <c r="C70" s="25" t="s">
        <v>109</v>
      </c>
      <c r="D70" s="25" t="s">
        <v>111</v>
      </c>
      <c r="E70" s="25"/>
      <c r="F70" s="25"/>
      <c r="G70" s="27"/>
    </row>
    <row r="71" spans="1:7">
      <c r="A71" s="29" t="s">
        <v>41</v>
      </c>
      <c r="B71" s="28" t="s">
        <v>93</v>
      </c>
      <c r="C71" s="29" t="s">
        <v>109</v>
      </c>
      <c r="D71" s="29" t="s">
        <v>111</v>
      </c>
      <c r="E71" s="29"/>
      <c r="F71" s="29"/>
      <c r="G71" s="30"/>
    </row>
    <row r="72" spans="1:7">
      <c r="A72" s="48" t="s">
        <v>98</v>
      </c>
      <c r="B72" s="49" t="s">
        <v>93</v>
      </c>
      <c r="C72" s="48" t="s">
        <v>109</v>
      </c>
      <c r="D72" s="48" t="s">
        <v>111</v>
      </c>
      <c r="E72" s="80">
        <v>2808</v>
      </c>
      <c r="F72" s="80">
        <v>6607</v>
      </c>
      <c r="G72" s="81">
        <v>29741</v>
      </c>
    </row>
    <row r="73" spans="1:7">
      <c r="A73" s="31" t="s">
        <v>92</v>
      </c>
      <c r="B73" s="32" t="s">
        <v>93</v>
      </c>
      <c r="C73" s="31" t="s">
        <v>109</v>
      </c>
      <c r="D73" s="31" t="s">
        <v>108</v>
      </c>
      <c r="E73" s="89"/>
      <c r="F73" s="89"/>
      <c r="G73" s="94"/>
    </row>
    <row r="74" spans="1:7">
      <c r="A74" s="25" t="s">
        <v>27</v>
      </c>
      <c r="B74" s="26" t="s">
        <v>93</v>
      </c>
      <c r="C74" s="25" t="s">
        <v>109</v>
      </c>
      <c r="D74" s="25" t="s">
        <v>108</v>
      </c>
      <c r="E74" s="90"/>
      <c r="F74" s="90"/>
      <c r="G74" s="92"/>
    </row>
    <row r="75" spans="1:7">
      <c r="A75" s="25" t="s">
        <v>28</v>
      </c>
      <c r="B75" s="26" t="s">
        <v>96</v>
      </c>
      <c r="C75" s="25" t="s">
        <v>109</v>
      </c>
      <c r="D75" s="25" t="s">
        <v>108</v>
      </c>
      <c r="E75" s="25"/>
      <c r="F75" s="25"/>
      <c r="G75" s="27"/>
    </row>
    <row r="76" spans="1:7">
      <c r="A76" s="25" t="s">
        <v>30</v>
      </c>
      <c r="B76" s="26" t="s">
        <v>96</v>
      </c>
      <c r="C76" s="25" t="s">
        <v>109</v>
      </c>
      <c r="D76" s="25" t="s">
        <v>108</v>
      </c>
      <c r="E76" s="25"/>
      <c r="F76" s="25"/>
      <c r="G76" s="27"/>
    </row>
    <row r="77" spans="1:7">
      <c r="A77" s="25" t="s">
        <v>31</v>
      </c>
      <c r="B77" s="26" t="s">
        <v>93</v>
      </c>
      <c r="C77" s="25" t="s">
        <v>109</v>
      </c>
      <c r="D77" s="25" t="s">
        <v>108</v>
      </c>
      <c r="E77" s="25">
        <v>723.80000000000007</v>
      </c>
      <c r="F77" s="25">
        <v>928.40000000000009</v>
      </c>
      <c r="G77" s="27">
        <v>3128.4</v>
      </c>
    </row>
    <row r="78" spans="1:7">
      <c r="A78" s="25" t="s">
        <v>32</v>
      </c>
      <c r="B78" s="26" t="s">
        <v>93</v>
      </c>
      <c r="C78" s="25" t="s">
        <v>109</v>
      </c>
      <c r="D78" s="25" t="s">
        <v>108</v>
      </c>
      <c r="E78" s="25">
        <v>216</v>
      </c>
      <c r="F78" s="25">
        <v>522</v>
      </c>
      <c r="G78" s="27">
        <v>1594</v>
      </c>
    </row>
    <row r="79" spans="1:7">
      <c r="A79" s="25" t="s">
        <v>34</v>
      </c>
      <c r="B79" s="26" t="s">
        <v>93</v>
      </c>
      <c r="C79" s="25" t="s">
        <v>109</v>
      </c>
      <c r="D79" s="25" t="s">
        <v>108</v>
      </c>
      <c r="E79" s="82">
        <v>2100</v>
      </c>
      <c r="F79" s="82">
        <v>3539.8</v>
      </c>
      <c r="G79" s="83">
        <v>8922</v>
      </c>
    </row>
    <row r="80" spans="1:7">
      <c r="A80" s="25" t="s">
        <v>35</v>
      </c>
      <c r="B80" s="26" t="s">
        <v>93</v>
      </c>
      <c r="C80" s="25" t="s">
        <v>109</v>
      </c>
      <c r="D80" s="25" t="s">
        <v>108</v>
      </c>
      <c r="E80" s="25">
        <v>6.2</v>
      </c>
      <c r="F80" s="25"/>
      <c r="G80" s="27"/>
    </row>
    <row r="81" spans="1:7">
      <c r="A81" s="25" t="s">
        <v>36</v>
      </c>
      <c r="B81" s="26" t="s">
        <v>93</v>
      </c>
      <c r="C81" s="25" t="s">
        <v>109</v>
      </c>
      <c r="D81" s="25" t="s">
        <v>108</v>
      </c>
      <c r="E81" s="90"/>
      <c r="F81" s="90"/>
      <c r="G81" s="92"/>
    </row>
    <row r="82" spans="1:7">
      <c r="A82" s="25" t="s">
        <v>37</v>
      </c>
      <c r="B82" s="28" t="s">
        <v>96</v>
      </c>
      <c r="C82" s="29" t="s">
        <v>109</v>
      </c>
      <c r="D82" s="29" t="s">
        <v>108</v>
      </c>
      <c r="E82" s="91"/>
      <c r="F82" s="91"/>
      <c r="G82" s="93"/>
    </row>
    <row r="83" spans="1:7">
      <c r="A83" s="27" t="s">
        <v>39</v>
      </c>
      <c r="B83" s="25" t="s">
        <v>93</v>
      </c>
      <c r="C83" s="25" t="s">
        <v>109</v>
      </c>
      <c r="D83" s="25" t="s">
        <v>108</v>
      </c>
      <c r="E83" s="25"/>
      <c r="F83" s="25"/>
      <c r="G83" s="27"/>
    </row>
    <row r="84" spans="1:7">
      <c r="A84" s="27" t="s">
        <v>40</v>
      </c>
      <c r="B84" s="25" t="s">
        <v>93</v>
      </c>
      <c r="C84" s="25" t="s">
        <v>109</v>
      </c>
      <c r="D84" s="25" t="s">
        <v>108</v>
      </c>
      <c r="E84" s="90"/>
      <c r="F84" s="90"/>
      <c r="G84" s="92"/>
    </row>
    <row r="85" spans="1:7">
      <c r="A85" s="27" t="s">
        <v>46</v>
      </c>
      <c r="B85" s="25" t="s">
        <v>93</v>
      </c>
      <c r="C85" s="25" t="s">
        <v>109</v>
      </c>
      <c r="D85" s="25" t="s">
        <v>108</v>
      </c>
      <c r="E85" s="25">
        <v>3310.07</v>
      </c>
      <c r="F85" s="25">
        <v>5336.07</v>
      </c>
      <c r="G85" s="27">
        <v>9482.0299999999988</v>
      </c>
    </row>
    <row r="86" spans="1:7">
      <c r="A86" s="27" t="s">
        <v>41</v>
      </c>
      <c r="B86" s="25" t="s">
        <v>93</v>
      </c>
      <c r="C86" s="25" t="s">
        <v>109</v>
      </c>
      <c r="D86" s="25" t="s">
        <v>108</v>
      </c>
      <c r="E86" s="25">
        <v>60</v>
      </c>
      <c r="F86" s="25">
        <v>90.7</v>
      </c>
      <c r="G86" s="27">
        <v>328</v>
      </c>
    </row>
    <row r="87" spans="1:7">
      <c r="A87" s="47" t="s">
        <v>43</v>
      </c>
      <c r="B87" s="86" t="s">
        <v>93</v>
      </c>
      <c r="C87" s="48" t="s">
        <v>109</v>
      </c>
      <c r="D87" s="48" t="s">
        <v>108</v>
      </c>
      <c r="E87" s="48">
        <f>E44</f>
        <v>1391</v>
      </c>
      <c r="F87" s="48">
        <f>F44</f>
        <v>5162</v>
      </c>
      <c r="G87" s="47">
        <f>G44</f>
        <v>9707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CAC70-EB46-42B6-B097-68F516C679F5}">
  <dimension ref="A1:G44"/>
  <sheetViews>
    <sheetView workbookViewId="0">
      <selection activeCell="C3" sqref="C3"/>
    </sheetView>
  </sheetViews>
  <sheetFormatPr defaultRowHeight="14.45"/>
  <cols>
    <col min="1" max="1" width="18.28515625" customWidth="1"/>
    <col min="7" max="7" width="17.5703125" bestFit="1" customWidth="1"/>
  </cols>
  <sheetData>
    <row r="1" spans="1:7">
      <c r="A1" s="17" t="s">
        <v>112</v>
      </c>
      <c r="B1" s="17" t="s">
        <v>99</v>
      </c>
      <c r="C1" s="17" t="s">
        <v>113</v>
      </c>
      <c r="G1" s="1"/>
    </row>
    <row r="2" spans="1:7">
      <c r="A2" s="19" t="s">
        <v>114</v>
      </c>
      <c r="B2" s="19" t="s">
        <v>115</v>
      </c>
      <c r="C2" s="19">
        <f>C5*C7</f>
        <v>47.25</v>
      </c>
    </row>
    <row r="3" spans="1:7">
      <c r="A3" s="19" t="s">
        <v>116</v>
      </c>
      <c r="B3" s="19" t="s">
        <v>93</v>
      </c>
      <c r="C3" s="84">
        <f>9.173</f>
        <v>9.173</v>
      </c>
    </row>
    <row r="4" spans="1:7">
      <c r="A4" t="s">
        <v>117</v>
      </c>
      <c r="B4" t="s">
        <v>96</v>
      </c>
      <c r="C4">
        <f>C5*C6*C7</f>
        <v>141.75</v>
      </c>
    </row>
    <row r="5" spans="1:7">
      <c r="A5" t="s">
        <v>118</v>
      </c>
      <c r="B5" t="s">
        <v>119</v>
      </c>
      <c r="C5">
        <v>13.5</v>
      </c>
    </row>
    <row r="6" spans="1:7">
      <c r="A6" t="s">
        <v>120</v>
      </c>
      <c r="B6" t="s">
        <v>119</v>
      </c>
      <c r="C6">
        <v>3</v>
      </c>
    </row>
    <row r="7" spans="1:7">
      <c r="A7" t="s">
        <v>121</v>
      </c>
      <c r="B7" t="s">
        <v>119</v>
      </c>
      <c r="C7">
        <f>3.5</f>
        <v>3.5</v>
      </c>
    </row>
    <row r="44" spans="6:6">
      <c r="F44" t="s">
        <v>122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E6898-FF8F-42A7-9C66-B4C58ACC610A}">
  <dimension ref="A1:O44"/>
  <sheetViews>
    <sheetView workbookViewId="0">
      <selection activeCell="E14" sqref="E14"/>
    </sheetView>
  </sheetViews>
  <sheetFormatPr defaultRowHeight="15" customHeight="1"/>
  <cols>
    <col min="2" max="3" width="15.5703125" customWidth="1"/>
    <col min="4" max="4" width="21" customWidth="1"/>
    <col min="5" max="10" width="16.7109375" customWidth="1"/>
    <col min="11" max="11" width="30.7109375" customWidth="1"/>
    <col min="12" max="12" width="54.42578125" customWidth="1"/>
    <col min="13" max="13" width="30.7109375" customWidth="1"/>
  </cols>
  <sheetData>
    <row r="1" spans="1:15" ht="14.45">
      <c r="A1" s="38" t="s">
        <v>123</v>
      </c>
      <c r="B1" s="36" t="s">
        <v>124</v>
      </c>
      <c r="C1" s="36" t="s">
        <v>125</v>
      </c>
      <c r="D1" s="36" t="s">
        <v>126</v>
      </c>
      <c r="E1" s="36" t="s">
        <v>127</v>
      </c>
      <c r="F1" s="36" t="s">
        <v>128</v>
      </c>
      <c r="G1" s="36" t="s">
        <v>129</v>
      </c>
      <c r="H1" s="36" t="s">
        <v>130</v>
      </c>
      <c r="I1" s="36" t="s">
        <v>131</v>
      </c>
      <c r="J1" s="36" t="s">
        <v>132</v>
      </c>
      <c r="K1" s="36" t="s">
        <v>133</v>
      </c>
      <c r="L1" s="36" t="s">
        <v>134</v>
      </c>
      <c r="M1" s="36" t="s">
        <v>135</v>
      </c>
      <c r="N1" s="95"/>
      <c r="O1" s="95"/>
    </row>
    <row r="2" spans="1:15" ht="14.45">
      <c r="A2" t="s">
        <v>102</v>
      </c>
      <c r="B2" s="19" t="s">
        <v>136</v>
      </c>
      <c r="C2" s="19" t="s">
        <v>137</v>
      </c>
      <c r="D2" s="19">
        <v>216</v>
      </c>
      <c r="E2" s="19">
        <v>10225</v>
      </c>
      <c r="F2" s="19">
        <v>80</v>
      </c>
      <c r="G2" s="19">
        <v>22</v>
      </c>
      <c r="H2" s="19">
        <v>1</v>
      </c>
      <c r="I2" s="19">
        <v>7163</v>
      </c>
      <c r="J2" s="37">
        <f>I2/E2</f>
        <v>0.70053789731051341</v>
      </c>
      <c r="K2" s="19">
        <v>24</v>
      </c>
      <c r="L2" s="34" t="s">
        <v>138</v>
      </c>
      <c r="M2" s="20"/>
      <c r="N2" s="19"/>
      <c r="O2" s="19"/>
    </row>
    <row r="3" spans="1:15" ht="14.45">
      <c r="A3" t="s">
        <v>103</v>
      </c>
      <c r="B3" s="19" t="s">
        <v>139</v>
      </c>
      <c r="C3" s="19" t="s">
        <v>140</v>
      </c>
      <c r="D3" s="19">
        <v>350</v>
      </c>
      <c r="E3" s="19">
        <v>32297</v>
      </c>
      <c r="F3" s="19">
        <v>61</v>
      </c>
      <c r="G3" s="19">
        <v>17</v>
      </c>
      <c r="H3" s="19">
        <v>3</v>
      </c>
      <c r="I3" s="19">
        <v>26588</v>
      </c>
      <c r="J3" s="37">
        <f t="shared" ref="J3" si="0">I3/E3</f>
        <v>0.82323435613214846</v>
      </c>
      <c r="K3" s="19">
        <v>30</v>
      </c>
      <c r="L3" s="34" t="s">
        <v>141</v>
      </c>
      <c r="N3" s="96"/>
      <c r="O3" s="96"/>
    </row>
    <row r="4" spans="1:15" ht="14.45">
      <c r="A4" t="s">
        <v>104</v>
      </c>
      <c r="B4" s="19" t="s">
        <v>142</v>
      </c>
      <c r="C4" s="19" t="s">
        <v>143</v>
      </c>
      <c r="D4" s="19">
        <v>592</v>
      </c>
      <c r="E4" s="19">
        <v>75000</v>
      </c>
      <c r="F4" s="19">
        <v>119</v>
      </c>
      <c r="G4" s="19">
        <v>37</v>
      </c>
      <c r="H4" s="19">
        <v>2</v>
      </c>
      <c r="I4" s="19">
        <v>50000</v>
      </c>
      <c r="J4" s="37">
        <f t="shared" ref="J4" si="1">I4/E4</f>
        <v>0.66666666666666663</v>
      </c>
      <c r="K4" s="19">
        <v>36</v>
      </c>
      <c r="L4" s="35" t="s">
        <v>144</v>
      </c>
      <c r="M4" s="20"/>
      <c r="N4" s="96"/>
      <c r="O4" s="96"/>
    </row>
    <row r="5" spans="1:15" ht="14.45">
      <c r="B5" s="19"/>
      <c r="C5" s="19"/>
      <c r="D5" s="19"/>
      <c r="E5" s="19"/>
      <c r="F5" s="19"/>
      <c r="G5" s="19"/>
      <c r="H5" s="19"/>
      <c r="I5" s="19"/>
      <c r="J5" s="37"/>
      <c r="K5" s="19"/>
      <c r="L5" s="34"/>
      <c r="M5" s="20"/>
      <c r="N5" s="96"/>
      <c r="O5" s="96"/>
    </row>
    <row r="6" spans="1:15" ht="14.45">
      <c r="B6" s="19"/>
      <c r="C6" s="19"/>
      <c r="D6" s="19"/>
      <c r="E6" s="19"/>
      <c r="F6" s="19"/>
      <c r="G6" s="19"/>
      <c r="H6" s="19"/>
      <c r="I6" s="19"/>
      <c r="J6" s="19"/>
      <c r="K6" s="20"/>
      <c r="L6" s="20"/>
      <c r="M6" s="20"/>
      <c r="N6" s="96"/>
      <c r="O6" s="96"/>
    </row>
    <row r="7" spans="1:15" ht="14.45">
      <c r="B7" s="19"/>
      <c r="C7" s="19"/>
      <c r="D7" s="19"/>
      <c r="E7" s="19"/>
      <c r="F7" s="19"/>
      <c r="G7" s="19"/>
      <c r="H7" s="19"/>
      <c r="I7" s="19"/>
      <c r="J7" s="19"/>
      <c r="K7" s="20"/>
      <c r="L7" s="20"/>
      <c r="M7" s="20"/>
      <c r="N7" s="96"/>
      <c r="O7" s="96"/>
    </row>
    <row r="8" spans="1:15" ht="14.45">
      <c r="B8" s="19"/>
      <c r="C8" s="19"/>
      <c r="D8" s="19"/>
      <c r="E8" s="19"/>
      <c r="F8" s="19"/>
      <c r="G8" s="19"/>
      <c r="H8" s="19"/>
      <c r="I8" s="19"/>
      <c r="J8" s="19"/>
      <c r="K8" s="20"/>
      <c r="L8" s="20"/>
      <c r="M8" s="20"/>
      <c r="N8" s="96"/>
      <c r="O8" s="96"/>
    </row>
    <row r="9" spans="1:15" ht="14.45">
      <c r="B9" s="19"/>
      <c r="C9" s="19"/>
      <c r="D9" s="19"/>
      <c r="E9" s="19"/>
      <c r="F9" s="19"/>
      <c r="G9" s="19"/>
      <c r="H9" s="19"/>
      <c r="I9" s="19"/>
      <c r="J9" s="19"/>
      <c r="K9" s="20"/>
      <c r="L9" s="20"/>
      <c r="M9" s="20"/>
      <c r="N9" s="96"/>
      <c r="O9" s="96"/>
    </row>
    <row r="10" spans="1:15" ht="14.45">
      <c r="B10" s="17"/>
      <c r="C10" s="17"/>
      <c r="D10" s="17"/>
      <c r="E10" s="17"/>
      <c r="F10" s="17"/>
      <c r="G10" s="17"/>
      <c r="H10" s="17"/>
      <c r="I10" s="17"/>
      <c r="J10" s="17"/>
      <c r="K10" s="18"/>
      <c r="L10" s="18"/>
      <c r="M10" s="18"/>
      <c r="N10" s="96"/>
      <c r="O10" s="96"/>
    </row>
    <row r="11" spans="1:15" ht="14.45">
      <c r="B11" s="19"/>
      <c r="C11" s="19"/>
      <c r="D11" s="19"/>
      <c r="E11" s="19"/>
      <c r="F11" s="19"/>
      <c r="G11" s="19"/>
      <c r="H11" s="19"/>
      <c r="I11" s="19"/>
      <c r="J11" s="19"/>
      <c r="K11" s="20"/>
      <c r="L11" s="20"/>
      <c r="M11" s="20"/>
      <c r="N11" s="96"/>
      <c r="O11" s="96"/>
    </row>
    <row r="12" spans="1:15" ht="14.45">
      <c r="B12" s="19"/>
      <c r="C12" s="19"/>
      <c r="D12" s="19"/>
      <c r="E12" s="19"/>
      <c r="F12" s="19"/>
      <c r="G12" s="19"/>
      <c r="H12" s="19"/>
      <c r="I12" s="19"/>
      <c r="J12" s="19"/>
      <c r="K12" s="20"/>
      <c r="L12" s="20"/>
      <c r="M12" s="20"/>
      <c r="N12" s="96"/>
      <c r="O12" s="96"/>
    </row>
    <row r="13" spans="1:15" ht="14.45">
      <c r="B13" s="19"/>
      <c r="C13" s="19"/>
      <c r="D13" s="19"/>
      <c r="E13" s="19"/>
      <c r="F13" s="19"/>
      <c r="G13" s="19"/>
      <c r="H13" s="19"/>
      <c r="I13" s="19"/>
      <c r="J13" s="19"/>
      <c r="K13" s="20"/>
      <c r="L13" s="20"/>
      <c r="M13" s="20"/>
      <c r="N13" s="96"/>
      <c r="O13" s="96"/>
    </row>
    <row r="16" spans="1:15" ht="14.45"/>
    <row r="17" ht="14.45"/>
    <row r="18" ht="14.45"/>
    <row r="44" spans="6:6" ht="15" customHeight="1">
      <c r="F44">
        <f>building_types!I2</f>
        <v>7163</v>
      </c>
    </row>
  </sheetData>
  <mergeCells count="12">
    <mergeCell ref="N13:O13"/>
    <mergeCell ref="N7:O7"/>
    <mergeCell ref="N8:O8"/>
    <mergeCell ref="N9:O9"/>
    <mergeCell ref="N10:O10"/>
    <mergeCell ref="N11:O11"/>
    <mergeCell ref="N12:O12"/>
    <mergeCell ref="N6:O6"/>
    <mergeCell ref="N1:O1"/>
    <mergeCell ref="N3:O3"/>
    <mergeCell ref="N4:O4"/>
    <mergeCell ref="N5:O5"/>
  </mergeCells>
  <hyperlinks>
    <hyperlink ref="L2" r:id="rId1" xr:uid="{B7BC9531-CA78-456F-881C-E9A6B8647319}"/>
    <hyperlink ref="L4" r:id="rId2" xr:uid="{8380BC2D-9460-442C-AB8C-3B10AC451F9D}"/>
    <hyperlink ref="L3" r:id="rId3" xr:uid="{99B8D689-F553-4BD9-8E30-44B6EA9E9B7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EAD80-7AE4-49AA-809A-B6D8A7E62267}">
  <dimension ref="A1:C19"/>
  <sheetViews>
    <sheetView workbookViewId="0">
      <selection activeCell="H17" sqref="H17"/>
    </sheetView>
  </sheetViews>
  <sheetFormatPr defaultRowHeight="15" customHeight="1"/>
  <cols>
    <col min="1" max="1" width="17.5703125" bestFit="1" customWidth="1"/>
    <col min="2" max="2" width="12.5703125" bestFit="1" customWidth="1"/>
    <col min="3" max="3" width="12.5703125" customWidth="1"/>
  </cols>
  <sheetData>
    <row r="1" spans="1:3">
      <c r="A1" s="1" t="s">
        <v>81</v>
      </c>
      <c r="B1" s="1" t="s">
        <v>145</v>
      </c>
      <c r="C1" s="1" t="s">
        <v>146</v>
      </c>
    </row>
    <row r="2" spans="1:3">
      <c r="A2" t="s">
        <v>92</v>
      </c>
      <c r="B2">
        <v>52.244199999999999</v>
      </c>
      <c r="C2">
        <v>4.8411499999999998</v>
      </c>
    </row>
    <row r="3" spans="1:3">
      <c r="A3" t="s">
        <v>27</v>
      </c>
      <c r="B3">
        <v>51.817880000000002</v>
      </c>
      <c r="C3">
        <v>5.1900599999999999</v>
      </c>
    </row>
    <row r="4" spans="1:3">
      <c r="A4" t="s">
        <v>28</v>
      </c>
      <c r="B4" s="33">
        <v>51.992304821831397</v>
      </c>
      <c r="C4" s="33">
        <v>5.1035383443079603</v>
      </c>
    </row>
    <row r="5" spans="1:3">
      <c r="A5" t="s">
        <v>30</v>
      </c>
      <c r="B5">
        <v>52.136380000000003</v>
      </c>
      <c r="C5">
        <v>4.5613400000000004</v>
      </c>
    </row>
    <row r="6" spans="1:3">
      <c r="A6" t="s">
        <v>31</v>
      </c>
      <c r="B6">
        <v>52.711680000000001</v>
      </c>
      <c r="C6">
        <v>4.9622799999999998</v>
      </c>
    </row>
    <row r="7" spans="1:3">
      <c r="A7" t="s">
        <v>32</v>
      </c>
      <c r="B7">
        <v>53.050339999999998</v>
      </c>
      <c r="C7">
        <v>5.4068699999999996</v>
      </c>
    </row>
    <row r="8" spans="1:3">
      <c r="A8" t="s">
        <v>34</v>
      </c>
      <c r="B8">
        <v>51.92024</v>
      </c>
      <c r="C8">
        <v>5.9145300000000001</v>
      </c>
    </row>
    <row r="9" spans="1:3">
      <c r="A9" t="s">
        <v>35</v>
      </c>
      <c r="B9">
        <v>52.017710000000001</v>
      </c>
      <c r="C9">
        <v>4.6873100000000001</v>
      </c>
    </row>
    <row r="10" spans="1:3">
      <c r="A10" t="s">
        <v>36</v>
      </c>
      <c r="B10" s="33">
        <v>51.992304821831397</v>
      </c>
      <c r="C10" s="33">
        <v>5.1035383443079603</v>
      </c>
    </row>
    <row r="11" spans="1:3">
      <c r="A11" t="s">
        <v>37</v>
      </c>
      <c r="B11">
        <v>52.681248154101198</v>
      </c>
      <c r="C11">
        <v>4.8319443097978203</v>
      </c>
    </row>
    <row r="12" spans="1:3">
      <c r="A12" t="s">
        <v>110</v>
      </c>
      <c r="B12">
        <v>52.401772068159701</v>
      </c>
      <c r="C12">
        <v>4.8380792911208301</v>
      </c>
    </row>
    <row r="13" spans="1:3">
      <c r="A13" t="s">
        <v>147</v>
      </c>
      <c r="B13">
        <v>52.053115245701498</v>
      </c>
      <c r="C13">
        <v>4.9758505148529997</v>
      </c>
    </row>
    <row r="14" spans="1:3">
      <c r="A14" t="s">
        <v>41</v>
      </c>
      <c r="B14">
        <v>52.400261571861002</v>
      </c>
      <c r="C14">
        <v>4.6566315188015901</v>
      </c>
    </row>
    <row r="15" spans="1:3">
      <c r="A15" t="s">
        <v>98</v>
      </c>
      <c r="B15">
        <v>47.147458390134098</v>
      </c>
      <c r="C15">
        <v>14.2770854691758</v>
      </c>
    </row>
    <row r="16" spans="1:3">
      <c r="A16" t="s">
        <v>43</v>
      </c>
      <c r="B16">
        <v>51.214695039055002</v>
      </c>
      <c r="C16">
        <v>6.1953783281856696</v>
      </c>
    </row>
    <row r="17" spans="1:3">
      <c r="A17" t="s">
        <v>40</v>
      </c>
      <c r="B17">
        <v>52.053115245701498</v>
      </c>
      <c r="C17">
        <v>4.9758505148529997</v>
      </c>
    </row>
    <row r="18" spans="1:3">
      <c r="A18" t="s">
        <v>39</v>
      </c>
      <c r="B18" s="33">
        <v>51.992304821831397</v>
      </c>
      <c r="C18" s="33">
        <v>5.1035383443079603</v>
      </c>
    </row>
    <row r="19" spans="1:3">
      <c r="A19" t="s">
        <v>46</v>
      </c>
      <c r="B19" s="88">
        <v>52.204990000000002</v>
      </c>
      <c r="C19" s="88">
        <v>6.9494699999999998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D9CB-B380-4E78-B5AC-386D9A652734}">
  <dimension ref="A1:D9"/>
  <sheetViews>
    <sheetView workbookViewId="0">
      <selection activeCell="K12" sqref="K12"/>
    </sheetView>
  </sheetViews>
  <sheetFormatPr defaultRowHeight="14.45"/>
  <cols>
    <col min="1" max="1" width="30.42578125" customWidth="1"/>
    <col min="2" max="2" width="10.42578125" customWidth="1"/>
    <col min="3" max="3" width="12.5703125" customWidth="1"/>
    <col min="4" max="4" width="13.5703125" customWidth="1"/>
  </cols>
  <sheetData>
    <row r="1" spans="1:4">
      <c r="A1" s="1" t="s">
        <v>125</v>
      </c>
      <c r="B1" s="1" t="s">
        <v>148</v>
      </c>
      <c r="C1" s="1" t="s">
        <v>145</v>
      </c>
      <c r="D1" s="1" t="s">
        <v>146</v>
      </c>
    </row>
    <row r="2" spans="1:4" ht="15">
      <c r="A2" t="s">
        <v>149</v>
      </c>
      <c r="B2" t="s">
        <v>150</v>
      </c>
      <c r="C2" s="85">
        <v>52.416804409999997</v>
      </c>
      <c r="D2" s="85">
        <v>4.8357330909999998</v>
      </c>
    </row>
    <row r="3" spans="1:4" ht="15">
      <c r="A3" s="74" t="s">
        <v>151</v>
      </c>
      <c r="B3" t="s">
        <v>150</v>
      </c>
      <c r="C3" s="77">
        <v>52.321080000000002</v>
      </c>
      <c r="D3" s="77">
        <v>4.9268299999999998</v>
      </c>
    </row>
    <row r="4" spans="1:4">
      <c r="A4" s="39" t="s">
        <v>152</v>
      </c>
      <c r="B4" s="39" t="s">
        <v>153</v>
      </c>
      <c r="C4">
        <v>52.685160000000003</v>
      </c>
      <c r="D4" s="77">
        <v>5.0319399999999996</v>
      </c>
    </row>
    <row r="5" spans="1:4">
      <c r="D5" s="77"/>
    </row>
    <row r="6" spans="1:4" ht="15">
      <c r="C6" s="85"/>
      <c r="D6" s="85"/>
    </row>
    <row r="9" spans="1:4" ht="15">
      <c r="C9"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k t N V y 6 a / 9 y k A A A A 9 g A A A B I A H A B D b 2 5 m a W c v U G F j a 2 F n Z S 5 4 b W w g o h g A K K A U A A A A A A A A A A A A A A A A A A A A A A A A A A A A h Y + x D o I w F E V / h X S n L X U x 5 F E T H V w k M T E x r k 2 p 0 A g P Q 4 v l 3 x z 8 J H 9 B j K J u j v f c M 9 x 7 v 9 5 g M T R 1 d D G d s y 1 m J K G c R A Z 1 W 1 g s M 9 L 7 Y z w n C w l b p U + q N N E o o 0 s H V 2 S k 8 v 6 c M h Z C o G F G 2 6 5 k g v O E H f L N T l e m U e Q j 2 / 9 y b N F 5 h d o Q C f v X G C l o I j g V Q l A O b I K Q W / w K Y t z 7 b H 8 g r P r a 9 5 2 R B u P 1 E t g U g b 0 / y A d Q S w M E F A A C A A g A M k t 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L T V c o i k e 4 D g A A A B E A A A A T A B w A R m 9 y b X V s Y X M v U 2 V j d G l v b j E u b S C i G A A o o B Q A A A A A A A A A A A A A A A A A A A A A A A A A A A A r T k 0 u y c z P U w i G 0 I b W A F B L A Q I t A B Q A A g A I A D J L T V c u m v / c p A A A A P Y A A A A S A A A A A A A A A A A A A A A A A A A A A A B D b 2 5 m a W c v U G F j a 2 F n Z S 5 4 b W x Q S w E C L Q A U A A I A C A A y S 0 1 X D 8 r p q 6 Q A A A D p A A A A E w A A A A A A A A A A A A A A A A D w A A A A W 0 N v b n R l b n R f V H l w Z X N d L n h t b F B L A Q I t A B Q A A g A I A D J L T 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m B g H 9 V u z j R 6 L y P l o z 1 6 n 0 A A A A A A I A A A A A A A N m A A D A A A A A E A A A A H f 6 S / f i U q 2 n I K w L 6 b b U O J k A A A A A B I A A A K A A A A A Q A A A A B o a 0 D o C r 8 6 s P f n s K 3 N G A s V A A A A C e v A Z b + Y / d k 5 e c 1 3 Z 7 v 3 l L G s 6 F L p y l P a 8 V 4 f 6 9 G w 8 b l s f a J 3 o S E 5 j A s f w A B k S B P b d Q l L B J Z W P I D V d o r J b T i b 4 P Q W b 2 O O u d 0 j D k d C M H L j e E X R Q A A A C M T l E l y G 3 s 5 k D K I t r r T P n v 8 x f I m g = = < / D a t a M a s h u p > 
</file>

<file path=customXml/itemProps1.xml><?xml version="1.0" encoding="utf-8"?>
<ds:datastoreItem xmlns:ds="http://schemas.openxmlformats.org/officeDocument/2006/customXml" ds:itemID="{325CD078-FD44-49D9-BD50-2208FF41A629}"/>
</file>

<file path=docProps/app.xml><?xml version="1.0" encoding="utf-8"?>
<Properties xmlns="http://schemas.openxmlformats.org/officeDocument/2006/extended-properties" xmlns:vt="http://schemas.openxmlformats.org/officeDocument/2006/docPropsVTypes">
  <Application>Microsoft Excel Online</Application>
  <Manager/>
  <Company>TU Delft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Tanya Tsui</dc:creator>
  <cp:keywords/>
  <dc:description/>
  <cp:lastModifiedBy/>
  <cp:revision/>
  <dcterms:created xsi:type="dcterms:W3CDTF">2023-10-13T05:45:42Z</dcterms:created>
  <dcterms:modified xsi:type="dcterms:W3CDTF">2023-11-29T07:05:46Z</dcterms:modified>
  <cp:category/>
  <cp:contentStatus/>
</cp:coreProperties>
</file>